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615"/>
  <workbookPr/>
  <mc:AlternateContent xmlns:mc="http://schemas.openxmlformats.org/markup-compatibility/2006">
    <mc:Choice Requires="x15">
      <x15ac:absPath xmlns:x15ac="http://schemas.microsoft.com/office/spreadsheetml/2010/11/ac" url="/Users/Shiqi/Desktop/Final Pro-forma/Updated/"/>
    </mc:Choice>
  </mc:AlternateContent>
  <bookViews>
    <workbookView xWindow="0" yWindow="460" windowWidth="27920" windowHeight="14120" tabRatio="904" activeTab="1"/>
  </bookViews>
  <sheets>
    <sheet name="Official Summary" sheetId="28" r:id="rId1"/>
    <sheet name="Summary II" sheetId="48" r:id="rId2"/>
    <sheet name="Assumptions and Sensis" sheetId="33" r:id="rId3"/>
    <sheet name="Parcel Breakdown" sheetId="43" r:id="rId4"/>
    <sheet name="S&amp;U" sheetId="32" r:id="rId5"/>
    <sheet name="Budget" sheetId="31" r:id="rId6"/>
    <sheet name="Infra" sheetId="45" r:id="rId7"/>
    <sheet name="Acquisition" sheetId="46" r:id="rId8"/>
    <sheet name="Taxes and TIF" sheetId="35" r:id="rId9"/>
    <sheet name="Loan Sizing" sheetId="39" r:id="rId10"/>
    <sheet name="Market Comps" sheetId="55" r:id="rId11"/>
    <sheet name="Phase I Pro Forma" sheetId="38" r:id="rId12"/>
    <sheet name="Phase I Pro Forma Output" sheetId="50" r:id="rId13"/>
    <sheet name="Phase II Pro Forma" sheetId="40" r:id="rId14"/>
    <sheet name="Phase II Pro Forma Output" sheetId="52" r:id="rId15"/>
    <sheet name="Phase III Pro Forma" sheetId="41" r:id="rId16"/>
    <sheet name="Phase III Pro Forma Output" sheetId="53" r:id="rId17"/>
    <sheet name="Cash Flow Roll-up" sheetId="42" r:id="rId18"/>
    <sheet name="Public Benefits" sheetId="47" r:id="rId19"/>
    <sheet name="Smart City HoldCo" sheetId="54" r:id="rId20"/>
  </sheets>
  <definedNames>
    <definedName name="_xlnm.Print_Area" localSheetId="0">'Official Summary'!$A$1:$O$130</definedName>
    <definedName name="_xlnm.Print_Area" localSheetId="1">'Summary II'!$A$1:$V$135</definedName>
  </definedNames>
  <calcPr calcId="150001" calcMode="autoNoTable" iterate="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88" i="48" l="1"/>
  <c r="P57" i="33"/>
  <c r="J13" i="31"/>
  <c r="H159" i="39"/>
  <c r="L5" i="55"/>
  <c r="P60" i="33"/>
  <c r="J16" i="31"/>
  <c r="H162" i="39"/>
  <c r="L6" i="55"/>
  <c r="P61" i="33"/>
  <c r="J17" i="31"/>
  <c r="H163" i="39"/>
  <c r="L7" i="55"/>
  <c r="P55" i="33"/>
  <c r="J11" i="31"/>
  <c r="H157" i="39"/>
  <c r="L8" i="55"/>
  <c r="P56" i="33"/>
  <c r="J12" i="31"/>
  <c r="H158" i="39"/>
  <c r="L9" i="55"/>
  <c r="P58" i="33"/>
  <c r="J14" i="31"/>
  <c r="H160" i="39"/>
  <c r="L10" i="55"/>
  <c r="P62" i="33"/>
  <c r="J18" i="31"/>
  <c r="P63" i="33"/>
  <c r="J19" i="31"/>
  <c r="H164" i="39"/>
  <c r="L11" i="55"/>
  <c r="P59" i="33"/>
  <c r="J15" i="31"/>
  <c r="H161" i="39"/>
  <c r="L12" i="55"/>
  <c r="L13" i="55"/>
  <c r="O57" i="33"/>
  <c r="I13" i="31"/>
  <c r="H130" i="39"/>
  <c r="K5" i="55"/>
  <c r="O60" i="33"/>
  <c r="I16" i="31"/>
  <c r="H133" i="39"/>
  <c r="K6" i="55"/>
  <c r="O61" i="33"/>
  <c r="I17" i="31"/>
  <c r="H134" i="39"/>
  <c r="K7" i="55"/>
  <c r="O55" i="33"/>
  <c r="I11" i="31"/>
  <c r="H128" i="39"/>
  <c r="K8" i="55"/>
  <c r="O56" i="33"/>
  <c r="I12" i="31"/>
  <c r="H129" i="39"/>
  <c r="K9" i="55"/>
  <c r="O58" i="33"/>
  <c r="I14" i="31"/>
  <c r="H131" i="39"/>
  <c r="K10" i="55"/>
  <c r="O62" i="33"/>
  <c r="I18" i="31"/>
  <c r="O63" i="33"/>
  <c r="I19" i="31"/>
  <c r="H135" i="39"/>
  <c r="K11" i="55"/>
  <c r="O59" i="33"/>
  <c r="I15" i="31"/>
  <c r="H132" i="39"/>
  <c r="K12" i="55"/>
  <c r="K13" i="55"/>
  <c r="N57" i="33"/>
  <c r="H13" i="31"/>
  <c r="H101" i="39"/>
  <c r="J5" i="55"/>
  <c r="N60" i="33"/>
  <c r="H16" i="31"/>
  <c r="H104" i="39"/>
  <c r="J6" i="55"/>
  <c r="N61" i="33"/>
  <c r="H17" i="31"/>
  <c r="H105" i="39"/>
  <c r="J7" i="55"/>
  <c r="N55" i="33"/>
  <c r="H11" i="31"/>
  <c r="H99" i="39"/>
  <c r="J8" i="55"/>
  <c r="N56" i="33"/>
  <c r="H12" i="31"/>
  <c r="H100" i="39"/>
  <c r="J9" i="55"/>
  <c r="N58" i="33"/>
  <c r="H14" i="31"/>
  <c r="H102" i="39"/>
  <c r="J10" i="55"/>
  <c r="N62" i="33"/>
  <c r="H18" i="31"/>
  <c r="N63" i="33"/>
  <c r="H19" i="31"/>
  <c r="H106" i="39"/>
  <c r="J11" i="55"/>
  <c r="N59" i="33"/>
  <c r="H15" i="31"/>
  <c r="H103" i="39"/>
  <c r="J12" i="55"/>
  <c r="J13" i="55"/>
  <c r="G13" i="55"/>
  <c r="G12" i="55"/>
  <c r="G11" i="55"/>
  <c r="G10" i="55"/>
  <c r="G9" i="55"/>
  <c r="G8" i="55"/>
  <c r="G11" i="31"/>
  <c r="H70" i="39"/>
  <c r="G7" i="55"/>
  <c r="G6" i="55"/>
  <c r="G5" i="55"/>
  <c r="H118" i="48"/>
  <c r="M12" i="55"/>
  <c r="E9" i="55"/>
  <c r="M9" i="55"/>
  <c r="M8" i="55"/>
  <c r="M7" i="55"/>
  <c r="M6" i="55"/>
  <c r="M5" i="55"/>
  <c r="F88" i="33"/>
  <c r="D111" i="48"/>
  <c r="F84" i="33"/>
  <c r="K8" i="43"/>
  <c r="AG8" i="43"/>
  <c r="AA8" i="43"/>
  <c r="AQ8" i="43"/>
  <c r="K9" i="43"/>
  <c r="AG9" i="43"/>
  <c r="AA9" i="43"/>
  <c r="AQ9" i="43"/>
  <c r="K10" i="43"/>
  <c r="AG10" i="43"/>
  <c r="AA10" i="43"/>
  <c r="AQ10" i="43"/>
  <c r="K14" i="43"/>
  <c r="AG14" i="43"/>
  <c r="AA14" i="43"/>
  <c r="AQ14" i="43"/>
  <c r="K6" i="43"/>
  <c r="AG6" i="43"/>
  <c r="AA6" i="43"/>
  <c r="AQ6" i="43"/>
  <c r="K7" i="43"/>
  <c r="AG7" i="43"/>
  <c r="AA7" i="43"/>
  <c r="AQ7" i="43"/>
  <c r="K11" i="43"/>
  <c r="AG11" i="43"/>
  <c r="AA11" i="43"/>
  <c r="AQ11" i="43"/>
  <c r="K12" i="43"/>
  <c r="AG12" i="43"/>
  <c r="AA12" i="43"/>
  <c r="AQ12" i="43"/>
  <c r="K13" i="43"/>
  <c r="AG13" i="43"/>
  <c r="AA13" i="43"/>
  <c r="AQ13" i="43"/>
  <c r="K15" i="43"/>
  <c r="AG15" i="43"/>
  <c r="AA15" i="43"/>
  <c r="AQ15" i="43"/>
  <c r="K16" i="43"/>
  <c r="AG16" i="43"/>
  <c r="AA16" i="43"/>
  <c r="AQ16" i="43"/>
  <c r="K17" i="43"/>
  <c r="AG17" i="43"/>
  <c r="AA17" i="43"/>
  <c r="AQ17" i="43"/>
  <c r="K18" i="43"/>
  <c r="AG18" i="43"/>
  <c r="AA18" i="43"/>
  <c r="AQ18" i="43"/>
  <c r="K19" i="43"/>
  <c r="AG19" i="43"/>
  <c r="AA19" i="43"/>
  <c r="AQ19" i="43"/>
  <c r="K20" i="43"/>
  <c r="AG20" i="43"/>
  <c r="AA20" i="43"/>
  <c r="AQ20" i="43"/>
  <c r="K21" i="43"/>
  <c r="AC21" i="43"/>
  <c r="AG21" i="43"/>
  <c r="AA21" i="43"/>
  <c r="AQ21" i="43"/>
  <c r="K22" i="43"/>
  <c r="AH22" i="43"/>
  <c r="AA22" i="43"/>
  <c r="AQ22" i="43"/>
  <c r="AQ24" i="43"/>
  <c r="AP29" i="43"/>
  <c r="AP30" i="43"/>
  <c r="F82" i="33"/>
  <c r="F85" i="33"/>
  <c r="G32" i="45"/>
  <c r="G6" i="45"/>
  <c r="C33" i="45"/>
  <c r="G7" i="45"/>
  <c r="G10" i="45"/>
  <c r="C41" i="45"/>
  <c r="G15" i="45"/>
  <c r="G8" i="45"/>
  <c r="G12" i="45"/>
  <c r="G13" i="45"/>
  <c r="G14" i="45"/>
  <c r="G16" i="45"/>
  <c r="G17" i="45"/>
  <c r="G19" i="45"/>
  <c r="G20" i="45"/>
  <c r="G21" i="45"/>
  <c r="G22" i="45"/>
  <c r="A6" i="43"/>
  <c r="E53" i="45"/>
  <c r="A7" i="43"/>
  <c r="F53" i="45"/>
  <c r="A8" i="43"/>
  <c r="G53" i="45"/>
  <c r="G64" i="45"/>
  <c r="G65" i="45"/>
  <c r="G54" i="45"/>
  <c r="G55" i="45"/>
  <c r="G56" i="45"/>
  <c r="C57" i="45"/>
  <c r="G57" i="45"/>
  <c r="G58" i="45"/>
  <c r="G66" i="45"/>
  <c r="A9" i="43"/>
  <c r="H53" i="45"/>
  <c r="A10" i="43"/>
  <c r="I53" i="45"/>
  <c r="E64" i="45"/>
  <c r="E65" i="45"/>
  <c r="E54" i="45"/>
  <c r="E55" i="45"/>
  <c r="E56" i="45"/>
  <c r="E57" i="45"/>
  <c r="E58" i="45"/>
  <c r="E66" i="45"/>
  <c r="F64" i="45"/>
  <c r="F65" i="45"/>
  <c r="F54" i="45"/>
  <c r="F55" i="45"/>
  <c r="F56" i="45"/>
  <c r="F57" i="45"/>
  <c r="F58" i="45"/>
  <c r="F66" i="45"/>
  <c r="H64" i="45"/>
  <c r="H65" i="45"/>
  <c r="H54" i="45"/>
  <c r="H55" i="45"/>
  <c r="H56" i="45"/>
  <c r="H57" i="45"/>
  <c r="H58" i="45"/>
  <c r="H66" i="45"/>
  <c r="I64" i="45"/>
  <c r="I65" i="45"/>
  <c r="I55" i="45"/>
  <c r="I56" i="45"/>
  <c r="I57" i="45"/>
  <c r="I58" i="45"/>
  <c r="I66" i="45"/>
  <c r="G23" i="45"/>
  <c r="G24" i="45"/>
  <c r="H32" i="45"/>
  <c r="H6" i="45"/>
  <c r="H7" i="45"/>
  <c r="H10" i="45"/>
  <c r="H15" i="45"/>
  <c r="H8" i="45"/>
  <c r="H12" i="45"/>
  <c r="H39" i="45"/>
  <c r="H13" i="45"/>
  <c r="H14" i="45"/>
  <c r="H16" i="45"/>
  <c r="H17" i="45"/>
  <c r="H19" i="45"/>
  <c r="H20" i="45"/>
  <c r="H21" i="45"/>
  <c r="H22" i="45"/>
  <c r="H23" i="45"/>
  <c r="H24" i="45"/>
  <c r="I6" i="45"/>
  <c r="I7" i="45"/>
  <c r="I10" i="45"/>
  <c r="I15" i="45"/>
  <c r="I8" i="45"/>
  <c r="I12" i="45"/>
  <c r="I13" i="45"/>
  <c r="I14" i="45"/>
  <c r="I16" i="45"/>
  <c r="I17" i="45"/>
  <c r="I19" i="45"/>
  <c r="I20" i="45"/>
  <c r="I21" i="45"/>
  <c r="I22" i="45"/>
  <c r="I23" i="45"/>
  <c r="I24" i="45"/>
  <c r="J24" i="45"/>
  <c r="N31" i="45"/>
  <c r="R15" i="45"/>
  <c r="S15" i="45"/>
  <c r="T15" i="45"/>
  <c r="U15" i="45"/>
  <c r="V15" i="45"/>
  <c r="W15" i="45"/>
  <c r="P15" i="45"/>
  <c r="N32" i="45"/>
  <c r="Q16" i="45"/>
  <c r="J8" i="45"/>
  <c r="R14" i="45"/>
  <c r="R16" i="45"/>
  <c r="S14" i="45"/>
  <c r="S16" i="45"/>
  <c r="T14" i="45"/>
  <c r="T16" i="45"/>
  <c r="U14" i="45"/>
  <c r="U16" i="45"/>
  <c r="V14" i="45"/>
  <c r="V16" i="45"/>
  <c r="W14" i="45"/>
  <c r="W16" i="45"/>
  <c r="P16" i="45"/>
  <c r="N33" i="45"/>
  <c r="J12" i="45"/>
  <c r="J13" i="45"/>
  <c r="J14" i="45"/>
  <c r="R22" i="45"/>
  <c r="S22" i="45"/>
  <c r="T22" i="45"/>
  <c r="U22" i="45"/>
  <c r="V22" i="45"/>
  <c r="W22" i="45"/>
  <c r="P22" i="45"/>
  <c r="N34" i="45"/>
  <c r="N35" i="45"/>
  <c r="D11" i="55"/>
  <c r="Z25" i="55"/>
  <c r="R89" i="55"/>
  <c r="Z28" i="55"/>
  <c r="R96" i="55"/>
  <c r="Z31" i="55"/>
  <c r="R102" i="55"/>
  <c r="Q68" i="55"/>
  <c r="Q59" i="55"/>
  <c r="Q53" i="55"/>
  <c r="Q44" i="55"/>
  <c r="Q36" i="55"/>
  <c r="Q26" i="55"/>
  <c r="S110" i="55"/>
  <c r="T110" i="55"/>
  <c r="T108" i="55"/>
  <c r="S108" i="55"/>
  <c r="R108" i="55"/>
  <c r="R109" i="55"/>
  <c r="S106" i="55"/>
  <c r="T104" i="55"/>
  <c r="S104" i="55"/>
  <c r="R104" i="55"/>
  <c r="R105" i="55"/>
  <c r="T100" i="55"/>
  <c r="S100" i="55"/>
  <c r="R100" i="55"/>
  <c r="G62" i="33"/>
  <c r="H62" i="33"/>
  <c r="H91" i="33"/>
  <c r="T94" i="55"/>
  <c r="G91" i="33"/>
  <c r="S94" i="55"/>
  <c r="F91" i="33"/>
  <c r="R94" i="55"/>
  <c r="T93" i="55"/>
  <c r="S93" i="55"/>
  <c r="R93" i="55"/>
  <c r="G58" i="33"/>
  <c r="H58" i="33"/>
  <c r="H84" i="33"/>
  <c r="T87" i="55"/>
  <c r="G84" i="33"/>
  <c r="S87" i="55"/>
  <c r="R87" i="55"/>
  <c r="T86" i="55"/>
  <c r="S86" i="55"/>
  <c r="R86" i="55"/>
  <c r="H81" i="33"/>
  <c r="T84" i="55"/>
  <c r="G81" i="33"/>
  <c r="S84" i="55"/>
  <c r="F81" i="33"/>
  <c r="R84" i="55"/>
  <c r="Q84" i="55"/>
  <c r="T76" i="55"/>
  <c r="S76" i="55"/>
  <c r="R76" i="55"/>
  <c r="T74" i="55"/>
  <c r="S74" i="55"/>
  <c r="R74" i="55"/>
  <c r="F105" i="33"/>
  <c r="T38" i="55"/>
  <c r="T37" i="55"/>
  <c r="F101" i="33"/>
  <c r="T35" i="55"/>
  <c r="T34" i="55"/>
  <c r="F97" i="33"/>
  <c r="T32" i="55"/>
  <c r="T31" i="55"/>
  <c r="F90" i="33"/>
  <c r="T29" i="55"/>
  <c r="T28" i="55"/>
  <c r="F83" i="33"/>
  <c r="T26" i="55"/>
  <c r="T25" i="55"/>
  <c r="Q67" i="55"/>
  <c r="T77" i="55"/>
  <c r="O67" i="55"/>
  <c r="Q58" i="55"/>
  <c r="S77" i="55"/>
  <c r="O58" i="55"/>
  <c r="Q52" i="55"/>
  <c r="R77" i="55"/>
  <c r="O52" i="55"/>
  <c r="Q43" i="55"/>
  <c r="E7" i="55"/>
  <c r="Q35" i="55"/>
  <c r="E5" i="55"/>
  <c r="Q25" i="55"/>
  <c r="E6" i="55"/>
  <c r="M11" i="55"/>
  <c r="F9" i="55"/>
  <c r="T27" i="55"/>
  <c r="T109" i="55"/>
  <c r="T36" i="55"/>
  <c r="T39" i="55"/>
  <c r="T75" i="55"/>
  <c r="T30" i="55"/>
  <c r="T33" i="55"/>
  <c r="S102" i="55"/>
  <c r="T102" i="55"/>
  <c r="T101" i="55"/>
  <c r="R101" i="55"/>
  <c r="R75" i="55"/>
  <c r="S75" i="55"/>
  <c r="S105" i="55"/>
  <c r="T106" i="55"/>
  <c r="T105" i="55"/>
  <c r="S109" i="55"/>
  <c r="S96" i="55"/>
  <c r="S89" i="55"/>
  <c r="J34" i="45"/>
  <c r="H90" i="39"/>
  <c r="G90" i="39"/>
  <c r="F90" i="39"/>
  <c r="H31" i="33"/>
  <c r="O107" i="33"/>
  <c r="O108" i="33"/>
  <c r="P107" i="33"/>
  <c r="P108" i="33"/>
  <c r="Q56" i="33"/>
  <c r="Q57" i="33"/>
  <c r="M2" i="43"/>
  <c r="B38" i="33"/>
  <c r="M37" i="33"/>
  <c r="L37" i="33"/>
  <c r="K37" i="33"/>
  <c r="J37" i="33"/>
  <c r="I37" i="33"/>
  <c r="H37" i="33"/>
  <c r="C37" i="33"/>
  <c r="B37" i="33"/>
  <c r="N36" i="33"/>
  <c r="L36" i="33"/>
  <c r="K36" i="33"/>
  <c r="J36" i="33"/>
  <c r="H36" i="33"/>
  <c r="C36" i="33"/>
  <c r="B36" i="33"/>
  <c r="N35" i="33"/>
  <c r="L35" i="33"/>
  <c r="K35" i="33"/>
  <c r="J35" i="33"/>
  <c r="I35" i="33"/>
  <c r="H35" i="33"/>
  <c r="C35" i="33"/>
  <c r="B35" i="33"/>
  <c r="N34" i="33"/>
  <c r="L34" i="33"/>
  <c r="K34" i="33"/>
  <c r="J34" i="33"/>
  <c r="I34" i="33"/>
  <c r="H34" i="33"/>
  <c r="C34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N33" i="33"/>
  <c r="L33" i="33"/>
  <c r="K33" i="33"/>
  <c r="J33" i="33"/>
  <c r="I33" i="33"/>
  <c r="H33" i="33"/>
  <c r="C33" i="33"/>
  <c r="N32" i="33"/>
  <c r="L32" i="33"/>
  <c r="K32" i="33"/>
  <c r="J32" i="33"/>
  <c r="I32" i="33"/>
  <c r="H32" i="33"/>
  <c r="C32" i="33"/>
  <c r="N31" i="33"/>
  <c r="L31" i="33"/>
  <c r="K31" i="33"/>
  <c r="J31" i="33"/>
  <c r="I31" i="33"/>
  <c r="C31" i="33"/>
  <c r="N30" i="33"/>
  <c r="L30" i="33"/>
  <c r="K30" i="33"/>
  <c r="J30" i="33"/>
  <c r="I30" i="33"/>
  <c r="H30" i="33"/>
  <c r="C30" i="33"/>
  <c r="N29" i="33"/>
  <c r="L29" i="33"/>
  <c r="K29" i="33"/>
  <c r="J29" i="33"/>
  <c r="I29" i="33"/>
  <c r="H29" i="33"/>
  <c r="C29" i="33"/>
  <c r="N28" i="33"/>
  <c r="L28" i="33"/>
  <c r="K28" i="33"/>
  <c r="J28" i="33"/>
  <c r="I28" i="33"/>
  <c r="H28" i="33"/>
  <c r="C28" i="33"/>
  <c r="N27" i="33"/>
  <c r="L27" i="33"/>
  <c r="K27" i="33"/>
  <c r="J27" i="33"/>
  <c r="I27" i="33"/>
  <c r="H27" i="33"/>
  <c r="C27" i="33"/>
  <c r="N26" i="33"/>
  <c r="L26" i="33"/>
  <c r="K26" i="33"/>
  <c r="J26" i="33"/>
  <c r="I26" i="33"/>
  <c r="H26" i="33"/>
  <c r="C26" i="33"/>
  <c r="N25" i="33"/>
  <c r="L25" i="33"/>
  <c r="K25" i="33"/>
  <c r="J25" i="33"/>
  <c r="I25" i="33"/>
  <c r="H25" i="33"/>
  <c r="C25" i="33"/>
  <c r="N24" i="33"/>
  <c r="L24" i="33"/>
  <c r="K24" i="33"/>
  <c r="J24" i="33"/>
  <c r="I24" i="33"/>
  <c r="H24" i="33"/>
  <c r="C24" i="33"/>
  <c r="N23" i="33"/>
  <c r="L23" i="33"/>
  <c r="K23" i="33"/>
  <c r="J23" i="33"/>
  <c r="I23" i="33"/>
  <c r="H23" i="33"/>
  <c r="C23" i="33"/>
  <c r="N22" i="33"/>
  <c r="L22" i="33"/>
  <c r="K22" i="33"/>
  <c r="J22" i="33"/>
  <c r="I22" i="33"/>
  <c r="H22" i="33"/>
  <c r="C22" i="33"/>
  <c r="N21" i="33"/>
  <c r="L21" i="33"/>
  <c r="K21" i="33"/>
  <c r="J21" i="33"/>
  <c r="I21" i="33"/>
  <c r="H21" i="33"/>
  <c r="C21" i="33"/>
  <c r="P20" i="33"/>
  <c r="Z4" i="43"/>
  <c r="F20" i="33"/>
  <c r="E20" i="33"/>
  <c r="C20" i="33"/>
  <c r="B21" i="33"/>
  <c r="H117" i="48"/>
  <c r="AP42" i="43"/>
  <c r="F125" i="33"/>
  <c r="F124" i="33"/>
  <c r="G125" i="33"/>
  <c r="G124" i="33"/>
  <c r="H125" i="33"/>
  <c r="H124" i="33"/>
  <c r="F123" i="33"/>
  <c r="G123" i="33"/>
  <c r="H123" i="33"/>
  <c r="AR29" i="43"/>
  <c r="AT29" i="43"/>
  <c r="F98" i="33"/>
  <c r="AV29" i="43"/>
  <c r="F102" i="33"/>
  <c r="AX29" i="43"/>
  <c r="F106" i="33"/>
  <c r="G86" i="33"/>
  <c r="G83" i="33"/>
  <c r="G90" i="33"/>
  <c r="G93" i="33"/>
  <c r="G97" i="33"/>
  <c r="G99" i="33"/>
  <c r="G101" i="33"/>
  <c r="G103" i="33"/>
  <c r="G102" i="33"/>
  <c r="G105" i="33"/>
  <c r="G72" i="33"/>
  <c r="G107" i="33"/>
  <c r="G106" i="33"/>
  <c r="H86" i="33"/>
  <c r="H83" i="33"/>
  <c r="H90" i="33"/>
  <c r="H93" i="33"/>
  <c r="H97" i="33"/>
  <c r="H64" i="33"/>
  <c r="H99" i="33"/>
  <c r="H101" i="33"/>
  <c r="H103" i="33"/>
  <c r="H102" i="33"/>
  <c r="H105" i="33"/>
  <c r="F56" i="33"/>
  <c r="F57" i="33"/>
  <c r="F60" i="33"/>
  <c r="F61" i="33"/>
  <c r="F64" i="33"/>
  <c r="F65" i="33"/>
  <c r="F68" i="33"/>
  <c r="F69" i="33"/>
  <c r="F72" i="33"/>
  <c r="F73" i="33"/>
  <c r="G56" i="33"/>
  <c r="G57" i="33"/>
  <c r="G60" i="33"/>
  <c r="G61" i="33"/>
  <c r="G66" i="33"/>
  <c r="G68" i="33"/>
  <c r="G70" i="33"/>
  <c r="G69" i="33"/>
  <c r="G74" i="33"/>
  <c r="H74" i="33"/>
  <c r="H72" i="33"/>
  <c r="H73" i="33"/>
  <c r="H56" i="33"/>
  <c r="H60" i="33"/>
  <c r="H61" i="33"/>
  <c r="H66" i="33"/>
  <c r="H68" i="33"/>
  <c r="H70" i="33"/>
  <c r="H69" i="33"/>
  <c r="N235" i="33"/>
  <c r="N239" i="33"/>
  <c r="N240" i="33"/>
  <c r="N241" i="33"/>
  <c r="N242" i="33"/>
  <c r="O234" i="33"/>
  <c r="O235" i="33"/>
  <c r="O239" i="33"/>
  <c r="O240" i="33"/>
  <c r="P239" i="33"/>
  <c r="O241" i="33"/>
  <c r="F196" i="33"/>
  <c r="F200" i="33"/>
  <c r="G191" i="33"/>
  <c r="G196" i="33"/>
  <c r="G200" i="33"/>
  <c r="H191" i="33"/>
  <c r="H196" i="33"/>
  <c r="H200" i="33"/>
  <c r="F161" i="33"/>
  <c r="G156" i="33"/>
  <c r="G161" i="33"/>
  <c r="G165" i="33"/>
  <c r="H156" i="33"/>
  <c r="H161" i="33"/>
  <c r="H165" i="33"/>
  <c r="G117" i="48"/>
  <c r="G112" i="48"/>
  <c r="AP49" i="43"/>
  <c r="D113" i="48"/>
  <c r="D118" i="48"/>
  <c r="D117" i="48"/>
  <c r="D116" i="48"/>
  <c r="D115" i="48"/>
  <c r="D114" i="48"/>
  <c r="D112" i="48"/>
  <c r="B172" i="39"/>
  <c r="B12" i="55"/>
  <c r="B175" i="39"/>
  <c r="B11" i="55"/>
  <c r="B171" i="39"/>
  <c r="B10" i="55"/>
  <c r="B169" i="39"/>
  <c r="B9" i="55"/>
  <c r="B168" i="39"/>
  <c r="B8" i="55"/>
  <c r="B174" i="39"/>
  <c r="B7" i="55"/>
  <c r="B173" i="39"/>
  <c r="B6" i="55"/>
  <c r="B170" i="39"/>
  <c r="B5" i="55"/>
  <c r="G113" i="48"/>
  <c r="G111" i="48"/>
  <c r="F178" i="33"/>
  <c r="G174" i="33"/>
  <c r="G178" i="33"/>
  <c r="G182" i="33"/>
  <c r="G183" i="33"/>
  <c r="H174" i="33"/>
  <c r="H182" i="33"/>
  <c r="G184" i="33"/>
  <c r="O115" i="48"/>
  <c r="D63" i="48"/>
  <c r="D62" i="48"/>
  <c r="P41" i="47"/>
  <c r="O41" i="47"/>
  <c r="N41" i="47"/>
  <c r="M41" i="47"/>
  <c r="L41" i="47"/>
  <c r="K41" i="47"/>
  <c r="J41" i="47"/>
  <c r="I41" i="47"/>
  <c r="H41" i="47"/>
  <c r="G41" i="47"/>
  <c r="F41" i="47"/>
  <c r="Q19" i="45"/>
  <c r="Q26" i="45"/>
  <c r="J16" i="45"/>
  <c r="J42" i="45"/>
  <c r="O114" i="48"/>
  <c r="T112" i="48"/>
  <c r="P112" i="48"/>
  <c r="AU73" i="54"/>
  <c r="AT73" i="54"/>
  <c r="AS73" i="54"/>
  <c r="AR73" i="54"/>
  <c r="AQ73" i="54"/>
  <c r="AP73" i="54"/>
  <c r="AO73" i="54"/>
  <c r="AN73" i="54"/>
  <c r="AM73" i="54"/>
  <c r="AL73" i="54"/>
  <c r="AK73" i="54"/>
  <c r="AJ73" i="54"/>
  <c r="AI73" i="54"/>
  <c r="AH73" i="54"/>
  <c r="AG73" i="54"/>
  <c r="AF73" i="54"/>
  <c r="AE73" i="54"/>
  <c r="AD73" i="54"/>
  <c r="AC73" i="54"/>
  <c r="AB73" i="54"/>
  <c r="AA73" i="54"/>
  <c r="Z73" i="54"/>
  <c r="Y73" i="54"/>
  <c r="X73" i="54"/>
  <c r="W73" i="54"/>
  <c r="V73" i="54"/>
  <c r="U73" i="54"/>
  <c r="T73" i="54"/>
  <c r="S73" i="54"/>
  <c r="R73" i="54"/>
  <c r="Q73" i="54"/>
  <c r="P73" i="54"/>
  <c r="O73" i="54"/>
  <c r="N73" i="54"/>
  <c r="M73" i="54"/>
  <c r="L73" i="54"/>
  <c r="K73" i="54"/>
  <c r="J73" i="54"/>
  <c r="I73" i="54"/>
  <c r="H73" i="54"/>
  <c r="G73" i="54"/>
  <c r="R12" i="54"/>
  <c r="AU61" i="54"/>
  <c r="AT61" i="54"/>
  <c r="AS61" i="54"/>
  <c r="AR61" i="54"/>
  <c r="AQ61" i="54"/>
  <c r="AP61" i="54"/>
  <c r="AO61" i="54"/>
  <c r="AN61" i="54"/>
  <c r="AM61" i="54"/>
  <c r="AL61" i="54"/>
  <c r="AK61" i="54"/>
  <c r="AJ61" i="54"/>
  <c r="AI61" i="54"/>
  <c r="AH61" i="54"/>
  <c r="AG61" i="54"/>
  <c r="AF61" i="54"/>
  <c r="AE61" i="54"/>
  <c r="AD61" i="54"/>
  <c r="AC61" i="54"/>
  <c r="AB61" i="54"/>
  <c r="AA61" i="54"/>
  <c r="Z61" i="54"/>
  <c r="Y61" i="54"/>
  <c r="X61" i="54"/>
  <c r="W61" i="54"/>
  <c r="V61" i="54"/>
  <c r="U61" i="54"/>
  <c r="T61" i="54"/>
  <c r="S61" i="54"/>
  <c r="R61" i="54"/>
  <c r="Q61" i="54"/>
  <c r="P61" i="54"/>
  <c r="O61" i="54"/>
  <c r="N61" i="54"/>
  <c r="M61" i="54"/>
  <c r="L61" i="54"/>
  <c r="K61" i="54"/>
  <c r="J61" i="54"/>
  <c r="I61" i="54"/>
  <c r="H61" i="54"/>
  <c r="G61" i="54"/>
  <c r="L14" i="54"/>
  <c r="L16" i="54"/>
  <c r="L18" i="54"/>
  <c r="F56" i="54"/>
  <c r="L4" i="54"/>
  <c r="F36" i="54"/>
  <c r="F61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AB29" i="54"/>
  <c r="AC29" i="54"/>
  <c r="AD29" i="54"/>
  <c r="AE29" i="54"/>
  <c r="AF29" i="54"/>
  <c r="AG29" i="54"/>
  <c r="AH29" i="54"/>
  <c r="AI29" i="54"/>
  <c r="AJ29" i="54"/>
  <c r="AK29" i="54"/>
  <c r="AL29" i="54"/>
  <c r="AM29" i="54"/>
  <c r="AN29" i="54"/>
  <c r="AO29" i="54"/>
  <c r="AP29" i="54"/>
  <c r="AQ29" i="54"/>
  <c r="AR29" i="54"/>
  <c r="AS29" i="54"/>
  <c r="AT29" i="54"/>
  <c r="AU29" i="54"/>
  <c r="AV29" i="54"/>
  <c r="G27" i="54"/>
  <c r="H27" i="54"/>
  <c r="AU21" i="54"/>
  <c r="AU41" i="54"/>
  <c r="AU60" i="54"/>
  <c r="F7" i="54"/>
  <c r="F6" i="54"/>
  <c r="G28" i="54"/>
  <c r="H28" i="54"/>
  <c r="I28" i="54"/>
  <c r="AU69" i="54"/>
  <c r="G37" i="54"/>
  <c r="G30" i="54"/>
  <c r="R19" i="45"/>
  <c r="U11" i="45"/>
  <c r="U10" i="45"/>
  <c r="U9" i="45"/>
  <c r="U8" i="45"/>
  <c r="U7" i="45"/>
  <c r="U6" i="45"/>
  <c r="V23" i="45"/>
  <c r="W23" i="45"/>
  <c r="U5" i="45"/>
  <c r="V18" i="45"/>
  <c r="S13" i="45"/>
  <c r="T13" i="45"/>
  <c r="U13" i="45"/>
  <c r="V13" i="45"/>
  <c r="W13" i="45"/>
  <c r="Q24" i="45"/>
  <c r="B36" i="47"/>
  <c r="B47" i="47"/>
  <c r="T19" i="45"/>
  <c r="H30" i="54"/>
  <c r="I27" i="54"/>
  <c r="U18" i="45"/>
  <c r="AG320" i="33"/>
  <c r="AF320" i="33"/>
  <c r="AE320" i="33"/>
  <c r="AD320" i="33"/>
  <c r="AC320" i="33"/>
  <c r="AP320" i="33"/>
  <c r="AO320" i="33"/>
  <c r="AN320" i="33"/>
  <c r="AM320" i="33"/>
  <c r="AL320" i="33"/>
  <c r="AP305" i="33"/>
  <c r="AO305" i="33"/>
  <c r="AN305" i="33"/>
  <c r="AM305" i="33"/>
  <c r="AL305" i="33"/>
  <c r="AB310" i="33"/>
  <c r="AK310" i="33"/>
  <c r="AJ310" i="33"/>
  <c r="AB312" i="33"/>
  <c r="AB313" i="33"/>
  <c r="AB328" i="33"/>
  <c r="AP304" i="33"/>
  <c r="AP306" i="33"/>
  <c r="AO304" i="33"/>
  <c r="AO306" i="33"/>
  <c r="AN304" i="33"/>
  <c r="AN306" i="33"/>
  <c r="AM304" i="33"/>
  <c r="AM306" i="33"/>
  <c r="AL304" i="33"/>
  <c r="AL306" i="33"/>
  <c r="AP319" i="33"/>
  <c r="AP321" i="33"/>
  <c r="AO319" i="33"/>
  <c r="AO321" i="33"/>
  <c r="AN319" i="33"/>
  <c r="AN321" i="33"/>
  <c r="AM319" i="33"/>
  <c r="AM321" i="33"/>
  <c r="AL319" i="33"/>
  <c r="AL321" i="33"/>
  <c r="AG319" i="33"/>
  <c r="AG321" i="33"/>
  <c r="AF319" i="33"/>
  <c r="AF321" i="33"/>
  <c r="AE319" i="33"/>
  <c r="AE321" i="33"/>
  <c r="AD319" i="33"/>
  <c r="AD321" i="33"/>
  <c r="AC319" i="33"/>
  <c r="AC321" i="33"/>
  <c r="AG306" i="33"/>
  <c r="AF306" i="33"/>
  <c r="AE306" i="33"/>
  <c r="AD306" i="33"/>
  <c r="AC306" i="33"/>
  <c r="AB325" i="33"/>
  <c r="AK325" i="33"/>
  <c r="AJ325" i="33"/>
  <c r="AI322" i="33"/>
  <c r="Z322" i="33"/>
  <c r="AC318" i="33"/>
  <c r="AL318" i="33"/>
  <c r="AB326" i="33"/>
  <c r="AK326" i="33"/>
  <c r="AJ326" i="33"/>
  <c r="AI307" i="33"/>
  <c r="AL303" i="33"/>
  <c r="AF278" i="33"/>
  <c r="AF265" i="33"/>
  <c r="AB269" i="33"/>
  <c r="AK269" i="33"/>
  <c r="AJ269" i="33"/>
  <c r="AA269" i="33"/>
  <c r="Z405" i="53"/>
  <c r="Y405" i="53"/>
  <c r="X405" i="53"/>
  <c r="W405" i="53"/>
  <c r="V405" i="53"/>
  <c r="U405" i="53"/>
  <c r="T405" i="53"/>
  <c r="S405" i="53"/>
  <c r="R405" i="53"/>
  <c r="Q405" i="53"/>
  <c r="P405" i="53"/>
  <c r="O405" i="53"/>
  <c r="N405" i="53"/>
  <c r="M405" i="53"/>
  <c r="L405" i="53"/>
  <c r="K405" i="53"/>
  <c r="J405" i="53"/>
  <c r="I405" i="53"/>
  <c r="H405" i="53"/>
  <c r="G405" i="53"/>
  <c r="F405" i="53"/>
  <c r="Z404" i="53"/>
  <c r="Y404" i="53"/>
  <c r="X404" i="53"/>
  <c r="W404" i="53"/>
  <c r="V404" i="53"/>
  <c r="U404" i="53"/>
  <c r="T404" i="53"/>
  <c r="S404" i="53"/>
  <c r="R404" i="53"/>
  <c r="Q404" i="53"/>
  <c r="P404" i="53"/>
  <c r="O404" i="53"/>
  <c r="N404" i="53"/>
  <c r="M404" i="53"/>
  <c r="L404" i="53"/>
  <c r="K404" i="53"/>
  <c r="J404" i="53"/>
  <c r="I404" i="53"/>
  <c r="H404" i="53"/>
  <c r="G404" i="53"/>
  <c r="F404" i="53"/>
  <c r="F391" i="53"/>
  <c r="Z365" i="53"/>
  <c r="Y365" i="53"/>
  <c r="X365" i="53"/>
  <c r="W365" i="53"/>
  <c r="V365" i="53"/>
  <c r="U365" i="53"/>
  <c r="T365" i="53"/>
  <c r="S365" i="53"/>
  <c r="R365" i="53"/>
  <c r="Q365" i="53"/>
  <c r="P365" i="53"/>
  <c r="O365" i="53"/>
  <c r="N365" i="53"/>
  <c r="M365" i="53"/>
  <c r="L365" i="53"/>
  <c r="K365" i="53"/>
  <c r="J365" i="53"/>
  <c r="I365" i="53"/>
  <c r="H365" i="53"/>
  <c r="G365" i="53"/>
  <c r="F365" i="53"/>
  <c r="Z364" i="53"/>
  <c r="Y364" i="53"/>
  <c r="X364" i="53"/>
  <c r="W364" i="53"/>
  <c r="V364" i="53"/>
  <c r="U364" i="53"/>
  <c r="T364" i="53"/>
  <c r="S364" i="53"/>
  <c r="R364" i="53"/>
  <c r="Q364" i="53"/>
  <c r="P364" i="53"/>
  <c r="O364" i="53"/>
  <c r="N364" i="53"/>
  <c r="M364" i="53"/>
  <c r="L364" i="53"/>
  <c r="K364" i="53"/>
  <c r="J364" i="53"/>
  <c r="I364" i="53"/>
  <c r="H364" i="53"/>
  <c r="G364" i="53"/>
  <c r="F364" i="53"/>
  <c r="Z347" i="53"/>
  <c r="Y347" i="53"/>
  <c r="X347" i="53"/>
  <c r="W347" i="53"/>
  <c r="V347" i="53"/>
  <c r="U347" i="53"/>
  <c r="T347" i="53"/>
  <c r="S347" i="53"/>
  <c r="R347" i="53"/>
  <c r="Q347" i="53"/>
  <c r="P347" i="53"/>
  <c r="O347" i="53"/>
  <c r="N347" i="53"/>
  <c r="M347" i="53"/>
  <c r="L347" i="53"/>
  <c r="K347" i="53"/>
  <c r="J347" i="53"/>
  <c r="I347" i="53"/>
  <c r="H347" i="53"/>
  <c r="G347" i="53"/>
  <c r="F347" i="53"/>
  <c r="D347" i="53"/>
  <c r="Z336" i="53"/>
  <c r="Y336" i="53"/>
  <c r="X336" i="53"/>
  <c r="W336" i="53"/>
  <c r="V336" i="53"/>
  <c r="U336" i="53"/>
  <c r="T336" i="53"/>
  <c r="S336" i="53"/>
  <c r="R336" i="53"/>
  <c r="Q336" i="53"/>
  <c r="P336" i="53"/>
  <c r="O336" i="53"/>
  <c r="N336" i="53"/>
  <c r="M336" i="53"/>
  <c r="F336" i="53"/>
  <c r="G336" i="53"/>
  <c r="H336" i="53"/>
  <c r="I336" i="53"/>
  <c r="J336" i="53"/>
  <c r="K336" i="53"/>
  <c r="L336" i="53"/>
  <c r="D336" i="53"/>
  <c r="Z261" i="53"/>
  <c r="Y261" i="53"/>
  <c r="X261" i="53"/>
  <c r="W261" i="53"/>
  <c r="V261" i="53"/>
  <c r="U261" i="53"/>
  <c r="T261" i="53"/>
  <c r="S261" i="53"/>
  <c r="R261" i="53"/>
  <c r="Q261" i="53"/>
  <c r="P261" i="53"/>
  <c r="O261" i="53"/>
  <c r="N261" i="53"/>
  <c r="M261" i="53"/>
  <c r="L261" i="53"/>
  <c r="K261" i="53"/>
  <c r="J261" i="53"/>
  <c r="I261" i="53"/>
  <c r="H261" i="53"/>
  <c r="G261" i="53"/>
  <c r="F261" i="53"/>
  <c r="F243" i="53"/>
  <c r="F242" i="53"/>
  <c r="Z216" i="53"/>
  <c r="Y216" i="53"/>
  <c r="X216" i="53"/>
  <c r="W216" i="53"/>
  <c r="V216" i="53"/>
  <c r="U216" i="53"/>
  <c r="T216" i="53"/>
  <c r="S216" i="53"/>
  <c r="R216" i="53"/>
  <c r="Q216" i="53"/>
  <c r="P216" i="53"/>
  <c r="O216" i="53"/>
  <c r="N216" i="53"/>
  <c r="M216" i="53"/>
  <c r="L216" i="53"/>
  <c r="K216" i="53"/>
  <c r="J216" i="53"/>
  <c r="I216" i="53"/>
  <c r="H216" i="53"/>
  <c r="G216" i="53"/>
  <c r="F216" i="53"/>
  <c r="F173" i="53"/>
  <c r="F142" i="53"/>
  <c r="F125" i="53"/>
  <c r="F124" i="53"/>
  <c r="F102" i="53"/>
  <c r="F101" i="53"/>
  <c r="F81" i="53"/>
  <c r="F80" i="53"/>
  <c r="F60" i="53"/>
  <c r="F59" i="53"/>
  <c r="F39" i="53"/>
  <c r="F38" i="53"/>
  <c r="F16" i="53"/>
  <c r="F15" i="53"/>
  <c r="E2" i="53"/>
  <c r="F414" i="53"/>
  <c r="G402" i="53"/>
  <c r="G414" i="53"/>
  <c r="F374" i="53"/>
  <c r="G362" i="53"/>
  <c r="G374" i="53"/>
  <c r="Z405" i="52"/>
  <c r="Y405" i="52"/>
  <c r="X405" i="52"/>
  <c r="W405" i="52"/>
  <c r="V405" i="52"/>
  <c r="U405" i="52"/>
  <c r="T405" i="52"/>
  <c r="S405" i="52"/>
  <c r="R405" i="52"/>
  <c r="Q405" i="52"/>
  <c r="P405" i="52"/>
  <c r="O405" i="52"/>
  <c r="N405" i="52"/>
  <c r="M405" i="52"/>
  <c r="L405" i="52"/>
  <c r="K405" i="52"/>
  <c r="J405" i="52"/>
  <c r="I405" i="52"/>
  <c r="H405" i="52"/>
  <c r="G405" i="52"/>
  <c r="F405" i="52"/>
  <c r="Z404" i="52"/>
  <c r="Y404" i="52"/>
  <c r="X404" i="52"/>
  <c r="W404" i="52"/>
  <c r="V404" i="52"/>
  <c r="U404" i="52"/>
  <c r="T404" i="52"/>
  <c r="S404" i="52"/>
  <c r="R404" i="52"/>
  <c r="Q404" i="52"/>
  <c r="P404" i="52"/>
  <c r="O404" i="52"/>
  <c r="N404" i="52"/>
  <c r="M404" i="52"/>
  <c r="L404" i="52"/>
  <c r="K404" i="52"/>
  <c r="J404" i="52"/>
  <c r="I404" i="52"/>
  <c r="H404" i="52"/>
  <c r="G404" i="52"/>
  <c r="F404" i="52"/>
  <c r="F391" i="52"/>
  <c r="Z365" i="52"/>
  <c r="Y365" i="52"/>
  <c r="X365" i="52"/>
  <c r="W365" i="52"/>
  <c r="V365" i="52"/>
  <c r="U365" i="52"/>
  <c r="T365" i="52"/>
  <c r="S365" i="52"/>
  <c r="R365" i="52"/>
  <c r="Q365" i="52"/>
  <c r="P365" i="52"/>
  <c r="O365" i="52"/>
  <c r="N365" i="52"/>
  <c r="M365" i="52"/>
  <c r="L365" i="52"/>
  <c r="K365" i="52"/>
  <c r="J365" i="52"/>
  <c r="I365" i="52"/>
  <c r="H365" i="52"/>
  <c r="G365" i="52"/>
  <c r="F365" i="52"/>
  <c r="Z364" i="52"/>
  <c r="Y364" i="52"/>
  <c r="X364" i="52"/>
  <c r="W364" i="52"/>
  <c r="V364" i="52"/>
  <c r="U364" i="52"/>
  <c r="T364" i="52"/>
  <c r="S364" i="52"/>
  <c r="R364" i="52"/>
  <c r="Q364" i="52"/>
  <c r="P364" i="52"/>
  <c r="O364" i="52"/>
  <c r="N364" i="52"/>
  <c r="M364" i="52"/>
  <c r="L364" i="52"/>
  <c r="K364" i="52"/>
  <c r="J364" i="52"/>
  <c r="I364" i="52"/>
  <c r="H364" i="52"/>
  <c r="G364" i="52"/>
  <c r="F364" i="52"/>
  <c r="Z347" i="52"/>
  <c r="Y347" i="52"/>
  <c r="X347" i="52"/>
  <c r="W347" i="52"/>
  <c r="V347" i="52"/>
  <c r="U347" i="52"/>
  <c r="T347" i="52"/>
  <c r="S347" i="52"/>
  <c r="R347" i="52"/>
  <c r="Q347" i="52"/>
  <c r="P347" i="52"/>
  <c r="O347" i="52"/>
  <c r="N347" i="52"/>
  <c r="M347" i="52"/>
  <c r="L347" i="52"/>
  <c r="K347" i="52"/>
  <c r="J347" i="52"/>
  <c r="I347" i="52"/>
  <c r="H347" i="52"/>
  <c r="G347" i="52"/>
  <c r="F347" i="52"/>
  <c r="D347" i="52"/>
  <c r="Z336" i="52"/>
  <c r="Y336" i="52"/>
  <c r="X336" i="52"/>
  <c r="W336" i="52"/>
  <c r="V336" i="52"/>
  <c r="U336" i="52"/>
  <c r="T336" i="52"/>
  <c r="S336" i="52"/>
  <c r="R336" i="52"/>
  <c r="Q336" i="52"/>
  <c r="P336" i="52"/>
  <c r="O336" i="52"/>
  <c r="N336" i="52"/>
  <c r="M336" i="52"/>
  <c r="L336" i="52"/>
  <c r="K336" i="52"/>
  <c r="J336" i="52"/>
  <c r="I336" i="52"/>
  <c r="H336" i="52"/>
  <c r="F336" i="52"/>
  <c r="G336" i="52"/>
  <c r="D336" i="52"/>
  <c r="Z261" i="52"/>
  <c r="Y261" i="52"/>
  <c r="X261" i="52"/>
  <c r="W261" i="52"/>
  <c r="V261" i="52"/>
  <c r="U261" i="52"/>
  <c r="T261" i="52"/>
  <c r="S261" i="52"/>
  <c r="R261" i="52"/>
  <c r="Q261" i="52"/>
  <c r="P261" i="52"/>
  <c r="O261" i="52"/>
  <c r="N261" i="52"/>
  <c r="M261" i="52"/>
  <c r="L261" i="52"/>
  <c r="K261" i="52"/>
  <c r="J261" i="52"/>
  <c r="I261" i="52"/>
  <c r="H261" i="52"/>
  <c r="G261" i="52"/>
  <c r="F261" i="52"/>
  <c r="F243" i="52"/>
  <c r="F242" i="52"/>
  <c r="Z216" i="52"/>
  <c r="Y216" i="52"/>
  <c r="X216" i="52"/>
  <c r="W216" i="52"/>
  <c r="V216" i="52"/>
  <c r="U216" i="52"/>
  <c r="T216" i="52"/>
  <c r="S216" i="52"/>
  <c r="R216" i="52"/>
  <c r="Q216" i="52"/>
  <c r="P216" i="52"/>
  <c r="O216" i="52"/>
  <c r="N216" i="52"/>
  <c r="M216" i="52"/>
  <c r="L216" i="52"/>
  <c r="K216" i="52"/>
  <c r="J216" i="52"/>
  <c r="I216" i="52"/>
  <c r="H216" i="52"/>
  <c r="G216" i="52"/>
  <c r="F216" i="52"/>
  <c r="F173" i="52"/>
  <c r="F142" i="52"/>
  <c r="F125" i="52"/>
  <c r="F124" i="52"/>
  <c r="F102" i="52"/>
  <c r="F101" i="52"/>
  <c r="F81" i="52"/>
  <c r="F80" i="52"/>
  <c r="F60" i="52"/>
  <c r="F59" i="52"/>
  <c r="F39" i="52"/>
  <c r="F38" i="52"/>
  <c r="F16" i="52"/>
  <c r="F15" i="52"/>
  <c r="E2" i="52"/>
  <c r="F414" i="52"/>
  <c r="G402" i="52"/>
  <c r="H402" i="52"/>
  <c r="F374" i="52"/>
  <c r="G362" i="52"/>
  <c r="G374" i="52"/>
  <c r="E2" i="50"/>
  <c r="F243" i="50"/>
  <c r="F242" i="50"/>
  <c r="F391" i="50"/>
  <c r="Z365" i="50"/>
  <c r="Y365" i="50"/>
  <c r="X365" i="50"/>
  <c r="W365" i="50"/>
  <c r="V365" i="50"/>
  <c r="U365" i="50"/>
  <c r="T365" i="50"/>
  <c r="S365" i="50"/>
  <c r="R365" i="50"/>
  <c r="Q365" i="50"/>
  <c r="P365" i="50"/>
  <c r="O365" i="50"/>
  <c r="N365" i="50"/>
  <c r="M365" i="50"/>
  <c r="L365" i="50"/>
  <c r="K365" i="50"/>
  <c r="J365" i="50"/>
  <c r="I365" i="50"/>
  <c r="H365" i="50"/>
  <c r="G365" i="50"/>
  <c r="F365" i="50"/>
  <c r="Z364" i="50"/>
  <c r="Y364" i="50"/>
  <c r="X364" i="50"/>
  <c r="W364" i="50"/>
  <c r="V364" i="50"/>
  <c r="U364" i="50"/>
  <c r="T364" i="50"/>
  <c r="S364" i="50"/>
  <c r="R364" i="50"/>
  <c r="Q364" i="50"/>
  <c r="P364" i="50"/>
  <c r="O364" i="50"/>
  <c r="N364" i="50"/>
  <c r="M364" i="50"/>
  <c r="L364" i="50"/>
  <c r="K364" i="50"/>
  <c r="J364" i="50"/>
  <c r="I364" i="50"/>
  <c r="H364" i="50"/>
  <c r="G364" i="50"/>
  <c r="F364" i="50"/>
  <c r="Z261" i="50"/>
  <c r="Y261" i="50"/>
  <c r="X261" i="50"/>
  <c r="W261" i="50"/>
  <c r="V261" i="50"/>
  <c r="U261" i="50"/>
  <c r="T261" i="50"/>
  <c r="S261" i="50"/>
  <c r="R261" i="50"/>
  <c r="Q261" i="50"/>
  <c r="P261" i="50"/>
  <c r="O261" i="50"/>
  <c r="N261" i="50"/>
  <c r="M261" i="50"/>
  <c r="L261" i="50"/>
  <c r="K261" i="50"/>
  <c r="J261" i="50"/>
  <c r="I261" i="50"/>
  <c r="H261" i="50"/>
  <c r="G261" i="50"/>
  <c r="F261" i="50"/>
  <c r="F16" i="50"/>
  <c r="F15" i="50"/>
  <c r="Z216" i="50"/>
  <c r="Y216" i="50"/>
  <c r="X216" i="50"/>
  <c r="W216" i="50"/>
  <c r="V216" i="50"/>
  <c r="U216" i="50"/>
  <c r="T216" i="50"/>
  <c r="S216" i="50"/>
  <c r="R216" i="50"/>
  <c r="Q216" i="50"/>
  <c r="P216" i="50"/>
  <c r="O216" i="50"/>
  <c r="N216" i="50"/>
  <c r="M216" i="50"/>
  <c r="L216" i="50"/>
  <c r="K216" i="50"/>
  <c r="J216" i="50"/>
  <c r="I216" i="50"/>
  <c r="H216" i="50"/>
  <c r="G216" i="50"/>
  <c r="F216" i="50"/>
  <c r="F173" i="50"/>
  <c r="F142" i="50"/>
  <c r="F125" i="50"/>
  <c r="F124" i="50"/>
  <c r="F102" i="50"/>
  <c r="F101" i="50"/>
  <c r="F81" i="50"/>
  <c r="F80" i="50"/>
  <c r="F60" i="50"/>
  <c r="F59" i="50"/>
  <c r="F39" i="50"/>
  <c r="F38" i="50"/>
  <c r="W18" i="45"/>
  <c r="J27" i="54"/>
  <c r="AA310" i="33"/>
  <c r="AB309" i="33"/>
  <c r="AB308" i="33"/>
  <c r="AA309" i="33"/>
  <c r="AA311" i="33"/>
  <c r="AA325" i="33"/>
  <c r="AK311" i="33"/>
  <c r="AJ311" i="33"/>
  <c r="H362" i="53"/>
  <c r="G414" i="52"/>
  <c r="H362" i="52"/>
  <c r="Z405" i="50"/>
  <c r="Y405" i="50"/>
  <c r="X405" i="50"/>
  <c r="W405" i="50"/>
  <c r="V405" i="50"/>
  <c r="U405" i="50"/>
  <c r="T405" i="50"/>
  <c r="S405" i="50"/>
  <c r="R405" i="50"/>
  <c r="Q405" i="50"/>
  <c r="P405" i="50"/>
  <c r="O405" i="50"/>
  <c r="N405" i="50"/>
  <c r="M405" i="50"/>
  <c r="L405" i="50"/>
  <c r="K405" i="50"/>
  <c r="J405" i="50"/>
  <c r="I405" i="50"/>
  <c r="H405" i="50"/>
  <c r="G405" i="50"/>
  <c r="F405" i="50"/>
  <c r="Z404" i="50"/>
  <c r="Y404" i="50"/>
  <c r="X404" i="50"/>
  <c r="W404" i="50"/>
  <c r="V404" i="50"/>
  <c r="U404" i="50"/>
  <c r="T404" i="50"/>
  <c r="S404" i="50"/>
  <c r="R404" i="50"/>
  <c r="Q404" i="50"/>
  <c r="P404" i="50"/>
  <c r="O404" i="50"/>
  <c r="N404" i="50"/>
  <c r="M404" i="50"/>
  <c r="L404" i="50"/>
  <c r="K404" i="50"/>
  <c r="J404" i="50"/>
  <c r="I404" i="50"/>
  <c r="H404" i="50"/>
  <c r="G404" i="50"/>
  <c r="F404" i="50"/>
  <c r="Z347" i="50"/>
  <c r="Y347" i="50"/>
  <c r="X347" i="50"/>
  <c r="W347" i="50"/>
  <c r="V347" i="50"/>
  <c r="U347" i="50"/>
  <c r="T347" i="50"/>
  <c r="S347" i="50"/>
  <c r="R347" i="50"/>
  <c r="Q347" i="50"/>
  <c r="P347" i="50"/>
  <c r="O347" i="50"/>
  <c r="N347" i="50"/>
  <c r="M347" i="50"/>
  <c r="L347" i="50"/>
  <c r="K347" i="50"/>
  <c r="J347" i="50"/>
  <c r="I347" i="50"/>
  <c r="H347" i="50"/>
  <c r="G347" i="50"/>
  <c r="F347" i="50"/>
  <c r="D347" i="50"/>
  <c r="Z336" i="50"/>
  <c r="Y336" i="50"/>
  <c r="X336" i="50"/>
  <c r="W336" i="50"/>
  <c r="V336" i="50"/>
  <c r="U336" i="50"/>
  <c r="T336" i="50"/>
  <c r="S336" i="50"/>
  <c r="R336" i="50"/>
  <c r="Q336" i="50"/>
  <c r="P336" i="50"/>
  <c r="O336" i="50"/>
  <c r="N336" i="50"/>
  <c r="M336" i="50"/>
  <c r="L336" i="50"/>
  <c r="K336" i="50"/>
  <c r="J336" i="50"/>
  <c r="I336" i="50"/>
  <c r="H336" i="50"/>
  <c r="G336" i="50"/>
  <c r="F336" i="50"/>
  <c r="D336" i="50"/>
  <c r="G402" i="50"/>
  <c r="G414" i="50"/>
  <c r="F414" i="50"/>
  <c r="H402" i="50"/>
  <c r="F374" i="50"/>
  <c r="G362" i="50"/>
  <c r="H362" i="50"/>
  <c r="H374" i="50"/>
  <c r="AI292" i="33"/>
  <c r="Z292" i="33"/>
  <c r="AI279" i="33"/>
  <c r="AB295" i="33"/>
  <c r="AK295" i="33"/>
  <c r="AJ295" i="33"/>
  <c r="AF291" i="33"/>
  <c r="AO291" i="33"/>
  <c r="AC290" i="33"/>
  <c r="AL290" i="33"/>
  <c r="AB283" i="33"/>
  <c r="AB284" i="33"/>
  <c r="AA283" i="33"/>
  <c r="AK282" i="33"/>
  <c r="AJ282" i="33"/>
  <c r="AA282" i="33"/>
  <c r="AB281" i="33"/>
  <c r="AA281" i="33"/>
  <c r="AB294" i="33"/>
  <c r="AA294" i="33"/>
  <c r="AO278" i="33"/>
  <c r="AG278" i="33"/>
  <c r="AP278" i="33"/>
  <c r="AG291" i="33"/>
  <c r="AP291" i="33"/>
  <c r="AE291" i="33"/>
  <c r="AN291" i="33"/>
  <c r="AL277" i="33"/>
  <c r="AB257" i="33"/>
  <c r="AB258" i="33"/>
  <c r="AB259" i="33"/>
  <c r="AB255" i="33"/>
  <c r="AB268" i="33"/>
  <c r="AA256" i="33"/>
  <c r="AC264" i="33"/>
  <c r="AL264" i="33"/>
  <c r="AL250" i="33"/>
  <c r="AG251" i="33"/>
  <c r="AE251" i="33"/>
  <c r="AD251" i="33"/>
  <c r="AE265" i="33"/>
  <c r="AN265" i="33"/>
  <c r="K27" i="54"/>
  <c r="L27" i="54"/>
  <c r="AK309" i="33"/>
  <c r="AJ309" i="33"/>
  <c r="AB324" i="33"/>
  <c r="AK324" i="33"/>
  <c r="AJ324" i="33"/>
  <c r="AA295" i="33"/>
  <c r="AK312" i="33"/>
  <c r="AJ312" i="33"/>
  <c r="AA312" i="33"/>
  <c r="AB327" i="33"/>
  <c r="AB280" i="33"/>
  <c r="AA280" i="33"/>
  <c r="AK281" i="33"/>
  <c r="AJ281" i="33"/>
  <c r="AN278" i="33"/>
  <c r="AD278" i="33"/>
  <c r="AD291" i="33"/>
  <c r="AM291" i="33"/>
  <c r="H374" i="53"/>
  <c r="I362" i="53"/>
  <c r="J362" i="53"/>
  <c r="H374" i="52"/>
  <c r="I362" i="52"/>
  <c r="I374" i="52"/>
  <c r="G374" i="50"/>
  <c r="I362" i="50"/>
  <c r="J362" i="50"/>
  <c r="AK294" i="33"/>
  <c r="AJ294" i="33"/>
  <c r="AB279" i="33"/>
  <c r="AB292" i="33"/>
  <c r="AK283" i="33"/>
  <c r="AJ283" i="33"/>
  <c r="AB296" i="33"/>
  <c r="AA296" i="33"/>
  <c r="AO265" i="33"/>
  <c r="AO251" i="33"/>
  <c r="AN251" i="33"/>
  <c r="AD225" i="33"/>
  <c r="AD238" i="33"/>
  <c r="AM238" i="33"/>
  <c r="AB239" i="33"/>
  <c r="AK239" i="33"/>
  <c r="AJ239" i="33"/>
  <c r="AC238" i="33"/>
  <c r="AL238" i="33"/>
  <c r="AL225" i="33"/>
  <c r="AK226" i="33"/>
  <c r="AB227" i="33"/>
  <c r="AB240" i="33"/>
  <c r="AA227" i="33"/>
  <c r="AA226" i="33"/>
  <c r="P206" i="33"/>
  <c r="O206" i="33"/>
  <c r="P217" i="33"/>
  <c r="AK227" i="33"/>
  <c r="AJ227" i="33"/>
  <c r="AB228" i="33"/>
  <c r="AK228" i="33"/>
  <c r="AJ228" i="33"/>
  <c r="AA324" i="33"/>
  <c r="AK327" i="33"/>
  <c r="AJ327" i="33"/>
  <c r="AA327" i="33"/>
  <c r="AA313" i="33"/>
  <c r="AK280" i="33"/>
  <c r="AJ280" i="33"/>
  <c r="AB293" i="33"/>
  <c r="AK293" i="33"/>
  <c r="AJ293" i="33"/>
  <c r="I374" i="53"/>
  <c r="J362" i="52"/>
  <c r="J374" i="52"/>
  <c r="AK296" i="33"/>
  <c r="AJ296" i="33"/>
  <c r="AA257" i="33"/>
  <c r="AK256" i="33"/>
  <c r="AJ256" i="33"/>
  <c r="AG265" i="33"/>
  <c r="AP265" i="33"/>
  <c r="AP251" i="33"/>
  <c r="AE225" i="33"/>
  <c r="AF225" i="33"/>
  <c r="AA239" i="33"/>
  <c r="AJ226" i="33"/>
  <c r="AA228" i="33"/>
  <c r="AB241" i="33"/>
  <c r="AK241" i="33"/>
  <c r="AJ241" i="33"/>
  <c r="AB229" i="33"/>
  <c r="AB242" i="33"/>
  <c r="AA293" i="33"/>
  <c r="AA241" i="33"/>
  <c r="AK257" i="33"/>
  <c r="AJ257" i="33"/>
  <c r="AB270" i="33"/>
  <c r="AA270" i="33"/>
  <c r="AA258" i="33"/>
  <c r="AE238" i="33"/>
  <c r="AN238" i="33"/>
  <c r="M4" i="31"/>
  <c r="M22" i="31"/>
  <c r="M73" i="31"/>
  <c r="A158" i="39"/>
  <c r="A159" i="39"/>
  <c r="A160" i="39"/>
  <c r="A161" i="39"/>
  <c r="A162" i="39"/>
  <c r="A163" i="39"/>
  <c r="A164" i="39"/>
  <c r="AV3" i="31"/>
  <c r="AW3" i="31"/>
  <c r="AV4" i="31"/>
  <c r="AV22" i="31"/>
  <c r="AV66" i="31"/>
  <c r="AU4" i="31"/>
  <c r="AU22" i="31"/>
  <c r="A129" i="39"/>
  <c r="A130" i="39"/>
  <c r="A131" i="39"/>
  <c r="A132" i="39"/>
  <c r="A133" i="39"/>
  <c r="A134" i="39"/>
  <c r="A135" i="39"/>
  <c r="B146" i="39"/>
  <c r="B145" i="39"/>
  <c r="B144" i="39"/>
  <c r="B143" i="39"/>
  <c r="B142" i="39"/>
  <c r="B141" i="39"/>
  <c r="B140" i="39"/>
  <c r="B139" i="39"/>
  <c r="AK3" i="31"/>
  <c r="AJ4" i="31"/>
  <c r="AJ22" i="31"/>
  <c r="A100" i="39"/>
  <c r="A101" i="39"/>
  <c r="A102" i="39"/>
  <c r="A103" i="39"/>
  <c r="A104" i="39"/>
  <c r="A105" i="39"/>
  <c r="A106" i="39"/>
  <c r="B117" i="39"/>
  <c r="B116" i="39"/>
  <c r="B115" i="39"/>
  <c r="B114" i="39"/>
  <c r="B113" i="39"/>
  <c r="B112" i="39"/>
  <c r="B111" i="39"/>
  <c r="B110" i="39"/>
  <c r="B88" i="39"/>
  <c r="B87" i="39"/>
  <c r="B86" i="39"/>
  <c r="B85" i="39"/>
  <c r="B84" i="39"/>
  <c r="B83" i="39"/>
  <c r="B82" i="39"/>
  <c r="B81" i="39"/>
  <c r="Z3" i="31"/>
  <c r="AA3" i="31"/>
  <c r="AB3" i="31"/>
  <c r="Y4" i="31"/>
  <c r="Y22" i="31"/>
  <c r="AR8" i="43"/>
  <c r="F163" i="33"/>
  <c r="F165" i="33"/>
  <c r="H106" i="48"/>
  <c r="H107" i="48"/>
  <c r="G106" i="48"/>
  <c r="G107" i="48"/>
  <c r="F106" i="48"/>
  <c r="F107" i="48"/>
  <c r="H149" i="33"/>
  <c r="H147" i="33"/>
  <c r="G149" i="33"/>
  <c r="G147" i="33"/>
  <c r="F149" i="33"/>
  <c r="F147" i="33"/>
  <c r="H84" i="48"/>
  <c r="H85" i="48"/>
  <c r="H87" i="48"/>
  <c r="H88" i="48"/>
  <c r="G87" i="48"/>
  <c r="G88" i="48"/>
  <c r="D45" i="48"/>
  <c r="D47" i="48"/>
  <c r="H33" i="48"/>
  <c r="G33" i="48"/>
  <c r="A12" i="35"/>
  <c r="A13" i="35"/>
  <c r="A14" i="35"/>
  <c r="A15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F87" i="48"/>
  <c r="F84" i="48"/>
  <c r="F81" i="48"/>
  <c r="F80" i="48"/>
  <c r="H105" i="48"/>
  <c r="G105" i="48"/>
  <c r="F105" i="48"/>
  <c r="H103" i="48"/>
  <c r="G103" i="48"/>
  <c r="H102" i="48"/>
  <c r="G102" i="48"/>
  <c r="F102" i="48"/>
  <c r="H101" i="48"/>
  <c r="G101" i="48"/>
  <c r="F101" i="48"/>
  <c r="H100" i="48"/>
  <c r="G100" i="48"/>
  <c r="F100" i="48"/>
  <c r="B95" i="48"/>
  <c r="H94" i="48"/>
  <c r="G94" i="48"/>
  <c r="F94" i="48"/>
  <c r="E94" i="48"/>
  <c r="G84" i="48"/>
  <c r="G85" i="48"/>
  <c r="G81" i="48"/>
  <c r="H80" i="48"/>
  <c r="H81" i="48"/>
  <c r="G80" i="48"/>
  <c r="H73" i="48"/>
  <c r="G73" i="48"/>
  <c r="E73" i="48"/>
  <c r="H72" i="48"/>
  <c r="G72" i="48"/>
  <c r="E72" i="48"/>
  <c r="H71" i="48"/>
  <c r="G71" i="48"/>
  <c r="E71" i="48"/>
  <c r="H70" i="48"/>
  <c r="G70" i="48"/>
  <c r="E70" i="48"/>
  <c r="H69" i="48"/>
  <c r="G69" i="48"/>
  <c r="E69" i="48"/>
  <c r="J19" i="32"/>
  <c r="T70" i="48"/>
  <c r="I19" i="32"/>
  <c r="H19" i="32"/>
  <c r="H66" i="48"/>
  <c r="G66" i="48"/>
  <c r="E66" i="48"/>
  <c r="H65" i="48"/>
  <c r="G65" i="48"/>
  <c r="E65" i="48"/>
  <c r="H64" i="48"/>
  <c r="G64" i="48"/>
  <c r="E64" i="48"/>
  <c r="H63" i="48"/>
  <c r="G63" i="48"/>
  <c r="H62" i="48"/>
  <c r="G62" i="48"/>
  <c r="T62" i="48"/>
  <c r="R62" i="48"/>
  <c r="P62" i="48"/>
  <c r="T61" i="48"/>
  <c r="R61" i="48"/>
  <c r="P61" i="48"/>
  <c r="G56" i="48"/>
  <c r="F56" i="48"/>
  <c r="D55" i="48"/>
  <c r="H52" i="48"/>
  <c r="G52" i="48"/>
  <c r="B52" i="48"/>
  <c r="G51" i="48"/>
  <c r="F51" i="48"/>
  <c r="B51" i="48"/>
  <c r="H50" i="48"/>
  <c r="G50" i="48"/>
  <c r="B50" i="48"/>
  <c r="H56" i="39"/>
  <c r="T43" i="48"/>
  <c r="G56" i="39"/>
  <c r="R43" i="48"/>
  <c r="F56" i="39"/>
  <c r="P43" i="48"/>
  <c r="G39" i="48"/>
  <c r="G40" i="48"/>
  <c r="F39" i="48"/>
  <c r="F40" i="48"/>
  <c r="H51" i="39"/>
  <c r="T41" i="48"/>
  <c r="G51" i="39"/>
  <c r="R41" i="48"/>
  <c r="F51" i="39"/>
  <c r="P41" i="48"/>
  <c r="B36" i="48"/>
  <c r="B84" i="48"/>
  <c r="H59" i="39"/>
  <c r="T38" i="48"/>
  <c r="G59" i="39"/>
  <c r="R38" i="48"/>
  <c r="F59" i="39"/>
  <c r="P38" i="48"/>
  <c r="B33" i="48"/>
  <c r="B81" i="48"/>
  <c r="H40" i="39"/>
  <c r="T34" i="48"/>
  <c r="G40" i="39"/>
  <c r="R34" i="48"/>
  <c r="F40" i="39"/>
  <c r="P34" i="48"/>
  <c r="B80" i="48"/>
  <c r="H35" i="39"/>
  <c r="T32" i="48"/>
  <c r="G35" i="39"/>
  <c r="R32" i="48"/>
  <c r="F35" i="39"/>
  <c r="P32" i="48"/>
  <c r="H43" i="39"/>
  <c r="T29" i="48"/>
  <c r="G43" i="39"/>
  <c r="R29" i="48"/>
  <c r="F43" i="39"/>
  <c r="P29" i="48"/>
  <c r="B26" i="48"/>
  <c r="H24" i="39"/>
  <c r="T25" i="48"/>
  <c r="G24" i="39"/>
  <c r="R25" i="48"/>
  <c r="F24" i="39"/>
  <c r="P25" i="48"/>
  <c r="B25" i="48"/>
  <c r="B24" i="48"/>
  <c r="H13" i="39"/>
  <c r="T23" i="48"/>
  <c r="G13" i="39"/>
  <c r="R23" i="48"/>
  <c r="F13" i="39"/>
  <c r="P23" i="48"/>
  <c r="B23" i="48"/>
  <c r="B22" i="48"/>
  <c r="T20" i="48"/>
  <c r="R20" i="48"/>
  <c r="P20" i="48"/>
  <c r="D19" i="48"/>
  <c r="D26" i="48"/>
  <c r="D18" i="48"/>
  <c r="D25" i="48"/>
  <c r="D17" i="48"/>
  <c r="D24" i="48"/>
  <c r="D16" i="48"/>
  <c r="D23" i="48"/>
  <c r="L15" i="48"/>
  <c r="D15" i="48"/>
  <c r="D22" i="48"/>
  <c r="L12" i="48"/>
  <c r="L11" i="48"/>
  <c r="L10" i="48"/>
  <c r="L9" i="48"/>
  <c r="L7" i="48"/>
  <c r="L6" i="48"/>
  <c r="H6" i="48"/>
  <c r="G6" i="48"/>
  <c r="F6" i="48"/>
  <c r="B87" i="48"/>
  <c r="N90" i="33"/>
  <c r="P90" i="33"/>
  <c r="AU10" i="47"/>
  <c r="AT10" i="47"/>
  <c r="AS10" i="47"/>
  <c r="AR10" i="47"/>
  <c r="AQ10" i="47"/>
  <c r="AP10" i="47"/>
  <c r="AO10" i="47"/>
  <c r="AN10" i="47"/>
  <c r="AM10" i="47"/>
  <c r="AL10" i="47"/>
  <c r="AK10" i="47"/>
  <c r="AJ10" i="47"/>
  <c r="AI10" i="47"/>
  <c r="AH10" i="47"/>
  <c r="AG10" i="47"/>
  <c r="AF10" i="47"/>
  <c r="AE10" i="47"/>
  <c r="AD10" i="47"/>
  <c r="AC10" i="47"/>
  <c r="AB10" i="47"/>
  <c r="AU9" i="47"/>
  <c r="AT9" i="47"/>
  <c r="AS9" i="47"/>
  <c r="AR9" i="47"/>
  <c r="AQ9" i="47"/>
  <c r="AP9" i="47"/>
  <c r="AO9" i="47"/>
  <c r="AN9" i="47"/>
  <c r="AM9" i="47"/>
  <c r="AL9" i="47"/>
  <c r="AK9" i="47"/>
  <c r="AJ9" i="47"/>
  <c r="AI9" i="47"/>
  <c r="AH9" i="47"/>
  <c r="AG9" i="47"/>
  <c r="AF9" i="47"/>
  <c r="AE9" i="47"/>
  <c r="AD9" i="47"/>
  <c r="AC9" i="47"/>
  <c r="AB9" i="47"/>
  <c r="AU8" i="47"/>
  <c r="AT8" i="47"/>
  <c r="AS8" i="47"/>
  <c r="AR8" i="47"/>
  <c r="AQ8" i="47"/>
  <c r="AP8" i="47"/>
  <c r="AO8" i="47"/>
  <c r="AN8" i="47"/>
  <c r="AM8" i="47"/>
  <c r="AL8" i="47"/>
  <c r="AK8" i="47"/>
  <c r="AJ8" i="47"/>
  <c r="AI8" i="47"/>
  <c r="AH8" i="47"/>
  <c r="AG8" i="47"/>
  <c r="AF8" i="47"/>
  <c r="AE8" i="47"/>
  <c r="AD8" i="47"/>
  <c r="AC8" i="47"/>
  <c r="AB8" i="47"/>
  <c r="F33" i="43"/>
  <c r="F34" i="43"/>
  <c r="F35" i="43"/>
  <c r="E22" i="33"/>
  <c r="E23" i="33"/>
  <c r="E24" i="33"/>
  <c r="E25" i="33"/>
  <c r="E26" i="33"/>
  <c r="E27" i="33"/>
  <c r="E28" i="33"/>
  <c r="E29" i="33"/>
  <c r="E30" i="33"/>
  <c r="E31" i="33"/>
  <c r="E32" i="33"/>
  <c r="E33" i="33"/>
  <c r="E34" i="33"/>
  <c r="E35" i="33"/>
  <c r="E36" i="33"/>
  <c r="E37" i="33"/>
  <c r="AB24" i="43"/>
  <c r="AC24" i="43"/>
  <c r="AD24" i="43"/>
  <c r="AE24" i="43"/>
  <c r="AF24" i="43"/>
  <c r="AH24" i="43"/>
  <c r="AB25" i="43"/>
  <c r="AB26" i="43"/>
  <c r="AC25" i="43"/>
  <c r="AD25" i="43"/>
  <c r="AD26" i="43"/>
  <c r="AE25" i="43"/>
  <c r="AE26" i="43"/>
  <c r="AF25" i="43"/>
  <c r="AF26" i="43"/>
  <c r="AH25" i="43"/>
  <c r="BA7" i="43"/>
  <c r="P22" i="33"/>
  <c r="BA8" i="43"/>
  <c r="P23" i="33"/>
  <c r="BA9" i="43"/>
  <c r="P24" i="33"/>
  <c r="W52" i="32"/>
  <c r="AO36" i="43"/>
  <c r="AQ36" i="43"/>
  <c r="AS36" i="43"/>
  <c r="AU36" i="43"/>
  <c r="AO37" i="43"/>
  <c r="AQ37" i="43"/>
  <c r="AS37" i="43"/>
  <c r="AU37" i="43"/>
  <c r="AW37" i="43"/>
  <c r="AO38" i="43"/>
  <c r="AQ38" i="43"/>
  <c r="AS38" i="43"/>
  <c r="AU38" i="43"/>
  <c r="AW38" i="43"/>
  <c r="AE50" i="32"/>
  <c r="AD50" i="32"/>
  <c r="AC50" i="32"/>
  <c r="AK50" i="32"/>
  <c r="AJ50" i="32"/>
  <c r="AI50" i="32"/>
  <c r="A19" i="43"/>
  <c r="A21" i="43"/>
  <c r="A11" i="43"/>
  <c r="BA11" i="43"/>
  <c r="P26" i="33"/>
  <c r="A12" i="43"/>
  <c r="A13" i="43"/>
  <c r="BA13" i="43"/>
  <c r="P28" i="33"/>
  <c r="A14" i="43"/>
  <c r="BA14" i="43"/>
  <c r="P29" i="33"/>
  <c r="A15" i="43"/>
  <c r="BA15" i="43"/>
  <c r="P30" i="33"/>
  <c r="A16" i="43"/>
  <c r="A17" i="43"/>
  <c r="BA17" i="43"/>
  <c r="P32" i="33"/>
  <c r="A18" i="43"/>
  <c r="A20" i="43"/>
  <c r="A22" i="43"/>
  <c r="G88" i="39"/>
  <c r="G175" i="39"/>
  <c r="G87" i="39"/>
  <c r="G174" i="39"/>
  <c r="G86" i="39"/>
  <c r="G144" i="39"/>
  <c r="G85" i="39"/>
  <c r="G172" i="39"/>
  <c r="G84" i="39"/>
  <c r="G83" i="39"/>
  <c r="G170" i="39"/>
  <c r="G82" i="39"/>
  <c r="G81" i="39"/>
  <c r="G168" i="39"/>
  <c r="H4" i="31"/>
  <c r="H22" i="31"/>
  <c r="H66" i="31"/>
  <c r="I4" i="31"/>
  <c r="J4" i="31"/>
  <c r="J22" i="31"/>
  <c r="J33" i="31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I11" i="35"/>
  <c r="I12" i="35"/>
  <c r="I13" i="35"/>
  <c r="I14" i="35"/>
  <c r="I15" i="35"/>
  <c r="I16" i="35"/>
  <c r="I17" i="35"/>
  <c r="I18" i="35"/>
  <c r="I19" i="35"/>
  <c r="I20" i="35"/>
  <c r="I21" i="35"/>
  <c r="I22" i="35"/>
  <c r="I23" i="35"/>
  <c r="I24" i="35"/>
  <c r="I25" i="35"/>
  <c r="I26" i="35"/>
  <c r="I27" i="35"/>
  <c r="I28" i="35"/>
  <c r="I29" i="35"/>
  <c r="I30" i="35"/>
  <c r="I31" i="35"/>
  <c r="I32" i="35"/>
  <c r="I33" i="35"/>
  <c r="I34" i="35"/>
  <c r="I35" i="35"/>
  <c r="I36" i="35"/>
  <c r="I37" i="35"/>
  <c r="I38" i="35"/>
  <c r="I39" i="35"/>
  <c r="I40" i="35"/>
  <c r="I41" i="35"/>
  <c r="I42" i="35"/>
  <c r="I43" i="35"/>
  <c r="I44" i="35"/>
  <c r="I45" i="35"/>
  <c r="E12" i="35"/>
  <c r="E13" i="35"/>
  <c r="E14" i="35"/>
  <c r="E15" i="35"/>
  <c r="E16" i="35"/>
  <c r="W11" i="35"/>
  <c r="W12" i="35"/>
  <c r="W13" i="35"/>
  <c r="W14" i="35"/>
  <c r="W15" i="35"/>
  <c r="W16" i="35"/>
  <c r="W17" i="35"/>
  <c r="W18" i="35"/>
  <c r="W19" i="35"/>
  <c r="W20" i="35"/>
  <c r="W21" i="35"/>
  <c r="W22" i="35"/>
  <c r="W23" i="35"/>
  <c r="W24" i="35"/>
  <c r="W25" i="35"/>
  <c r="W26" i="35"/>
  <c r="W27" i="35"/>
  <c r="W28" i="35"/>
  <c r="W29" i="35"/>
  <c r="W30" i="35"/>
  <c r="W31" i="35"/>
  <c r="W32" i="35"/>
  <c r="W33" i="35"/>
  <c r="W34" i="35"/>
  <c r="W35" i="35"/>
  <c r="W36" i="35"/>
  <c r="W37" i="35"/>
  <c r="W38" i="35"/>
  <c r="W39" i="35"/>
  <c r="W40" i="35"/>
  <c r="W41" i="35"/>
  <c r="W42" i="35"/>
  <c r="W43" i="35"/>
  <c r="W44" i="35"/>
  <c r="W45" i="35"/>
  <c r="Y11" i="35"/>
  <c r="Y12" i="35"/>
  <c r="AL11" i="35"/>
  <c r="AL12" i="35"/>
  <c r="AL13" i="35"/>
  <c r="AL14" i="35"/>
  <c r="AL15" i="35"/>
  <c r="AL16" i="35"/>
  <c r="AL17" i="35"/>
  <c r="AL18" i="35"/>
  <c r="AL19" i="35"/>
  <c r="AL20" i="35"/>
  <c r="AL21" i="35"/>
  <c r="AL22" i="35"/>
  <c r="AL23" i="35"/>
  <c r="AL24" i="35"/>
  <c r="AL25" i="35"/>
  <c r="AL26" i="35"/>
  <c r="AL27" i="35"/>
  <c r="AL28" i="35"/>
  <c r="AL29" i="35"/>
  <c r="AL30" i="35"/>
  <c r="AL31" i="35"/>
  <c r="AL32" i="35"/>
  <c r="AL33" i="35"/>
  <c r="AL34" i="35"/>
  <c r="AL35" i="35"/>
  <c r="AL36" i="35"/>
  <c r="AL37" i="35"/>
  <c r="AL38" i="35"/>
  <c r="AL39" i="35"/>
  <c r="AL40" i="35"/>
  <c r="AL41" i="35"/>
  <c r="AL42" i="35"/>
  <c r="AL43" i="35"/>
  <c r="AL44" i="35"/>
  <c r="AL45" i="35"/>
  <c r="AN11" i="35"/>
  <c r="AN12" i="35"/>
  <c r="AN13" i="35"/>
  <c r="AN14" i="35"/>
  <c r="AN15" i="35"/>
  <c r="AN16" i="35"/>
  <c r="AN17" i="35"/>
  <c r="AN18" i="35"/>
  <c r="AN19" i="35"/>
  <c r="AN20" i="35"/>
  <c r="AN21" i="35"/>
  <c r="AN22" i="35"/>
  <c r="AN23" i="35"/>
  <c r="AN24" i="35"/>
  <c r="AN25" i="35"/>
  <c r="AN26" i="35"/>
  <c r="AN27" i="35"/>
  <c r="AN28" i="35"/>
  <c r="AN29" i="35"/>
  <c r="AN30" i="35"/>
  <c r="AN31" i="35"/>
  <c r="AN32" i="35"/>
  <c r="AN33" i="35"/>
  <c r="AN34" i="35"/>
  <c r="AN35" i="35"/>
  <c r="AN36" i="35"/>
  <c r="AN37" i="35"/>
  <c r="AN38" i="35"/>
  <c r="AN39" i="35"/>
  <c r="AN40" i="35"/>
  <c r="AN41" i="35"/>
  <c r="AN42" i="35"/>
  <c r="AN43" i="35"/>
  <c r="AN44" i="35"/>
  <c r="AN45" i="35"/>
  <c r="G399" i="41"/>
  <c r="G411" i="41"/>
  <c r="F411" i="41"/>
  <c r="G399" i="40"/>
  <c r="H399" i="40"/>
  <c r="I399" i="40"/>
  <c r="G411" i="40"/>
  <c r="F411" i="40"/>
  <c r="F338" i="38"/>
  <c r="F357" i="38"/>
  <c r="G399" i="38"/>
  <c r="G411" i="38"/>
  <c r="F116" i="38"/>
  <c r="G116" i="38"/>
  <c r="AW22" i="43"/>
  <c r="F7" i="38"/>
  <c r="F6" i="38"/>
  <c r="N104" i="33"/>
  <c r="G124" i="38"/>
  <c r="G125" i="50"/>
  <c r="N98" i="33"/>
  <c r="G15" i="38"/>
  <c r="F140" i="38"/>
  <c r="F45" i="33"/>
  <c r="F47" i="33"/>
  <c r="F212" i="38"/>
  <c r="F220" i="38"/>
  <c r="F223" i="50"/>
  <c r="F234" i="38"/>
  <c r="N103" i="33"/>
  <c r="G240" i="38"/>
  <c r="H240" i="38"/>
  <c r="F284" i="38"/>
  <c r="G284" i="38"/>
  <c r="H284" i="38"/>
  <c r="I284" i="38"/>
  <c r="F411" i="38"/>
  <c r="F74" i="38"/>
  <c r="G74" i="38"/>
  <c r="AT9" i="43"/>
  <c r="AT10" i="43"/>
  <c r="AT14" i="43"/>
  <c r="AT15" i="43"/>
  <c r="AT6" i="43"/>
  <c r="AT7" i="43"/>
  <c r="AT11" i="43"/>
  <c r="AT12" i="43"/>
  <c r="AT13" i="43"/>
  <c r="AT16" i="43"/>
  <c r="AT17" i="43"/>
  <c r="AT18" i="43"/>
  <c r="AT25" i="43"/>
  <c r="AT19" i="43"/>
  <c r="AT20" i="43"/>
  <c r="AT21" i="43"/>
  <c r="AT22" i="43"/>
  <c r="AT26" i="43"/>
  <c r="H176" i="33"/>
  <c r="P213" i="33"/>
  <c r="J22" i="32"/>
  <c r="T73" i="48"/>
  <c r="O213" i="33"/>
  <c r="I22" i="32"/>
  <c r="G129" i="39"/>
  <c r="M4" i="43"/>
  <c r="M22" i="33"/>
  <c r="N1" i="43"/>
  <c r="N2" i="43"/>
  <c r="M26" i="33"/>
  <c r="AB23" i="43"/>
  <c r="H38" i="33"/>
  <c r="I36" i="33"/>
  <c r="AD23" i="43"/>
  <c r="J38" i="33"/>
  <c r="AE23" i="43"/>
  <c r="K38" i="33"/>
  <c r="AF23" i="43"/>
  <c r="L38" i="33"/>
  <c r="M21" i="33"/>
  <c r="M24" i="33"/>
  <c r="M25" i="33"/>
  <c r="M27" i="33"/>
  <c r="M28" i="33"/>
  <c r="AW13" i="43"/>
  <c r="M29" i="33"/>
  <c r="M30" i="33"/>
  <c r="AW15" i="43"/>
  <c r="M31" i="33"/>
  <c r="M32" i="33"/>
  <c r="M33" i="33"/>
  <c r="M34" i="33"/>
  <c r="AW19" i="43"/>
  <c r="M35" i="33"/>
  <c r="M36" i="33"/>
  <c r="AW21" i="43"/>
  <c r="N37" i="33"/>
  <c r="AH23" i="43"/>
  <c r="N38" i="33"/>
  <c r="E58" i="46"/>
  <c r="J34" i="31"/>
  <c r="D6" i="46"/>
  <c r="BA10" i="43"/>
  <c r="P25" i="33"/>
  <c r="E25" i="46"/>
  <c r="E26" i="46"/>
  <c r="E27" i="46"/>
  <c r="E28" i="46"/>
  <c r="E29" i="46"/>
  <c r="E30" i="46"/>
  <c r="E31" i="46"/>
  <c r="E32" i="46"/>
  <c r="E20" i="46"/>
  <c r="G25" i="46"/>
  <c r="G26" i="46"/>
  <c r="G20" i="46"/>
  <c r="D58" i="46"/>
  <c r="E7" i="46"/>
  <c r="D47" i="46"/>
  <c r="D49" i="46"/>
  <c r="E44" i="46"/>
  <c r="E45" i="46"/>
  <c r="E46" i="46"/>
  <c r="E48" i="46"/>
  <c r="F44" i="46"/>
  <c r="F45" i="46"/>
  <c r="F46" i="46"/>
  <c r="F47" i="46"/>
  <c r="F48" i="46"/>
  <c r="F49" i="46"/>
  <c r="E9" i="46"/>
  <c r="G41" i="46"/>
  <c r="G44" i="46"/>
  <c r="G45" i="46"/>
  <c r="G46" i="46"/>
  <c r="G47" i="46"/>
  <c r="G48" i="46"/>
  <c r="G49" i="46"/>
  <c r="C25" i="46"/>
  <c r="C26" i="46"/>
  <c r="C27" i="46"/>
  <c r="C28" i="46"/>
  <c r="C29" i="46"/>
  <c r="C30" i="46"/>
  <c r="C31" i="46"/>
  <c r="C32" i="46"/>
  <c r="C33" i="46"/>
  <c r="J20" i="45"/>
  <c r="E26" i="43"/>
  <c r="E25" i="43"/>
  <c r="E24" i="43"/>
  <c r="E23" i="43"/>
  <c r="C38" i="33"/>
  <c r="J39" i="45"/>
  <c r="J48" i="45"/>
  <c r="J63" i="45"/>
  <c r="J47" i="45"/>
  <c r="J46" i="45"/>
  <c r="J45" i="45"/>
  <c r="J43" i="45"/>
  <c r="J41" i="45"/>
  <c r="J40" i="45"/>
  <c r="J38" i="45"/>
  <c r="J36" i="45"/>
  <c r="J33" i="45"/>
  <c r="H45" i="33"/>
  <c r="H7" i="48"/>
  <c r="AJ12" i="35"/>
  <c r="AP11" i="35"/>
  <c r="AP12" i="35"/>
  <c r="AP13" i="35"/>
  <c r="AP14" i="35"/>
  <c r="AP15" i="35"/>
  <c r="AP16" i="35"/>
  <c r="AP17" i="35"/>
  <c r="AP18" i="35"/>
  <c r="AP19" i="35"/>
  <c r="AP20" i="35"/>
  <c r="D4" i="35"/>
  <c r="G45" i="33"/>
  <c r="G47" i="33"/>
  <c r="U12" i="35"/>
  <c r="AA11" i="35"/>
  <c r="AA12" i="35"/>
  <c r="AA13" i="35"/>
  <c r="AA14" i="35"/>
  <c r="AA15" i="35"/>
  <c r="AA16" i="35"/>
  <c r="AA17" i="35"/>
  <c r="AA18" i="35"/>
  <c r="K11" i="35"/>
  <c r="K12" i="35"/>
  <c r="K13" i="35"/>
  <c r="K14" i="35"/>
  <c r="K15" i="35"/>
  <c r="AR49" i="43"/>
  <c r="G208" i="33"/>
  <c r="H208" i="33"/>
  <c r="AU15" i="43"/>
  <c r="AR22" i="43"/>
  <c r="AR21" i="43"/>
  <c r="AR20" i="43"/>
  <c r="AR19" i="43"/>
  <c r="AR18" i="43"/>
  <c r="AR17" i="43"/>
  <c r="AR16" i="43"/>
  <c r="AR15" i="43"/>
  <c r="AR14" i="43"/>
  <c r="AR13" i="43"/>
  <c r="AR12" i="43"/>
  <c r="AR11" i="43"/>
  <c r="AR10" i="43"/>
  <c r="AR9" i="43"/>
  <c r="AR7" i="43"/>
  <c r="AR6" i="43"/>
  <c r="AW36" i="43"/>
  <c r="AN31" i="43"/>
  <c r="AN33" i="43"/>
  <c r="AN30" i="43"/>
  <c r="AA1" i="43"/>
  <c r="AU22" i="43"/>
  <c r="AU13" i="43"/>
  <c r="AS12" i="43"/>
  <c r="AS10" i="43"/>
  <c r="AS8" i="43"/>
  <c r="AS7" i="43"/>
  <c r="AS6" i="43"/>
  <c r="AS9" i="43"/>
  <c r="AW6" i="43"/>
  <c r="AX10" i="43"/>
  <c r="AX9" i="43"/>
  <c r="AX8" i="43"/>
  <c r="AX7" i="43"/>
  <c r="AX6" i="43"/>
  <c r="AX19" i="43"/>
  <c r="AX21" i="43"/>
  <c r="AX22" i="43"/>
  <c r="AX26" i="43"/>
  <c r="AR52" i="43"/>
  <c r="H221" i="33"/>
  <c r="AV10" i="43"/>
  <c r="AV9" i="43"/>
  <c r="AV8" i="43"/>
  <c r="AV7" i="43"/>
  <c r="AV6" i="43"/>
  <c r="AT8" i="43"/>
  <c r="F180" i="33"/>
  <c r="AU21" i="43"/>
  <c r="AU20" i="43"/>
  <c r="AU8" i="43"/>
  <c r="AU9" i="43"/>
  <c r="AU10" i="43"/>
  <c r="AU14" i="43"/>
  <c r="AU24" i="43"/>
  <c r="F190" i="33"/>
  <c r="F36" i="48"/>
  <c r="F37" i="48"/>
  <c r="AU19" i="43"/>
  <c r="AU18" i="43"/>
  <c r="AU17" i="43"/>
  <c r="AU16" i="43"/>
  <c r="AU12" i="43"/>
  <c r="AU11" i="43"/>
  <c r="AU25" i="43"/>
  <c r="G190" i="33"/>
  <c r="G202" i="33"/>
  <c r="O48" i="33"/>
  <c r="AU6" i="43"/>
  <c r="AU7" i="43"/>
  <c r="H26" i="43"/>
  <c r="G26" i="43"/>
  <c r="F26" i="43"/>
  <c r="H25" i="43"/>
  <c r="G25" i="43"/>
  <c r="F25" i="43"/>
  <c r="H24" i="43"/>
  <c r="G24" i="43"/>
  <c r="F24" i="43"/>
  <c r="H23" i="43"/>
  <c r="G23" i="43"/>
  <c r="F23" i="43"/>
  <c r="H224" i="33"/>
  <c r="G224" i="33"/>
  <c r="H211" i="33"/>
  <c r="G211" i="33"/>
  <c r="E75" i="28"/>
  <c r="F75" i="28"/>
  <c r="G75" i="28"/>
  <c r="H75" i="28"/>
  <c r="I75" i="28"/>
  <c r="J75" i="28"/>
  <c r="K75" i="28"/>
  <c r="L75" i="28"/>
  <c r="M75" i="28"/>
  <c r="N75" i="28"/>
  <c r="E7" i="28"/>
  <c r="F7" i="28"/>
  <c r="G7" i="28"/>
  <c r="H7" i="28"/>
  <c r="I7" i="28"/>
  <c r="J7" i="28"/>
  <c r="K7" i="28"/>
  <c r="L7" i="28"/>
  <c r="M7" i="28"/>
  <c r="N7" i="28"/>
  <c r="F371" i="41"/>
  <c r="G359" i="41"/>
  <c r="F338" i="40"/>
  <c r="G338" i="40"/>
  <c r="G359" i="40"/>
  <c r="H359" i="40"/>
  <c r="G371" i="40"/>
  <c r="F371" i="40"/>
  <c r="N229" i="33"/>
  <c r="O229" i="33"/>
  <c r="P229" i="33"/>
  <c r="N228" i="33"/>
  <c r="O228" i="33"/>
  <c r="P228" i="33"/>
  <c r="N227" i="33"/>
  <c r="O227" i="33"/>
  <c r="P227" i="33"/>
  <c r="F371" i="38"/>
  <c r="G359" i="38"/>
  <c r="D333" i="41"/>
  <c r="D344" i="40"/>
  <c r="D333" i="40"/>
  <c r="D333" i="38"/>
  <c r="O118" i="33"/>
  <c r="P118" i="33"/>
  <c r="F294" i="41"/>
  <c r="F323" i="41"/>
  <c r="O119" i="33"/>
  <c r="P119" i="33"/>
  <c r="O148" i="33"/>
  <c r="P148" i="33"/>
  <c r="O147" i="33"/>
  <c r="P147" i="33"/>
  <c r="O146" i="33"/>
  <c r="P146" i="33"/>
  <c r="O145" i="33"/>
  <c r="P145" i="33"/>
  <c r="O117" i="33"/>
  <c r="P117" i="33"/>
  <c r="I34" i="31"/>
  <c r="N107" i="33"/>
  <c r="N3" i="31"/>
  <c r="N4" i="31"/>
  <c r="N22" i="31"/>
  <c r="N66" i="31"/>
  <c r="H117" i="33"/>
  <c r="G117" i="33"/>
  <c r="F117" i="33"/>
  <c r="H116" i="33"/>
  <c r="G116" i="33"/>
  <c r="F116" i="33"/>
  <c r="O3" i="31"/>
  <c r="F284" i="41"/>
  <c r="F290" i="41"/>
  <c r="F334" i="41"/>
  <c r="F337" i="53"/>
  <c r="F255" i="41"/>
  <c r="G255" i="41"/>
  <c r="H255" i="41"/>
  <c r="I255" i="41"/>
  <c r="J255" i="41"/>
  <c r="K255" i="41"/>
  <c r="L255" i="41"/>
  <c r="M255" i="41"/>
  <c r="N255" i="41"/>
  <c r="O255" i="41"/>
  <c r="P255" i="41"/>
  <c r="Q255" i="41"/>
  <c r="R255" i="41"/>
  <c r="S255" i="41"/>
  <c r="T255" i="41"/>
  <c r="U255" i="41"/>
  <c r="V255" i="41"/>
  <c r="W255" i="41"/>
  <c r="X255" i="41"/>
  <c r="Y255" i="41"/>
  <c r="Z255" i="41"/>
  <c r="F234" i="40"/>
  <c r="G234" i="40"/>
  <c r="H234" i="40"/>
  <c r="I234" i="40"/>
  <c r="J234" i="40"/>
  <c r="K234" i="40"/>
  <c r="L234" i="40"/>
  <c r="M234" i="40"/>
  <c r="N234" i="40"/>
  <c r="O234" i="40"/>
  <c r="P234" i="40"/>
  <c r="Q234" i="40"/>
  <c r="R234" i="40"/>
  <c r="S234" i="40"/>
  <c r="T234" i="40"/>
  <c r="U234" i="40"/>
  <c r="V234" i="40"/>
  <c r="W234" i="40"/>
  <c r="X234" i="40"/>
  <c r="Y234" i="40"/>
  <c r="Z234" i="40"/>
  <c r="F234" i="41"/>
  <c r="G234" i="41"/>
  <c r="H234" i="41"/>
  <c r="F210" i="41"/>
  <c r="G210" i="41"/>
  <c r="H210" i="41"/>
  <c r="I210" i="41"/>
  <c r="J210" i="41"/>
  <c r="K210" i="41"/>
  <c r="L210" i="41"/>
  <c r="M210" i="41"/>
  <c r="N210" i="41"/>
  <c r="O210" i="41"/>
  <c r="P210" i="41"/>
  <c r="Q210" i="41"/>
  <c r="R210" i="41"/>
  <c r="S210" i="41"/>
  <c r="T210" i="41"/>
  <c r="U210" i="41"/>
  <c r="V210" i="41"/>
  <c r="W210" i="41"/>
  <c r="X210" i="41"/>
  <c r="Y210" i="41"/>
  <c r="Z210" i="41"/>
  <c r="F166" i="41"/>
  <c r="F140" i="41"/>
  <c r="H232" i="33"/>
  <c r="H219" i="33"/>
  <c r="F116" i="41"/>
  <c r="G116" i="41"/>
  <c r="F95" i="41"/>
  <c r="G95" i="41"/>
  <c r="H95" i="41"/>
  <c r="I95" i="41"/>
  <c r="F74" i="41"/>
  <c r="H47" i="33"/>
  <c r="H49" i="33"/>
  <c r="F75" i="41"/>
  <c r="F53" i="41"/>
  <c r="F30" i="41"/>
  <c r="F7" i="41"/>
  <c r="F8" i="53"/>
  <c r="D205" i="41"/>
  <c r="D208" i="53"/>
  <c r="D199" i="41"/>
  <c r="D202" i="53"/>
  <c r="D197" i="41"/>
  <c r="D199" i="53"/>
  <c r="D195" i="41"/>
  <c r="D197" i="53"/>
  <c r="D194" i="41"/>
  <c r="D196" i="53"/>
  <c r="D193" i="41"/>
  <c r="D195" i="53"/>
  <c r="D192" i="41"/>
  <c r="D194" i="53"/>
  <c r="D191" i="41"/>
  <c r="D193" i="53"/>
  <c r="D190" i="41"/>
  <c r="D192" i="53"/>
  <c r="D189" i="41"/>
  <c r="D191" i="53"/>
  <c r="D187" i="41"/>
  <c r="D188" i="53"/>
  <c r="D186" i="41"/>
  <c r="D187" i="53"/>
  <c r="F294" i="40"/>
  <c r="F284" i="40"/>
  <c r="F255" i="40"/>
  <c r="G255" i="40"/>
  <c r="H255" i="40"/>
  <c r="I255" i="40"/>
  <c r="J255" i="40"/>
  <c r="K255" i="40"/>
  <c r="L255" i="40"/>
  <c r="M255" i="40"/>
  <c r="N255" i="40"/>
  <c r="O255" i="40"/>
  <c r="P255" i="40"/>
  <c r="Q255" i="40"/>
  <c r="R255" i="40"/>
  <c r="S255" i="40"/>
  <c r="T255" i="40"/>
  <c r="U255" i="40"/>
  <c r="V255" i="40"/>
  <c r="W255" i="40"/>
  <c r="X255" i="40"/>
  <c r="Y255" i="40"/>
  <c r="Z255" i="40"/>
  <c r="F210" i="40"/>
  <c r="G210" i="40"/>
  <c r="H210" i="40"/>
  <c r="I210" i="40"/>
  <c r="J210" i="40"/>
  <c r="K210" i="40"/>
  <c r="L210" i="40"/>
  <c r="M210" i="40"/>
  <c r="N210" i="40"/>
  <c r="O210" i="40"/>
  <c r="P210" i="40"/>
  <c r="Q210" i="40"/>
  <c r="R210" i="40"/>
  <c r="S210" i="40"/>
  <c r="T210" i="40"/>
  <c r="U210" i="40"/>
  <c r="V210" i="40"/>
  <c r="W210" i="40"/>
  <c r="X210" i="40"/>
  <c r="Y210" i="40"/>
  <c r="Z210" i="40"/>
  <c r="F166" i="40"/>
  <c r="G166" i="40"/>
  <c r="H166" i="40"/>
  <c r="I166" i="40"/>
  <c r="J166" i="40"/>
  <c r="K166" i="40"/>
  <c r="L166" i="40"/>
  <c r="M166" i="40"/>
  <c r="N166" i="40"/>
  <c r="O166" i="40"/>
  <c r="P166" i="40"/>
  <c r="Q166" i="40"/>
  <c r="R166" i="40"/>
  <c r="S166" i="40"/>
  <c r="T166" i="40"/>
  <c r="U166" i="40"/>
  <c r="V166" i="40"/>
  <c r="F140" i="40"/>
  <c r="F116" i="40"/>
  <c r="G116" i="40"/>
  <c r="H116" i="40"/>
  <c r="I116" i="40"/>
  <c r="J116" i="40"/>
  <c r="K116" i="40"/>
  <c r="F95" i="40"/>
  <c r="G95" i="40"/>
  <c r="H95" i="40"/>
  <c r="I95" i="40"/>
  <c r="J95" i="40"/>
  <c r="K95" i="40"/>
  <c r="L95" i="40"/>
  <c r="M95" i="40"/>
  <c r="N95" i="40"/>
  <c r="F74" i="40"/>
  <c r="G74" i="40"/>
  <c r="H74" i="40"/>
  <c r="I74" i="40"/>
  <c r="J74" i="40"/>
  <c r="K74" i="40"/>
  <c r="L74" i="40"/>
  <c r="M74" i="40"/>
  <c r="N74" i="40"/>
  <c r="F53" i="40"/>
  <c r="G53" i="40"/>
  <c r="H53" i="40"/>
  <c r="I53" i="40"/>
  <c r="J53" i="40"/>
  <c r="K53" i="40"/>
  <c r="L53" i="40"/>
  <c r="M53" i="40"/>
  <c r="N53" i="40"/>
  <c r="O53" i="40"/>
  <c r="P53" i="40"/>
  <c r="Q53" i="40"/>
  <c r="R53" i="40"/>
  <c r="S53" i="40"/>
  <c r="T53" i="40"/>
  <c r="U53" i="40"/>
  <c r="V53" i="40"/>
  <c r="W53" i="40"/>
  <c r="X53" i="40"/>
  <c r="Y53" i="40"/>
  <c r="Z53" i="40"/>
  <c r="F30" i="40"/>
  <c r="G30" i="40"/>
  <c r="H30" i="40"/>
  <c r="I30" i="40"/>
  <c r="J30" i="40"/>
  <c r="K30" i="40"/>
  <c r="L30" i="40"/>
  <c r="M30" i="40"/>
  <c r="N30" i="40"/>
  <c r="O30" i="40"/>
  <c r="P30" i="40"/>
  <c r="Q30" i="40"/>
  <c r="R30" i="40"/>
  <c r="S30" i="40"/>
  <c r="T30" i="40"/>
  <c r="U30" i="40"/>
  <c r="V30" i="40"/>
  <c r="W30" i="40"/>
  <c r="X30" i="40"/>
  <c r="Y30" i="40"/>
  <c r="F53" i="38"/>
  <c r="G53" i="38"/>
  <c r="H53" i="38"/>
  <c r="I53" i="38"/>
  <c r="J53" i="38"/>
  <c r="K53" i="38"/>
  <c r="F30" i="38"/>
  <c r="G30" i="38"/>
  <c r="F7" i="40"/>
  <c r="D205" i="40"/>
  <c r="D208" i="52"/>
  <c r="D199" i="40"/>
  <c r="D202" i="52"/>
  <c r="D197" i="40"/>
  <c r="D199" i="52"/>
  <c r="D195" i="40"/>
  <c r="D197" i="52"/>
  <c r="D194" i="40"/>
  <c r="D196" i="52"/>
  <c r="D193" i="40"/>
  <c r="D195" i="52"/>
  <c r="D192" i="40"/>
  <c r="D194" i="52"/>
  <c r="D191" i="40"/>
  <c r="D193" i="52"/>
  <c r="D190" i="40"/>
  <c r="D192" i="52"/>
  <c r="D189" i="40"/>
  <c r="D191" i="52"/>
  <c r="D187" i="40"/>
  <c r="D188" i="52"/>
  <c r="D186" i="40"/>
  <c r="D187" i="52"/>
  <c r="F228" i="33"/>
  <c r="F229" i="33"/>
  <c r="G222" i="33"/>
  <c r="G223" i="33"/>
  <c r="F222" i="33"/>
  <c r="F215" i="33"/>
  <c r="F216" i="33"/>
  <c r="F73" i="48"/>
  <c r="F141" i="33"/>
  <c r="G141" i="33"/>
  <c r="G143" i="33"/>
  <c r="G144" i="33"/>
  <c r="O200" i="33"/>
  <c r="P200" i="33"/>
  <c r="O199" i="33"/>
  <c r="P199" i="33"/>
  <c r="O198" i="33"/>
  <c r="P198" i="33"/>
  <c r="O197" i="33"/>
  <c r="P197" i="33"/>
  <c r="O196" i="33"/>
  <c r="P196" i="33"/>
  <c r="P223" i="33"/>
  <c r="P218" i="33"/>
  <c r="J21" i="32"/>
  <c r="O223" i="33"/>
  <c r="N223" i="33"/>
  <c r="F294" i="38"/>
  <c r="F317" i="38"/>
  <c r="F255" i="38"/>
  <c r="G255" i="38"/>
  <c r="H255" i="38"/>
  <c r="I255" i="38"/>
  <c r="J255" i="38"/>
  <c r="K255" i="38"/>
  <c r="L255" i="38"/>
  <c r="M255" i="38"/>
  <c r="N255" i="38"/>
  <c r="O255" i="38"/>
  <c r="P255" i="38"/>
  <c r="Q255" i="38"/>
  <c r="R255" i="38"/>
  <c r="S255" i="38"/>
  <c r="T255" i="38"/>
  <c r="U255" i="38"/>
  <c r="V255" i="38"/>
  <c r="W255" i="38"/>
  <c r="X255" i="38"/>
  <c r="Y255" i="38"/>
  <c r="Z255" i="38"/>
  <c r="F210" i="38"/>
  <c r="G210" i="38"/>
  <c r="H210" i="38"/>
  <c r="I210" i="38"/>
  <c r="J210" i="38"/>
  <c r="K210" i="38"/>
  <c r="L210" i="38"/>
  <c r="M210" i="38"/>
  <c r="N210" i="38"/>
  <c r="O210" i="38"/>
  <c r="P210" i="38"/>
  <c r="Q210" i="38"/>
  <c r="R210" i="38"/>
  <c r="S210" i="38"/>
  <c r="T210" i="38"/>
  <c r="U210" i="38"/>
  <c r="V210" i="38"/>
  <c r="W210" i="38"/>
  <c r="X210" i="38"/>
  <c r="Y210" i="38"/>
  <c r="Z210" i="38"/>
  <c r="P104" i="33"/>
  <c r="G124" i="41"/>
  <c r="O104" i="33"/>
  <c r="G124" i="40"/>
  <c r="P103" i="33"/>
  <c r="G240" i="41"/>
  <c r="G243" i="53"/>
  <c r="O103" i="33"/>
  <c r="G240" i="40"/>
  <c r="P102" i="33"/>
  <c r="G101" i="41"/>
  <c r="G102" i="53"/>
  <c r="O102" i="33"/>
  <c r="G101" i="40"/>
  <c r="G102" i="52"/>
  <c r="N102" i="33"/>
  <c r="G101" i="38"/>
  <c r="P101" i="33"/>
  <c r="G80" i="41"/>
  <c r="O101" i="33"/>
  <c r="G80" i="40"/>
  <c r="N101" i="33"/>
  <c r="G80" i="38"/>
  <c r="P100" i="33"/>
  <c r="G59" i="41"/>
  <c r="H59" i="41"/>
  <c r="I59" i="41"/>
  <c r="J59" i="41"/>
  <c r="O100" i="33"/>
  <c r="G59" i="40"/>
  <c r="G60" i="52"/>
  <c r="N100" i="33"/>
  <c r="G59" i="38"/>
  <c r="H59" i="38"/>
  <c r="I59" i="38"/>
  <c r="P99" i="33"/>
  <c r="G38" i="41"/>
  <c r="G39" i="53"/>
  <c r="O99" i="33"/>
  <c r="G38" i="40"/>
  <c r="N99" i="33"/>
  <c r="G38" i="38"/>
  <c r="H38" i="38"/>
  <c r="I38" i="38"/>
  <c r="P98" i="33"/>
  <c r="G15" i="41"/>
  <c r="O98" i="33"/>
  <c r="G15" i="40"/>
  <c r="D199" i="38"/>
  <c r="D202" i="50"/>
  <c r="D205" i="38"/>
  <c r="D208" i="50"/>
  <c r="D197" i="38"/>
  <c r="D199" i="50"/>
  <c r="D195" i="38"/>
  <c r="D197" i="50"/>
  <c r="D194" i="38"/>
  <c r="D196" i="50"/>
  <c r="D193" i="38"/>
  <c r="D195" i="50"/>
  <c r="D192" i="38"/>
  <c r="D194" i="50"/>
  <c r="D191" i="38"/>
  <c r="D193" i="50"/>
  <c r="D190" i="38"/>
  <c r="D192" i="50"/>
  <c r="D189" i="38"/>
  <c r="D191" i="50"/>
  <c r="D187" i="38"/>
  <c r="D188" i="50"/>
  <c r="D186" i="38"/>
  <c r="D187" i="50"/>
  <c r="F166" i="38"/>
  <c r="G166" i="38"/>
  <c r="P89" i="33"/>
  <c r="G172" i="41"/>
  <c r="G173" i="53"/>
  <c r="O89" i="33"/>
  <c r="G172" i="40"/>
  <c r="G173" i="52"/>
  <c r="N89" i="33"/>
  <c r="G172" i="38"/>
  <c r="H148" i="33"/>
  <c r="G148" i="33"/>
  <c r="F148" i="33"/>
  <c r="H146" i="33"/>
  <c r="G146" i="33"/>
  <c r="F146" i="33"/>
  <c r="P139" i="33"/>
  <c r="O139" i="33"/>
  <c r="N139" i="33"/>
  <c r="P137" i="33"/>
  <c r="O137" i="33"/>
  <c r="N137" i="33"/>
  <c r="P135" i="33"/>
  <c r="O135" i="33"/>
  <c r="N135" i="33"/>
  <c r="P134" i="33"/>
  <c r="O134" i="33"/>
  <c r="N134" i="33"/>
  <c r="P133" i="33"/>
  <c r="O133" i="33"/>
  <c r="N133" i="33"/>
  <c r="P132" i="33"/>
  <c r="O132" i="33"/>
  <c r="N132" i="33"/>
  <c r="P131" i="33"/>
  <c r="O131" i="33"/>
  <c r="N131" i="33"/>
  <c r="P130" i="33"/>
  <c r="O130" i="33"/>
  <c r="N130" i="33"/>
  <c r="P129" i="33"/>
  <c r="O129" i="33"/>
  <c r="N129" i="33"/>
  <c r="P128" i="33"/>
  <c r="O128" i="33"/>
  <c r="N128" i="33"/>
  <c r="H27" i="39"/>
  <c r="G27" i="39"/>
  <c r="F27" i="39"/>
  <c r="H26" i="39"/>
  <c r="G26" i="39"/>
  <c r="F26" i="39"/>
  <c r="G219" i="33"/>
  <c r="F219" i="33"/>
  <c r="G232" i="33"/>
  <c r="F232" i="33"/>
  <c r="G225" i="33"/>
  <c r="F225" i="33"/>
  <c r="F95" i="38"/>
  <c r="G95" i="38"/>
  <c r="AP21" i="35"/>
  <c r="AP22" i="35"/>
  <c r="AP23" i="35"/>
  <c r="AP24" i="35"/>
  <c r="AP25" i="35"/>
  <c r="AP26" i="35"/>
  <c r="AP27" i="35"/>
  <c r="AP28" i="35"/>
  <c r="AP29" i="35"/>
  <c r="AP30" i="35"/>
  <c r="AP31" i="35"/>
  <c r="AP32" i="35"/>
  <c r="AP33" i="35"/>
  <c r="AP34" i="35"/>
  <c r="AP35" i="35"/>
  <c r="AP36" i="35"/>
  <c r="AP37" i="35"/>
  <c r="AP38" i="35"/>
  <c r="AP39" i="35"/>
  <c r="AP40" i="35"/>
  <c r="AP41" i="35"/>
  <c r="AP42" i="35"/>
  <c r="AP43" i="35"/>
  <c r="AP44" i="35"/>
  <c r="AP45" i="35"/>
  <c r="AT48" i="35"/>
  <c r="P114" i="33"/>
  <c r="O114" i="33"/>
  <c r="N114" i="33"/>
  <c r="P95" i="33"/>
  <c r="O95" i="33"/>
  <c r="N95" i="33"/>
  <c r="P94" i="33"/>
  <c r="O94" i="33"/>
  <c r="N94" i="33"/>
  <c r="P80" i="33"/>
  <c r="O80" i="33"/>
  <c r="N80" i="33"/>
  <c r="P159" i="33"/>
  <c r="O159" i="33"/>
  <c r="N159" i="33"/>
  <c r="O49" i="33"/>
  <c r="N49" i="33"/>
  <c r="O242" i="33"/>
  <c r="P231" i="33"/>
  <c r="O231" i="33"/>
  <c r="N231" i="33"/>
  <c r="O71" i="33"/>
  <c r="N71" i="33"/>
  <c r="P41" i="33"/>
  <c r="O41" i="33"/>
  <c r="N41" i="33"/>
  <c r="P160" i="33"/>
  <c r="O160" i="33"/>
  <c r="N160" i="33"/>
  <c r="P96" i="33"/>
  <c r="G123" i="41"/>
  <c r="G124" i="53"/>
  <c r="O96" i="33"/>
  <c r="G123" i="40"/>
  <c r="N96" i="33"/>
  <c r="G123" i="38"/>
  <c r="P81" i="33"/>
  <c r="O81" i="33"/>
  <c r="N81" i="33"/>
  <c r="H205" i="33"/>
  <c r="G205" i="33"/>
  <c r="F205" i="33"/>
  <c r="H141" i="33"/>
  <c r="H143" i="33"/>
  <c r="H144" i="33"/>
  <c r="F143" i="33"/>
  <c r="F144" i="33"/>
  <c r="H135" i="33"/>
  <c r="G135" i="33"/>
  <c r="F135" i="33"/>
  <c r="H132" i="33"/>
  <c r="H133" i="33"/>
  <c r="G132" i="33"/>
  <c r="F132" i="33"/>
  <c r="F133" i="33"/>
  <c r="AE48" i="35"/>
  <c r="O48" i="35"/>
  <c r="J2" i="32"/>
  <c r="J28" i="32"/>
  <c r="I2" i="32"/>
  <c r="I6" i="32"/>
  <c r="H2" i="32"/>
  <c r="P163" i="33"/>
  <c r="O163" i="33"/>
  <c r="N163" i="33"/>
  <c r="P151" i="33"/>
  <c r="O151" i="33"/>
  <c r="N151" i="33"/>
  <c r="P73" i="33"/>
  <c r="O73" i="33"/>
  <c r="N73" i="33"/>
  <c r="H188" i="33"/>
  <c r="G188" i="33"/>
  <c r="F188" i="33"/>
  <c r="H170" i="33"/>
  <c r="G170" i="33"/>
  <c r="F170" i="33"/>
  <c r="H153" i="33"/>
  <c r="G153" i="33"/>
  <c r="F153" i="33"/>
  <c r="H54" i="33"/>
  <c r="G54" i="33"/>
  <c r="F54" i="33"/>
  <c r="AA19" i="35"/>
  <c r="AA20" i="35"/>
  <c r="AA21" i="35"/>
  <c r="AA22" i="35"/>
  <c r="AA23" i="35"/>
  <c r="AA24" i="35"/>
  <c r="AA25" i="35"/>
  <c r="AA26" i="35"/>
  <c r="AA27" i="35"/>
  <c r="AA28" i="35"/>
  <c r="AA29" i="35"/>
  <c r="AA30" i="35"/>
  <c r="AA31" i="35"/>
  <c r="AA32" i="35"/>
  <c r="AA33" i="35"/>
  <c r="AA34" i="35"/>
  <c r="AA35" i="35"/>
  <c r="AA36" i="35"/>
  <c r="AA37" i="35"/>
  <c r="AA38" i="35"/>
  <c r="AA39" i="35"/>
  <c r="AA40" i="35"/>
  <c r="AA41" i="35"/>
  <c r="AA42" i="35"/>
  <c r="AA43" i="35"/>
  <c r="AA44" i="35"/>
  <c r="AA45" i="35"/>
  <c r="D6" i="35"/>
  <c r="D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E43" i="33"/>
  <c r="P170" i="33"/>
  <c r="O170" i="33"/>
  <c r="N170" i="33"/>
  <c r="O47" i="33"/>
  <c r="O218" i="33"/>
  <c r="N218" i="33"/>
  <c r="H21" i="32"/>
  <c r="H95" i="48"/>
  <c r="G95" i="48"/>
  <c r="P161" i="33"/>
  <c r="O161" i="33"/>
  <c r="N161" i="33"/>
  <c r="P158" i="33"/>
  <c r="O158" i="33"/>
  <c r="N158" i="33"/>
  <c r="P157" i="33"/>
  <c r="O157" i="33"/>
  <c r="N157" i="33"/>
  <c r="P156" i="33"/>
  <c r="O156" i="33"/>
  <c r="N156" i="33"/>
  <c r="P155" i="33"/>
  <c r="O155" i="33"/>
  <c r="N155" i="33"/>
  <c r="P154" i="33"/>
  <c r="O154" i="33"/>
  <c r="N154" i="33"/>
  <c r="P153" i="33"/>
  <c r="O153" i="33"/>
  <c r="N153" i="33"/>
  <c r="P126" i="33"/>
  <c r="O126" i="33"/>
  <c r="N126" i="33"/>
  <c r="P125" i="33"/>
  <c r="O125" i="33"/>
  <c r="N125" i="33"/>
  <c r="P113" i="33"/>
  <c r="O113" i="33"/>
  <c r="N113" i="33"/>
  <c r="P112" i="33"/>
  <c r="O112" i="33"/>
  <c r="N112" i="33"/>
  <c r="P93" i="33"/>
  <c r="O93" i="33"/>
  <c r="N93" i="33"/>
  <c r="P92" i="33"/>
  <c r="O92" i="33"/>
  <c r="N92" i="33"/>
  <c r="P91" i="33"/>
  <c r="O91" i="33"/>
  <c r="N91" i="33"/>
  <c r="O90" i="33"/>
  <c r="P88" i="33"/>
  <c r="O88" i="33"/>
  <c r="N88" i="33"/>
  <c r="P87" i="33"/>
  <c r="O87" i="33"/>
  <c r="N87" i="33"/>
  <c r="P86" i="33"/>
  <c r="G37" i="41"/>
  <c r="O86" i="33"/>
  <c r="G37" i="40"/>
  <c r="N86" i="33"/>
  <c r="G37" i="38"/>
  <c r="H37" i="38"/>
  <c r="I37" i="38"/>
  <c r="P85" i="33"/>
  <c r="G14" i="41"/>
  <c r="O85" i="33"/>
  <c r="G14" i="40"/>
  <c r="N85" i="33"/>
  <c r="G14" i="38"/>
  <c r="P79" i="33"/>
  <c r="O79" i="33"/>
  <c r="N79" i="33"/>
  <c r="P78" i="33"/>
  <c r="O78" i="33"/>
  <c r="N78" i="33"/>
  <c r="P77" i="33"/>
  <c r="O77" i="33"/>
  <c r="N77" i="33"/>
  <c r="P76" i="33"/>
  <c r="O76" i="33"/>
  <c r="N76" i="33"/>
  <c r="P75" i="33"/>
  <c r="O75" i="33"/>
  <c r="N75" i="33"/>
  <c r="H50" i="33"/>
  <c r="G50" i="33"/>
  <c r="F50" i="33"/>
  <c r="AJ13" i="35"/>
  <c r="AJ14" i="35"/>
  <c r="AJ15" i="35"/>
  <c r="AJ16" i="35"/>
  <c r="AJ17" i="35"/>
  <c r="AJ18" i="35"/>
  <c r="AJ19" i="35"/>
  <c r="AJ20" i="35"/>
  <c r="AJ21" i="35"/>
  <c r="AJ22" i="35"/>
  <c r="AJ23" i="35"/>
  <c r="AJ24" i="35"/>
  <c r="AJ25" i="35"/>
  <c r="AJ26" i="35"/>
  <c r="AJ27" i="35"/>
  <c r="AJ28" i="35"/>
  <c r="AJ29" i="35"/>
  <c r="AJ30" i="35"/>
  <c r="AJ31" i="35"/>
  <c r="AJ32" i="35"/>
  <c r="AJ33" i="35"/>
  <c r="AJ34" i="35"/>
  <c r="AJ35" i="35"/>
  <c r="AJ36" i="35"/>
  <c r="AJ37" i="35"/>
  <c r="AJ38" i="35"/>
  <c r="AJ39" i="35"/>
  <c r="AJ40" i="35"/>
  <c r="AJ41" i="35"/>
  <c r="AJ42" i="35"/>
  <c r="AJ43" i="35"/>
  <c r="AJ44" i="35"/>
  <c r="AJ45" i="35"/>
  <c r="U13" i="35"/>
  <c r="U14" i="35"/>
  <c r="U15" i="35"/>
  <c r="U16" i="35"/>
  <c r="U17" i="35"/>
  <c r="U18" i="35"/>
  <c r="U19" i="35"/>
  <c r="U20" i="35"/>
  <c r="U21" i="35"/>
  <c r="U22" i="35"/>
  <c r="U23" i="35"/>
  <c r="U24" i="35"/>
  <c r="U25" i="35"/>
  <c r="U26" i="35"/>
  <c r="U27" i="35"/>
  <c r="U28" i="35"/>
  <c r="U29" i="35"/>
  <c r="U30" i="35"/>
  <c r="U31" i="35"/>
  <c r="U32" i="35"/>
  <c r="U33" i="35"/>
  <c r="U34" i="35"/>
  <c r="U35" i="35"/>
  <c r="U36" i="35"/>
  <c r="U37" i="35"/>
  <c r="U38" i="35"/>
  <c r="U39" i="35"/>
  <c r="U40" i="35"/>
  <c r="U41" i="35"/>
  <c r="U42" i="35"/>
  <c r="U43" i="35"/>
  <c r="U44" i="35"/>
  <c r="U45" i="35"/>
  <c r="G12" i="32"/>
  <c r="G11" i="32"/>
  <c r="K25" i="43"/>
  <c r="H34" i="31"/>
  <c r="G76" i="31"/>
  <c r="F6" i="28"/>
  <c r="G6" i="28"/>
  <c r="H6" i="28"/>
  <c r="I6" i="28"/>
  <c r="J6" i="28"/>
  <c r="K6" i="28"/>
  <c r="L6" i="28"/>
  <c r="M6" i="28"/>
  <c r="N6" i="28"/>
  <c r="D344" i="38"/>
  <c r="AX11" i="43"/>
  <c r="AX12" i="43"/>
  <c r="AX13" i="43"/>
  <c r="AX14" i="43"/>
  <c r="AX15" i="43"/>
  <c r="AX20" i="43"/>
  <c r="AX24" i="43"/>
  <c r="AX16" i="43"/>
  <c r="AX17" i="43"/>
  <c r="AX18" i="43"/>
  <c r="Z18" i="43"/>
  <c r="AP18" i="43"/>
  <c r="AS18" i="43"/>
  <c r="AV18" i="43"/>
  <c r="AW18" i="43"/>
  <c r="AO18" i="43"/>
  <c r="AS11" i="43"/>
  <c r="AS13" i="43"/>
  <c r="AS16" i="43"/>
  <c r="AS17" i="43"/>
  <c r="AS25" i="43"/>
  <c r="AP44" i="43"/>
  <c r="G122" i="33"/>
  <c r="S73" i="55"/>
  <c r="S80" i="55"/>
  <c r="AS14" i="43"/>
  <c r="AS15" i="43"/>
  <c r="AS20" i="43"/>
  <c r="AS24" i="43"/>
  <c r="AP43" i="43"/>
  <c r="F122" i="33"/>
  <c r="R73" i="55"/>
  <c r="R80" i="55"/>
  <c r="AS19" i="43"/>
  <c r="AS22" i="43"/>
  <c r="AV11" i="43"/>
  <c r="AV12" i="43"/>
  <c r="AV13" i="43"/>
  <c r="AV16" i="43"/>
  <c r="AV17" i="43"/>
  <c r="AV25" i="43"/>
  <c r="AV14" i="43"/>
  <c r="AV15" i="43"/>
  <c r="AV19" i="43"/>
  <c r="AV20" i="43"/>
  <c r="AV21" i="43"/>
  <c r="AV22" i="43"/>
  <c r="AV26" i="43"/>
  <c r="P233" i="33"/>
  <c r="D344" i="41"/>
  <c r="W53" i="32"/>
  <c r="F33" i="48"/>
  <c r="D5" i="46"/>
  <c r="O1" i="43"/>
  <c r="O2" i="43"/>
  <c r="AN38" i="43"/>
  <c r="F65" i="48"/>
  <c r="F72" i="48"/>
  <c r="F71" i="48"/>
  <c r="F64" i="48"/>
  <c r="G371" i="38"/>
  <c r="H359" i="38"/>
  <c r="J6" i="45"/>
  <c r="F124" i="28"/>
  <c r="J32" i="45"/>
  <c r="G27" i="33"/>
  <c r="AW12" i="43"/>
  <c r="F7" i="48"/>
  <c r="C9" i="35"/>
  <c r="B11" i="35"/>
  <c r="J9" i="32"/>
  <c r="J399" i="40"/>
  <c r="J411" i="40"/>
  <c r="I411" i="40"/>
  <c r="G27" i="46"/>
  <c r="G28" i="46"/>
  <c r="G29" i="46"/>
  <c r="G30" i="46"/>
  <c r="G31" i="46"/>
  <c r="G32" i="46"/>
  <c r="G33" i="46"/>
  <c r="E35" i="46"/>
  <c r="E21" i="46"/>
  <c r="E22" i="46"/>
  <c r="Z10" i="43"/>
  <c r="F25" i="33"/>
  <c r="AW10" i="43"/>
  <c r="AC26" i="43"/>
  <c r="AS21" i="43"/>
  <c r="Y13" i="35"/>
  <c r="I21" i="32"/>
  <c r="S23" i="32"/>
  <c r="I9" i="32"/>
  <c r="G7" i="48"/>
  <c r="S9" i="35"/>
  <c r="R11" i="35"/>
  <c r="R12" i="35"/>
  <c r="R13" i="35"/>
  <c r="R14" i="35"/>
  <c r="R15" i="35"/>
  <c r="R16" i="35"/>
  <c r="F33" i="33"/>
  <c r="G33" i="33"/>
  <c r="G24" i="33"/>
  <c r="AW9" i="43"/>
  <c r="G32" i="33"/>
  <c r="AW17" i="43"/>
  <c r="AW8" i="43"/>
  <c r="AW7" i="43"/>
  <c r="AW26" i="43"/>
  <c r="AP52" i="43"/>
  <c r="H207" i="33"/>
  <c r="F37" i="43"/>
  <c r="Z19" i="43"/>
  <c r="F34" i="33"/>
  <c r="D10" i="46"/>
  <c r="D9" i="46"/>
  <c r="D8" i="46"/>
  <c r="AR26" i="43"/>
  <c r="H155" i="33"/>
  <c r="AG26" i="43"/>
  <c r="H411" i="40"/>
  <c r="AH9" i="35"/>
  <c r="AG11" i="35"/>
  <c r="AG12" i="35"/>
  <c r="AG13" i="35"/>
  <c r="AG14" i="35"/>
  <c r="AG15" i="35"/>
  <c r="AG16" i="35"/>
  <c r="AG17" i="35"/>
  <c r="AG18" i="35"/>
  <c r="AG19" i="35"/>
  <c r="AG20" i="35"/>
  <c r="AG21" i="35"/>
  <c r="AG22" i="35"/>
  <c r="AG23" i="35"/>
  <c r="AG24" i="35"/>
  <c r="AG25" i="35"/>
  <c r="AG26" i="35"/>
  <c r="AG27" i="35"/>
  <c r="AG28" i="35"/>
  <c r="AG29" i="35"/>
  <c r="AG30" i="35"/>
  <c r="AG31" i="35"/>
  <c r="AG32" i="35"/>
  <c r="AG33" i="35"/>
  <c r="AG34" i="35"/>
  <c r="AG35" i="35"/>
  <c r="AG36" i="35"/>
  <c r="AH26" i="43"/>
  <c r="Z22" i="43"/>
  <c r="AG23" i="43"/>
  <c r="M38" i="33"/>
  <c r="AG25" i="43"/>
  <c r="Z11" i="43"/>
  <c r="F26" i="33"/>
  <c r="AW11" i="43"/>
  <c r="G26" i="33"/>
  <c r="Z15" i="43"/>
  <c r="G25" i="33"/>
  <c r="Z21" i="43"/>
  <c r="G30" i="33"/>
  <c r="Z9" i="43"/>
  <c r="Z8" i="43"/>
  <c r="F23" i="33"/>
  <c r="Z13" i="43"/>
  <c r="Z12" i="43"/>
  <c r="F27" i="33"/>
  <c r="Z17" i="43"/>
  <c r="F32" i="33"/>
  <c r="G37" i="33"/>
  <c r="Z16" i="43"/>
  <c r="F31" i="33"/>
  <c r="AB4" i="31"/>
  <c r="AB22" i="31"/>
  <c r="AC3" i="31"/>
  <c r="AA4" i="31"/>
  <c r="AA22" i="31"/>
  <c r="AA66" i="31"/>
  <c r="H371" i="38"/>
  <c r="I359" i="38"/>
  <c r="Y14" i="35"/>
  <c r="Y15" i="35"/>
  <c r="Y16" i="35"/>
  <c r="AP22" i="43"/>
  <c r="AP10" i="43"/>
  <c r="AI10" i="43"/>
  <c r="AM18" i="43"/>
  <c r="AI18" i="43"/>
  <c r="AP16" i="43"/>
  <c r="AP11" i="43"/>
  <c r="E10" i="46"/>
  <c r="F22" i="46"/>
  <c r="E5" i="46"/>
  <c r="BA16" i="43"/>
  <c r="P31" i="33"/>
  <c r="AP9" i="43"/>
  <c r="AP19" i="43"/>
  <c r="AI19" i="43"/>
  <c r="R59" i="48"/>
  <c r="K399" i="40"/>
  <c r="K411" i="40"/>
  <c r="AP17" i="43"/>
  <c r="AI17" i="43"/>
  <c r="AP21" i="43"/>
  <c r="T59" i="48"/>
  <c r="L399" i="40"/>
  <c r="L411" i="40"/>
  <c r="I371" i="38"/>
  <c r="J359" i="38"/>
  <c r="J371" i="38"/>
  <c r="K359" i="38"/>
  <c r="K371" i="38"/>
  <c r="M399" i="40"/>
  <c r="M411" i="40"/>
  <c r="N399" i="40"/>
  <c r="L359" i="38"/>
  <c r="Y17" i="35"/>
  <c r="Y18" i="35"/>
  <c r="Y19" i="35"/>
  <c r="Y20" i="35"/>
  <c r="Y21" i="35"/>
  <c r="Y22" i="35"/>
  <c r="Y23" i="35"/>
  <c r="Y24" i="35"/>
  <c r="Y25" i="35"/>
  <c r="Y26" i="35"/>
  <c r="Y27" i="35"/>
  <c r="Y28" i="35"/>
  <c r="Y29" i="35"/>
  <c r="Y30" i="35"/>
  <c r="Y31" i="35"/>
  <c r="Y32" i="35"/>
  <c r="Y33" i="35"/>
  <c r="Y34" i="35"/>
  <c r="Y35" i="35"/>
  <c r="Y36" i="35"/>
  <c r="Y37" i="35"/>
  <c r="Y38" i="35"/>
  <c r="Y39" i="35"/>
  <c r="Y40" i="35"/>
  <c r="Y41" i="35"/>
  <c r="Y42" i="35"/>
  <c r="M359" i="38"/>
  <c r="M371" i="38"/>
  <c r="L371" i="38"/>
  <c r="N359" i="38"/>
  <c r="O359" i="38"/>
  <c r="N371" i="38"/>
  <c r="Y43" i="35"/>
  <c r="Y44" i="35"/>
  <c r="Y45" i="35"/>
  <c r="F8" i="48"/>
  <c r="H9" i="35"/>
  <c r="F49" i="33"/>
  <c r="F9" i="48"/>
  <c r="F66" i="48"/>
  <c r="F69" i="48"/>
  <c r="G136" i="33"/>
  <c r="G185" i="33"/>
  <c r="H136" i="33"/>
  <c r="G228" i="33"/>
  <c r="G229" i="33"/>
  <c r="H228" i="33"/>
  <c r="H229" i="33"/>
  <c r="E144" i="33"/>
  <c r="G215" i="33"/>
  <c r="G216" i="33"/>
  <c r="G133" i="33"/>
  <c r="H27" i="31"/>
  <c r="I28" i="31"/>
  <c r="J10" i="45"/>
  <c r="F121" i="28"/>
  <c r="H25" i="45"/>
  <c r="J19" i="45"/>
  <c r="J21" i="45"/>
  <c r="J54" i="45"/>
  <c r="H28" i="31"/>
  <c r="J28" i="31"/>
  <c r="J22" i="45"/>
  <c r="J17" i="45"/>
  <c r="J64" i="45"/>
  <c r="J65" i="45"/>
  <c r="J56" i="45"/>
  <c r="I27" i="31"/>
  <c r="I25" i="45"/>
  <c r="G139" i="39"/>
  <c r="G110" i="39"/>
  <c r="G36" i="48"/>
  <c r="G37" i="48"/>
  <c r="F317" i="41"/>
  <c r="H101" i="40"/>
  <c r="H102" i="52"/>
  <c r="H172" i="41"/>
  <c r="F7" i="53"/>
  <c r="F6" i="53"/>
  <c r="F31" i="53"/>
  <c r="H59" i="40"/>
  <c r="I59" i="40"/>
  <c r="J59" i="40"/>
  <c r="AA242" i="33"/>
  <c r="AK242" i="33"/>
  <c r="AJ242" i="33"/>
  <c r="H101" i="41"/>
  <c r="I101" i="41"/>
  <c r="G7" i="40"/>
  <c r="G8" i="52"/>
  <c r="F8" i="52"/>
  <c r="F6" i="52"/>
  <c r="F75" i="52"/>
  <c r="F96" i="52"/>
  <c r="F117" i="52"/>
  <c r="F141" i="52"/>
  <c r="AA259" i="33"/>
  <c r="AK258" i="33"/>
  <c r="AJ258" i="33"/>
  <c r="AB271" i="33"/>
  <c r="AA271" i="33"/>
  <c r="AK270" i="33"/>
  <c r="AJ270" i="33"/>
  <c r="T72" i="48"/>
  <c r="F257" i="41"/>
  <c r="F75" i="38"/>
  <c r="G294" i="38"/>
  <c r="G328" i="38"/>
  <c r="F328" i="38"/>
  <c r="F96" i="38"/>
  <c r="G284" i="41"/>
  <c r="H284" i="41"/>
  <c r="I284" i="41"/>
  <c r="I287" i="41"/>
  <c r="F142" i="38"/>
  <c r="F150" i="38"/>
  <c r="F151" i="50"/>
  <c r="G140" i="38"/>
  <c r="F51" i="33"/>
  <c r="G155" i="38"/>
  <c r="S28" i="32"/>
  <c r="S16" i="32"/>
  <c r="F6" i="40"/>
  <c r="F3" i="38"/>
  <c r="F3" i="50"/>
  <c r="F142" i="41"/>
  <c r="F2" i="41"/>
  <c r="F2" i="53"/>
  <c r="G7" i="41"/>
  <c r="G6" i="41"/>
  <c r="F6" i="41"/>
  <c r="H209" i="33"/>
  <c r="H212" i="33"/>
  <c r="J73" i="31"/>
  <c r="G234" i="38"/>
  <c r="H234" i="38"/>
  <c r="F235" i="38"/>
  <c r="F238" i="50"/>
  <c r="F239" i="50"/>
  <c r="H116" i="41"/>
  <c r="I116" i="41"/>
  <c r="J116" i="41"/>
  <c r="K116" i="41"/>
  <c r="AR50" i="43"/>
  <c r="P1" i="43"/>
  <c r="P2" i="43"/>
  <c r="O4" i="43"/>
  <c r="AI8" i="43"/>
  <c r="H9" i="32"/>
  <c r="G34" i="31"/>
  <c r="AO22" i="43"/>
  <c r="J95" i="41"/>
  <c r="K95" i="41"/>
  <c r="K96" i="41"/>
  <c r="K97" i="53"/>
  <c r="H39" i="48"/>
  <c r="G35" i="46"/>
  <c r="G21" i="46"/>
  <c r="G22" i="46"/>
  <c r="E6" i="46"/>
  <c r="F2" i="42"/>
  <c r="F1" i="42"/>
  <c r="H51" i="33"/>
  <c r="G51" i="33"/>
  <c r="AX23" i="43"/>
  <c r="AX25" i="43"/>
  <c r="AR51" i="43"/>
  <c r="I29" i="31"/>
  <c r="F70" i="48"/>
  <c r="F136" i="33"/>
  <c r="T28" i="32"/>
  <c r="J38" i="32"/>
  <c r="G338" i="38"/>
  <c r="H359" i="41"/>
  <c r="G371" i="41"/>
  <c r="BA22" i="43"/>
  <c r="P37" i="33"/>
  <c r="BA12" i="43"/>
  <c r="D7" i="46"/>
  <c r="K24" i="43"/>
  <c r="AL3" i="31"/>
  <c r="AK4" i="31"/>
  <c r="AK22" i="31"/>
  <c r="I359" i="40"/>
  <c r="H371" i="40"/>
  <c r="E17" i="35"/>
  <c r="AW16" i="43"/>
  <c r="BA21" i="43"/>
  <c r="P36" i="33"/>
  <c r="BA19" i="43"/>
  <c r="G28" i="33"/>
  <c r="K23" i="43"/>
  <c r="E38" i="33"/>
  <c r="G25" i="45"/>
  <c r="J25" i="45"/>
  <c r="BA6" i="43"/>
  <c r="P21" i="33"/>
  <c r="J27" i="31"/>
  <c r="H399" i="41"/>
  <c r="H8" i="48"/>
  <c r="AM9" i="35"/>
  <c r="AK11" i="35"/>
  <c r="AM11" i="35"/>
  <c r="F122" i="28"/>
  <c r="H7" i="40"/>
  <c r="H6" i="40"/>
  <c r="H7" i="41"/>
  <c r="I7" i="41"/>
  <c r="I6" i="41"/>
  <c r="H38" i="50"/>
  <c r="I101" i="40"/>
  <c r="AK271" i="33"/>
  <c r="AJ271" i="33"/>
  <c r="AK259" i="33"/>
  <c r="AJ259" i="33"/>
  <c r="AB272" i="33"/>
  <c r="AA272" i="33"/>
  <c r="P71" i="33"/>
  <c r="M71" i="33"/>
  <c r="G235" i="38"/>
  <c r="G238" i="50"/>
  <c r="AM22" i="43"/>
  <c r="AL4" i="31"/>
  <c r="AL22" i="31"/>
  <c r="AL66" i="31"/>
  <c r="AM3" i="31"/>
  <c r="J15" i="45"/>
  <c r="F126" i="28"/>
  <c r="E18" i="35"/>
  <c r="I399" i="41"/>
  <c r="H411" i="41"/>
  <c r="AW25" i="43"/>
  <c r="AP51" i="43"/>
  <c r="G207" i="33"/>
  <c r="G209" i="33"/>
  <c r="G234" i="33"/>
  <c r="O50" i="33"/>
  <c r="J30" i="31"/>
  <c r="F225" i="38"/>
  <c r="F10" i="48"/>
  <c r="G227" i="38"/>
  <c r="G230" i="50"/>
  <c r="AI16" i="43"/>
  <c r="H26" i="45"/>
  <c r="I30" i="31"/>
  <c r="F225" i="40"/>
  <c r="G10" i="48"/>
  <c r="F158" i="40"/>
  <c r="F159" i="52"/>
  <c r="F155" i="41"/>
  <c r="F270" i="41"/>
  <c r="F273" i="53"/>
  <c r="F272" i="41"/>
  <c r="F275" i="53"/>
  <c r="H10" i="48"/>
  <c r="F225" i="41"/>
  <c r="F228" i="53"/>
  <c r="P4" i="43"/>
  <c r="Q1" i="43"/>
  <c r="Q2" i="43"/>
  <c r="F397" i="38"/>
  <c r="F434" i="38"/>
  <c r="F437" i="50"/>
  <c r="F375" i="38"/>
  <c r="F378" i="50"/>
  <c r="F95" i="48"/>
  <c r="AI13" i="43"/>
  <c r="AA25" i="43"/>
  <c r="AK12" i="31"/>
  <c r="H371" i="41"/>
  <c r="I359" i="41"/>
  <c r="F3" i="41"/>
  <c r="G3" i="41"/>
  <c r="G3" i="53"/>
  <c r="F117" i="41"/>
  <c r="F120" i="41"/>
  <c r="H96" i="41"/>
  <c r="H97" i="53"/>
  <c r="H9" i="48"/>
  <c r="F8" i="41"/>
  <c r="F9" i="41"/>
  <c r="G117" i="41"/>
  <c r="G118" i="53"/>
  <c r="G96" i="41"/>
  <c r="H8" i="52"/>
  <c r="H7" i="52"/>
  <c r="AK272" i="33"/>
  <c r="AJ272" i="33"/>
  <c r="J359" i="41"/>
  <c r="I371" i="41"/>
  <c r="E19" i="35"/>
  <c r="AN3" i="31"/>
  <c r="AM4" i="31"/>
  <c r="AM22" i="31"/>
  <c r="AM26" i="31"/>
  <c r="Q4" i="43"/>
  <c r="R1" i="43"/>
  <c r="R2" i="43"/>
  <c r="F226" i="38"/>
  <c r="F229" i="50"/>
  <c r="I411" i="41"/>
  <c r="J399" i="41"/>
  <c r="K399" i="41"/>
  <c r="F9" i="53"/>
  <c r="F10" i="53"/>
  <c r="K359" i="41"/>
  <c r="J371" i="41"/>
  <c r="J411" i="41"/>
  <c r="O70" i="33"/>
  <c r="S1" i="43"/>
  <c r="S2" i="43"/>
  <c r="R4" i="43"/>
  <c r="AN4" i="31"/>
  <c r="AN22" i="31"/>
  <c r="AO3" i="31"/>
  <c r="E20" i="35"/>
  <c r="L359" i="41"/>
  <c r="L371" i="41"/>
  <c r="K371" i="41"/>
  <c r="AO4" i="31"/>
  <c r="AO22" i="31"/>
  <c r="AP3" i="31"/>
  <c r="K411" i="41"/>
  <c r="L399" i="41"/>
  <c r="S4" i="43"/>
  <c r="T1" i="43"/>
  <c r="T2" i="43"/>
  <c r="E21" i="35"/>
  <c r="M359" i="41"/>
  <c r="E22" i="35"/>
  <c r="AQ3" i="31"/>
  <c r="AP4" i="31"/>
  <c r="AP22" i="31"/>
  <c r="L411" i="41"/>
  <c r="M399" i="41"/>
  <c r="U1" i="43"/>
  <c r="U2" i="43"/>
  <c r="T4" i="43"/>
  <c r="U4" i="43"/>
  <c r="M411" i="41"/>
  <c r="N399" i="41"/>
  <c r="AQ4" i="31"/>
  <c r="AQ22" i="31"/>
  <c r="AQ66" i="31"/>
  <c r="AR3" i="31"/>
  <c r="AR4" i="31"/>
  <c r="AR22" i="31"/>
  <c r="AR48" i="31"/>
  <c r="E23" i="35"/>
  <c r="M371" i="41"/>
  <c r="N359" i="41"/>
  <c r="O399" i="41"/>
  <c r="N411" i="41"/>
  <c r="N371" i="41"/>
  <c r="O359" i="41"/>
  <c r="E24" i="35"/>
  <c r="E25" i="35"/>
  <c r="O371" i="41"/>
  <c r="P359" i="41"/>
  <c r="P399" i="41"/>
  <c r="O411" i="41"/>
  <c r="P419" i="41"/>
  <c r="P422" i="53"/>
  <c r="P411" i="41"/>
  <c r="Q399" i="41"/>
  <c r="Q359" i="41"/>
  <c r="Q371" i="41"/>
  <c r="E26" i="35"/>
  <c r="E27" i="35"/>
  <c r="Q411" i="41"/>
  <c r="Q379" i="41"/>
  <c r="Q382" i="53"/>
  <c r="R359" i="41"/>
  <c r="R371" i="41"/>
  <c r="S359" i="41"/>
  <c r="R379" i="41"/>
  <c r="R382" i="53"/>
  <c r="E28" i="35"/>
  <c r="E29" i="35"/>
  <c r="S379" i="41"/>
  <c r="S382" i="53"/>
  <c r="T359" i="41"/>
  <c r="S371" i="41"/>
  <c r="E30" i="35"/>
  <c r="T379" i="41"/>
  <c r="T382" i="53"/>
  <c r="U359" i="41"/>
  <c r="T371" i="41"/>
  <c r="E31" i="35"/>
  <c r="U379" i="41"/>
  <c r="U382" i="53"/>
  <c r="U371" i="41"/>
  <c r="V359" i="41"/>
  <c r="E32" i="35"/>
  <c r="V379" i="41"/>
  <c r="V382" i="53"/>
  <c r="V371" i="41"/>
  <c r="W359" i="41"/>
  <c r="E33" i="35"/>
  <c r="X359" i="41"/>
  <c r="W379" i="41"/>
  <c r="W382" i="53"/>
  <c r="W371" i="41"/>
  <c r="E34" i="35"/>
  <c r="E35" i="35"/>
  <c r="Y359" i="41"/>
  <c r="X371" i="41"/>
  <c r="X379" i="41"/>
  <c r="X382" i="53"/>
  <c r="Y371" i="41"/>
  <c r="E36" i="35"/>
  <c r="E37" i="35"/>
  <c r="E38" i="35"/>
  <c r="E39" i="35"/>
  <c r="E40" i="35"/>
  <c r="E41" i="35"/>
  <c r="E42" i="35"/>
  <c r="E43" i="35"/>
  <c r="E44" i="35"/>
  <c r="E45" i="35"/>
  <c r="J38" i="38"/>
  <c r="I39" i="50"/>
  <c r="J60" i="53"/>
  <c r="K59" i="41"/>
  <c r="F137" i="33"/>
  <c r="H39" i="50"/>
  <c r="S24" i="32"/>
  <c r="R95" i="48"/>
  <c r="Y57" i="32"/>
  <c r="G53" i="48"/>
  <c r="P234" i="33"/>
  <c r="F272" i="38"/>
  <c r="F275" i="50"/>
  <c r="J66" i="31"/>
  <c r="L7" i="31"/>
  <c r="F357" i="40"/>
  <c r="F397" i="40"/>
  <c r="G239" i="50"/>
  <c r="F425" i="38"/>
  <c r="F428" i="50"/>
  <c r="F96" i="41"/>
  <c r="F97" i="53"/>
  <c r="F98" i="53"/>
  <c r="F227" i="38"/>
  <c r="F230" i="50"/>
  <c r="H60" i="53"/>
  <c r="J78" i="31"/>
  <c r="I60" i="52"/>
  <c r="F270" i="38"/>
  <c r="F273" i="50"/>
  <c r="H140" i="38"/>
  <c r="J26" i="31"/>
  <c r="F289" i="38"/>
  <c r="F292" i="50"/>
  <c r="F156" i="38"/>
  <c r="F157" i="50"/>
  <c r="F158" i="38"/>
  <c r="F159" i="50"/>
  <c r="F54" i="38"/>
  <c r="J48" i="31"/>
  <c r="F257" i="38"/>
  <c r="F265" i="38"/>
  <c r="F268" i="50"/>
  <c r="F290" i="38"/>
  <c r="L95" i="41"/>
  <c r="L96" i="41"/>
  <c r="L97" i="53"/>
  <c r="F155" i="38"/>
  <c r="G158" i="38"/>
  <c r="G159" i="50"/>
  <c r="F45" i="48"/>
  <c r="R73" i="48"/>
  <c r="Z57" i="32"/>
  <c r="F271" i="41"/>
  <c r="F273" i="41"/>
  <c r="H60" i="52"/>
  <c r="G6" i="40"/>
  <c r="I28" i="32"/>
  <c r="F323" i="38"/>
  <c r="G212" i="33"/>
  <c r="G233" i="33"/>
  <c r="H102" i="53"/>
  <c r="J16" i="32"/>
  <c r="F289" i="41"/>
  <c r="F292" i="53"/>
  <c r="M95" i="41"/>
  <c r="G55" i="48"/>
  <c r="G57" i="48"/>
  <c r="F3" i="53"/>
  <c r="I7" i="40"/>
  <c r="I8" i="52"/>
  <c r="I7" i="52"/>
  <c r="G120" i="41"/>
  <c r="H117" i="41"/>
  <c r="H120" i="41"/>
  <c r="H118" i="53"/>
  <c r="J6" i="32"/>
  <c r="F287" i="41"/>
  <c r="F290" i="53"/>
  <c r="T24" i="32"/>
  <c r="G8" i="41"/>
  <c r="G9" i="53"/>
  <c r="G10" i="53"/>
  <c r="H124" i="38"/>
  <c r="H54" i="38"/>
  <c r="H55" i="50"/>
  <c r="G2" i="42"/>
  <c r="T16" i="32"/>
  <c r="G158" i="39"/>
  <c r="G323" i="38"/>
  <c r="G117" i="39"/>
  <c r="H124" i="40"/>
  <c r="G125" i="52"/>
  <c r="I286" i="38"/>
  <c r="I289" i="50"/>
  <c r="I287" i="38"/>
  <c r="G117" i="38"/>
  <c r="G118" i="50"/>
  <c r="H116" i="38"/>
  <c r="G7" i="52"/>
  <c r="G6" i="52"/>
  <c r="J59" i="38"/>
  <c r="K59" i="38"/>
  <c r="I60" i="50"/>
  <c r="F235" i="41"/>
  <c r="F236" i="41"/>
  <c r="F415" i="38"/>
  <c r="F418" i="50"/>
  <c r="H225" i="38"/>
  <c r="F228" i="38"/>
  <c r="G46" i="48"/>
  <c r="T21" i="32"/>
  <c r="F167" i="38"/>
  <c r="G243" i="50"/>
  <c r="G60" i="50"/>
  <c r="F328" i="41"/>
  <c r="F414" i="38"/>
  <c r="F417" i="50"/>
  <c r="H272" i="38"/>
  <c r="H275" i="50"/>
  <c r="F236" i="38"/>
  <c r="F247" i="38"/>
  <c r="F250" i="50"/>
  <c r="H123" i="41"/>
  <c r="F117" i="38"/>
  <c r="F338" i="41"/>
  <c r="F118" i="53"/>
  <c r="F121" i="53"/>
  <c r="G121" i="53"/>
  <c r="H121" i="53"/>
  <c r="H294" i="38"/>
  <c r="H317" i="38"/>
  <c r="F143" i="50"/>
  <c r="Y56" i="32"/>
  <c r="G294" i="41"/>
  <c r="G317" i="41"/>
  <c r="H155" i="38"/>
  <c r="F171" i="41"/>
  <c r="G317" i="38"/>
  <c r="G2" i="41"/>
  <c r="G175" i="41"/>
  <c r="G176" i="53"/>
  <c r="D46" i="48"/>
  <c r="F76" i="41"/>
  <c r="F76" i="53"/>
  <c r="F77" i="53"/>
  <c r="H235" i="38"/>
  <c r="H238" i="50"/>
  <c r="I234" i="38"/>
  <c r="J101" i="41"/>
  <c r="I102" i="53"/>
  <c r="H101" i="38"/>
  <c r="G102" i="50"/>
  <c r="H15" i="41"/>
  <c r="G16" i="53"/>
  <c r="AD56" i="32"/>
  <c r="R94" i="48"/>
  <c r="H30" i="38"/>
  <c r="H31" i="38"/>
  <c r="G31" i="38"/>
  <c r="G32" i="50"/>
  <c r="F247" i="41"/>
  <c r="F250" i="53"/>
  <c r="G156" i="50"/>
  <c r="G157" i="38"/>
  <c r="G158" i="50"/>
  <c r="L116" i="41"/>
  <c r="K117" i="41"/>
  <c r="K118" i="53"/>
  <c r="K54" i="38"/>
  <c r="K55" i="50"/>
  <c r="L53" i="38"/>
  <c r="G171" i="41"/>
  <c r="G239" i="41"/>
  <c r="G242" i="53"/>
  <c r="G2" i="53"/>
  <c r="G79" i="41"/>
  <c r="G80" i="53"/>
  <c r="F97" i="41"/>
  <c r="F108" i="41"/>
  <c r="F109" i="53"/>
  <c r="H6" i="52"/>
  <c r="H2" i="42"/>
  <c r="H47" i="42"/>
  <c r="H227" i="38"/>
  <c r="G235" i="41"/>
  <c r="G238" i="53"/>
  <c r="G3" i="47"/>
  <c r="G54" i="38"/>
  <c r="G142" i="38"/>
  <c r="G257" i="38"/>
  <c r="F215" i="50"/>
  <c r="F217" i="50"/>
  <c r="G214" i="50"/>
  <c r="H60" i="50"/>
  <c r="H48" i="31"/>
  <c r="I38" i="32"/>
  <c r="G132" i="39"/>
  <c r="R72" i="48"/>
  <c r="H38" i="41"/>
  <c r="H39" i="53"/>
  <c r="G74" i="41"/>
  <c r="J60" i="50"/>
  <c r="H257" i="38"/>
  <c r="F47" i="42"/>
  <c r="G225" i="38"/>
  <c r="H6" i="41"/>
  <c r="AD57" i="32"/>
  <c r="G212" i="38"/>
  <c r="G220" i="38"/>
  <c r="G223" i="50"/>
  <c r="F214" i="38"/>
  <c r="G211" i="38"/>
  <c r="G8" i="53"/>
  <c r="H240" i="41"/>
  <c r="F238" i="53"/>
  <c r="F239" i="53"/>
  <c r="G239" i="53"/>
  <c r="I140" i="38"/>
  <c r="I158" i="38"/>
  <c r="I159" i="50"/>
  <c r="H158" i="38"/>
  <c r="H159" i="50"/>
  <c r="AH12" i="35"/>
  <c r="AH13" i="35"/>
  <c r="AH14" i="35"/>
  <c r="AH15" i="35"/>
  <c r="AH16" i="35"/>
  <c r="AH17" i="35"/>
  <c r="AH18" i="35"/>
  <c r="AH19" i="35"/>
  <c r="AH20" i="35"/>
  <c r="AH21" i="35"/>
  <c r="AH22" i="35"/>
  <c r="AH23" i="35"/>
  <c r="AH24" i="35"/>
  <c r="AH25" i="35"/>
  <c r="AH26" i="35"/>
  <c r="AH27" i="35"/>
  <c r="AH28" i="35"/>
  <c r="AH29" i="35"/>
  <c r="AH30" i="35"/>
  <c r="AH31" i="35"/>
  <c r="AH32" i="35"/>
  <c r="AH33" i="35"/>
  <c r="AH34" i="35"/>
  <c r="AH35" i="35"/>
  <c r="AH36" i="35"/>
  <c r="H212" i="38"/>
  <c r="G7" i="38"/>
  <c r="F8" i="38"/>
  <c r="AK12" i="35"/>
  <c r="AM12" i="35"/>
  <c r="F75" i="53"/>
  <c r="F96" i="53"/>
  <c r="F117" i="53"/>
  <c r="F141" i="53"/>
  <c r="F31" i="38"/>
  <c r="F32" i="50"/>
  <c r="F33" i="50"/>
  <c r="G33" i="50"/>
  <c r="F8" i="50"/>
  <c r="F226" i="41"/>
  <c r="F229" i="53"/>
  <c r="H142" i="38"/>
  <c r="G270" i="38"/>
  <c r="F228" i="50"/>
  <c r="F231" i="50"/>
  <c r="F175" i="41"/>
  <c r="F176" i="53"/>
  <c r="F331" i="41"/>
  <c r="F334" i="53"/>
  <c r="I16" i="32"/>
  <c r="F2" i="38"/>
  <c r="F175" i="38"/>
  <c r="F176" i="50"/>
  <c r="E33" i="48"/>
  <c r="G146" i="39"/>
  <c r="R78" i="55"/>
  <c r="H82" i="48"/>
  <c r="L5" i="31"/>
  <c r="F293" i="53"/>
  <c r="G38" i="50"/>
  <c r="L59" i="41"/>
  <c r="K60" i="53"/>
  <c r="H14" i="40"/>
  <c r="G15" i="52"/>
  <c r="H123" i="38"/>
  <c r="G124" i="50"/>
  <c r="G167" i="38"/>
  <c r="G168" i="50"/>
  <c r="H166" i="38"/>
  <c r="F76" i="38"/>
  <c r="F87" i="38"/>
  <c r="F76" i="50"/>
  <c r="F77" i="50"/>
  <c r="H338" i="38"/>
  <c r="G357" i="38"/>
  <c r="H230" i="50"/>
  <c r="G97" i="53"/>
  <c r="H157" i="38"/>
  <c r="H156" i="50"/>
  <c r="F317" i="40"/>
  <c r="G294" i="40"/>
  <c r="F328" i="40"/>
  <c r="G113" i="39"/>
  <c r="G142" i="39"/>
  <c r="G171" i="39"/>
  <c r="P70" i="48"/>
  <c r="R21" i="32"/>
  <c r="G19" i="32"/>
  <c r="F7" i="52"/>
  <c r="I123" i="41"/>
  <c r="H124" i="53"/>
  <c r="K38" i="38"/>
  <c r="J39" i="50"/>
  <c r="F54" i="52"/>
  <c r="F31" i="52"/>
  <c r="F165" i="52"/>
  <c r="F167" i="52"/>
  <c r="H125" i="50"/>
  <c r="I124" i="38"/>
  <c r="G30" i="41"/>
  <c r="F31" i="41"/>
  <c r="F167" i="41"/>
  <c r="G166" i="41"/>
  <c r="H15" i="38"/>
  <c r="G16" i="50"/>
  <c r="F385" i="40"/>
  <c r="F388" i="52"/>
  <c r="F375" i="40"/>
  <c r="F378" i="52"/>
  <c r="H14" i="38"/>
  <c r="G15" i="50"/>
  <c r="H37" i="41"/>
  <c r="G38" i="53"/>
  <c r="G243" i="52"/>
  <c r="H240" i="40"/>
  <c r="H54" i="52"/>
  <c r="H75" i="52"/>
  <c r="H96" i="52"/>
  <c r="H117" i="52"/>
  <c r="H141" i="52"/>
  <c r="I60" i="53"/>
  <c r="G55" i="50"/>
  <c r="J101" i="40"/>
  <c r="I102" i="52"/>
  <c r="G6" i="38"/>
  <c r="G8" i="38"/>
  <c r="G3" i="38"/>
  <c r="G3" i="50"/>
  <c r="H172" i="40"/>
  <c r="F323" i="40"/>
  <c r="I286" i="41"/>
  <c r="I330" i="41"/>
  <c r="I333" i="53"/>
  <c r="I289" i="41"/>
  <c r="I292" i="53"/>
  <c r="I290" i="41"/>
  <c r="I285" i="41"/>
  <c r="J284" i="41"/>
  <c r="I288" i="41"/>
  <c r="H80" i="40"/>
  <c r="G81" i="52"/>
  <c r="G140" i="41"/>
  <c r="F156" i="41"/>
  <c r="F157" i="53"/>
  <c r="F158" i="41"/>
  <c r="F159" i="53"/>
  <c r="F212" i="41"/>
  <c r="F227" i="41"/>
  <c r="F391" i="38"/>
  <c r="F394" i="38"/>
  <c r="F385" i="38"/>
  <c r="F388" i="50"/>
  <c r="F374" i="38"/>
  <c r="F377" i="50"/>
  <c r="S21" i="32"/>
  <c r="R70" i="48"/>
  <c r="F118" i="50"/>
  <c r="F121" i="50"/>
  <c r="G121" i="50"/>
  <c r="F120" i="38"/>
  <c r="F32" i="38"/>
  <c r="G32" i="38"/>
  <c r="H123" i="40"/>
  <c r="G124" i="52"/>
  <c r="H15" i="40"/>
  <c r="G16" i="52"/>
  <c r="F54" i="41"/>
  <c r="G53" i="41"/>
  <c r="H74" i="38"/>
  <c r="G75" i="38"/>
  <c r="G76" i="50"/>
  <c r="I22" i="31"/>
  <c r="L6" i="31"/>
  <c r="F259" i="41"/>
  <c r="F260" i="53"/>
  <c r="F262" i="53"/>
  <c r="G259" i="53"/>
  <c r="H14" i="41"/>
  <c r="G15" i="53"/>
  <c r="H124" i="41"/>
  <c r="G125" i="53"/>
  <c r="H56" i="48"/>
  <c r="E56" i="48"/>
  <c r="H225" i="33"/>
  <c r="H73" i="31"/>
  <c r="H33" i="31"/>
  <c r="H78" i="31"/>
  <c r="H26" i="31"/>
  <c r="I172" i="41"/>
  <c r="H173" i="53"/>
  <c r="H167" i="33"/>
  <c r="P45" i="33"/>
  <c r="H32" i="48"/>
  <c r="H34" i="48"/>
  <c r="J37" i="38"/>
  <c r="I38" i="50"/>
  <c r="X56" i="32"/>
  <c r="P72" i="48"/>
  <c r="G103" i="39"/>
  <c r="R23" i="32"/>
  <c r="I290" i="38"/>
  <c r="I285" i="38"/>
  <c r="I289" i="38"/>
  <c r="I292" i="50"/>
  <c r="J284" i="38"/>
  <c r="J289" i="38"/>
  <c r="J292" i="50"/>
  <c r="I288" i="38"/>
  <c r="F265" i="41"/>
  <c r="F268" i="53"/>
  <c r="F6" i="50"/>
  <c r="F7" i="50"/>
  <c r="H37" i="40"/>
  <c r="G38" i="52"/>
  <c r="H38" i="32"/>
  <c r="R28" i="32"/>
  <c r="H16" i="32"/>
  <c r="H6" i="32"/>
  <c r="R16" i="32"/>
  <c r="H28" i="32"/>
  <c r="F212" i="40"/>
  <c r="F257" i="40"/>
  <c r="F272" i="40"/>
  <c r="F275" i="52"/>
  <c r="F227" i="40"/>
  <c r="F230" i="52"/>
  <c r="G140" i="40"/>
  <c r="F156" i="40"/>
  <c r="F157" i="52"/>
  <c r="F142" i="40"/>
  <c r="F270" i="40"/>
  <c r="F155" i="40"/>
  <c r="F182" i="33"/>
  <c r="F52" i="48"/>
  <c r="E52" i="48"/>
  <c r="G169" i="39"/>
  <c r="G111" i="39"/>
  <c r="G140" i="39"/>
  <c r="G98" i="53"/>
  <c r="H98" i="53"/>
  <c r="F97" i="38"/>
  <c r="F108" i="38"/>
  <c r="F109" i="50"/>
  <c r="F97" i="50"/>
  <c r="F98" i="50"/>
  <c r="I240" i="38"/>
  <c r="H243" i="50"/>
  <c r="I240" i="41"/>
  <c r="H243" i="53"/>
  <c r="B12" i="35"/>
  <c r="F11" i="35"/>
  <c r="H11" i="35"/>
  <c r="H172" i="38"/>
  <c r="G173" i="50"/>
  <c r="H38" i="40"/>
  <c r="G39" i="52"/>
  <c r="H80" i="38"/>
  <c r="G81" i="50"/>
  <c r="G284" i="40"/>
  <c r="H284" i="40"/>
  <c r="I284" i="40"/>
  <c r="F290" i="40"/>
  <c r="F287" i="40"/>
  <c r="F289" i="40"/>
  <c r="F292" i="52"/>
  <c r="H338" i="40"/>
  <c r="G357" i="40"/>
  <c r="G397" i="40"/>
  <c r="S79" i="55"/>
  <c r="H8" i="41"/>
  <c r="H9" i="53"/>
  <c r="H8" i="53"/>
  <c r="R79" i="55"/>
  <c r="AR53" i="43"/>
  <c r="G137" i="33"/>
  <c r="S78" i="55"/>
  <c r="G27" i="31"/>
  <c r="G28" i="31"/>
  <c r="I31" i="31"/>
  <c r="I330" i="38"/>
  <c r="I333" i="50"/>
  <c r="I8" i="32"/>
  <c r="I30" i="32"/>
  <c r="I289" i="53"/>
  <c r="AR66" i="31"/>
  <c r="AP4" i="43"/>
  <c r="AA33" i="31"/>
  <c r="AQ48" i="31"/>
  <c r="S101" i="55"/>
  <c r="AM33" i="31"/>
  <c r="AL26" i="31"/>
  <c r="T89" i="55"/>
  <c r="G112" i="39"/>
  <c r="G173" i="39"/>
  <c r="F406" i="38"/>
  <c r="G260" i="50"/>
  <c r="F216" i="38"/>
  <c r="F217" i="38"/>
  <c r="G114" i="39"/>
  <c r="G141" i="39"/>
  <c r="G115" i="39"/>
  <c r="G265" i="38"/>
  <c r="G268" i="50"/>
  <c r="T96" i="55"/>
  <c r="AL48" i="31"/>
  <c r="AV73" i="31"/>
  <c r="AV33" i="31"/>
  <c r="AV26" i="31"/>
  <c r="AV78" i="31"/>
  <c r="AV48" i="31"/>
  <c r="AR78" i="31"/>
  <c r="AM48" i="31"/>
  <c r="AR73" i="31"/>
  <c r="AM66" i="31"/>
  <c r="AR26" i="31"/>
  <c r="AM73" i="31"/>
  <c r="N48" i="31"/>
  <c r="AR33" i="31"/>
  <c r="AM78" i="31"/>
  <c r="M66" i="31"/>
  <c r="AJ78" i="31"/>
  <c r="AJ48" i="31"/>
  <c r="AJ26" i="31"/>
  <c r="AJ66" i="31"/>
  <c r="AJ73" i="31"/>
  <c r="AJ33" i="31"/>
  <c r="AQ78" i="31"/>
  <c r="AL73" i="31"/>
  <c r="N26" i="31"/>
  <c r="M26" i="31"/>
  <c r="AQ73" i="31"/>
  <c r="AL78" i="31"/>
  <c r="N33" i="31"/>
  <c r="AL33" i="31"/>
  <c r="N73" i="31"/>
  <c r="AQ26" i="31"/>
  <c r="M33" i="31"/>
  <c r="AQ33" i="31"/>
  <c r="M78" i="31"/>
  <c r="N78" i="31"/>
  <c r="M48" i="31"/>
  <c r="AP78" i="31"/>
  <c r="AP73" i="31"/>
  <c r="AP26" i="31"/>
  <c r="AP48" i="31"/>
  <c r="AP66" i="31"/>
  <c r="AP33" i="31"/>
  <c r="AB73" i="31"/>
  <c r="AB26" i="31"/>
  <c r="AB33" i="31"/>
  <c r="AB66" i="31"/>
  <c r="AB78" i="31"/>
  <c r="AB48" i="31"/>
  <c r="Y73" i="31"/>
  <c r="Y33" i="31"/>
  <c r="Y26" i="31"/>
  <c r="Y78" i="31"/>
  <c r="Y66" i="31"/>
  <c r="Y48" i="31"/>
  <c r="AO26" i="31"/>
  <c r="AO66" i="31"/>
  <c r="AO33" i="31"/>
  <c r="AO48" i="31"/>
  <c r="AO73" i="31"/>
  <c r="AO78" i="31"/>
  <c r="AU78" i="31"/>
  <c r="AU73" i="31"/>
  <c r="AU26" i="31"/>
  <c r="AU33" i="31"/>
  <c r="AU48" i="31"/>
  <c r="AU66" i="31"/>
  <c r="AN33" i="31"/>
  <c r="AN73" i="31"/>
  <c r="AN66" i="31"/>
  <c r="AN48" i="31"/>
  <c r="AN78" i="31"/>
  <c r="AN26" i="31"/>
  <c r="AG37" i="35"/>
  <c r="W166" i="40"/>
  <c r="Y379" i="41"/>
  <c r="Y382" i="53"/>
  <c r="Z359" i="41"/>
  <c r="Z30" i="40"/>
  <c r="G76" i="38"/>
  <c r="F219" i="50"/>
  <c r="F220" i="50"/>
  <c r="R399" i="41"/>
  <c r="Q419" i="41"/>
  <c r="Q422" i="53"/>
  <c r="P371" i="41"/>
  <c r="P379" i="41"/>
  <c r="P382" i="53"/>
  <c r="R17" i="35"/>
  <c r="K59" i="40"/>
  <c r="J60" i="52"/>
  <c r="I290" i="50"/>
  <c r="I331" i="38"/>
  <c r="F143" i="53"/>
  <c r="F150" i="41"/>
  <c r="F151" i="53"/>
  <c r="T7" i="43"/>
  <c r="T19" i="43"/>
  <c r="T8" i="43"/>
  <c r="T20" i="43"/>
  <c r="T9" i="43"/>
  <c r="T21" i="43"/>
  <c r="T11" i="43"/>
  <c r="T10" i="43"/>
  <c r="T22" i="43"/>
  <c r="T12" i="43"/>
  <c r="T14" i="43"/>
  <c r="T13" i="43"/>
  <c r="T15" i="43"/>
  <c r="T16" i="43"/>
  <c r="T6" i="43"/>
  <c r="T17" i="43"/>
  <c r="T18" i="43"/>
  <c r="H3" i="41"/>
  <c r="H239" i="50"/>
  <c r="S11" i="43"/>
  <c r="S10" i="43"/>
  <c r="S22" i="43"/>
  <c r="S12" i="43"/>
  <c r="S14" i="43"/>
  <c r="S13" i="43"/>
  <c r="S15" i="43"/>
  <c r="S16" i="43"/>
  <c r="S17" i="43"/>
  <c r="S6" i="43"/>
  <c r="S18" i="43"/>
  <c r="S7" i="43"/>
  <c r="S19" i="43"/>
  <c r="S8" i="43"/>
  <c r="S9" i="43"/>
  <c r="S20" i="43"/>
  <c r="S21" i="43"/>
  <c r="U13" i="43"/>
  <c r="U15" i="43"/>
  <c r="U16" i="43"/>
  <c r="U17" i="43"/>
  <c r="U6" i="43"/>
  <c r="U18" i="43"/>
  <c r="U7" i="43"/>
  <c r="U19" i="43"/>
  <c r="U9" i="43"/>
  <c r="U21" i="43"/>
  <c r="U11" i="43"/>
  <c r="U12" i="43"/>
  <c r="U8" i="43"/>
  <c r="U10" i="43"/>
  <c r="U14" i="43"/>
  <c r="U20" i="43"/>
  <c r="U22" i="43"/>
  <c r="I331" i="41"/>
  <c r="I290" i="53"/>
  <c r="H40" i="48"/>
  <c r="E39" i="48"/>
  <c r="E40" i="48"/>
  <c r="I234" i="41"/>
  <c r="H235" i="41"/>
  <c r="F156" i="53"/>
  <c r="F324" i="41"/>
  <c r="F157" i="41"/>
  <c r="F157" i="38"/>
  <c r="F156" i="50"/>
  <c r="I8" i="53"/>
  <c r="J7" i="41"/>
  <c r="H220" i="38"/>
  <c r="H223" i="50"/>
  <c r="H215" i="50"/>
  <c r="AK78" i="31"/>
  <c r="AK26" i="31"/>
  <c r="AK73" i="31"/>
  <c r="AK48" i="31"/>
  <c r="AK33" i="31"/>
  <c r="AK66" i="31"/>
  <c r="BA18" i="43"/>
  <c r="O371" i="38"/>
  <c r="P359" i="38"/>
  <c r="AM11" i="43"/>
  <c r="AO11" i="43"/>
  <c r="F226" i="40"/>
  <c r="F228" i="52"/>
  <c r="F287" i="38"/>
  <c r="P59" i="48"/>
  <c r="G9" i="32"/>
  <c r="O74" i="40"/>
  <c r="D123" i="28"/>
  <c r="V24" i="45"/>
  <c r="S23" i="45"/>
  <c r="S24" i="45"/>
  <c r="D121" i="28"/>
  <c r="D128" i="28"/>
  <c r="U19" i="45"/>
  <c r="U23" i="45"/>
  <c r="U26" i="45"/>
  <c r="W24" i="45"/>
  <c r="AU26" i="43"/>
  <c r="H190" i="33"/>
  <c r="AU23" i="43"/>
  <c r="AV23" i="43"/>
  <c r="AV24" i="43"/>
  <c r="AS26" i="43"/>
  <c r="AP45" i="43"/>
  <c r="AS23" i="43"/>
  <c r="AR24" i="43"/>
  <c r="F155" i="33"/>
  <c r="AR23" i="43"/>
  <c r="R45" i="33"/>
  <c r="AR25" i="43"/>
  <c r="G155" i="33"/>
  <c r="AO17" i="43"/>
  <c r="AM17" i="43"/>
  <c r="AT24" i="43"/>
  <c r="F172" i="33"/>
  <c r="AT23" i="43"/>
  <c r="H30" i="31"/>
  <c r="J7" i="45"/>
  <c r="I371" i="40"/>
  <c r="J359" i="40"/>
  <c r="L116" i="40"/>
  <c r="F334" i="38"/>
  <c r="F293" i="50"/>
  <c r="G29" i="33"/>
  <c r="AA24" i="43"/>
  <c r="R16" i="43"/>
  <c r="R17" i="43"/>
  <c r="R6" i="43"/>
  <c r="R18" i="43"/>
  <c r="R7" i="43"/>
  <c r="R19" i="43"/>
  <c r="R8" i="43"/>
  <c r="R20" i="43"/>
  <c r="R9" i="43"/>
  <c r="R21" i="43"/>
  <c r="R11" i="43"/>
  <c r="R10" i="43"/>
  <c r="R22" i="43"/>
  <c r="R12" i="43"/>
  <c r="R14" i="43"/>
  <c r="R13" i="43"/>
  <c r="R15" i="43"/>
  <c r="P34" i="33"/>
  <c r="BA26" i="43"/>
  <c r="J23" i="31"/>
  <c r="N411" i="40"/>
  <c r="O399" i="40"/>
  <c r="G49" i="33"/>
  <c r="M167" i="40"/>
  <c r="M168" i="52"/>
  <c r="I30" i="38"/>
  <c r="G22" i="33"/>
  <c r="O6" i="43"/>
  <c r="O18" i="43"/>
  <c r="O7" i="43"/>
  <c r="O19" i="43"/>
  <c r="O8" i="43"/>
  <c r="O20" i="43"/>
  <c r="O9" i="43"/>
  <c r="O21" i="43"/>
  <c r="O11" i="43"/>
  <c r="O10" i="43"/>
  <c r="O22" i="43"/>
  <c r="O12" i="43"/>
  <c r="O14" i="43"/>
  <c r="O13" i="43"/>
  <c r="O15" i="43"/>
  <c r="O16" i="43"/>
  <c r="O17" i="43"/>
  <c r="O95" i="40"/>
  <c r="G394" i="40"/>
  <c r="G31" i="33"/>
  <c r="P12" i="43"/>
  <c r="P14" i="43"/>
  <c r="P13" i="43"/>
  <c r="P15" i="43"/>
  <c r="P16" i="43"/>
  <c r="P17" i="43"/>
  <c r="P6" i="43"/>
  <c r="P18" i="43"/>
  <c r="P7" i="43"/>
  <c r="P19" i="43"/>
  <c r="P8" i="43"/>
  <c r="P20" i="43"/>
  <c r="P9" i="43"/>
  <c r="P21" i="43"/>
  <c r="P11" i="43"/>
  <c r="P10" i="43"/>
  <c r="P22" i="43"/>
  <c r="H233" i="33"/>
  <c r="F165" i="53"/>
  <c r="F54" i="53"/>
  <c r="H55" i="48"/>
  <c r="H57" i="48"/>
  <c r="P70" i="33"/>
  <c r="Q8" i="43"/>
  <c r="Q20" i="43"/>
  <c r="Q9" i="43"/>
  <c r="Q21" i="43"/>
  <c r="Q11" i="43"/>
  <c r="Q10" i="43"/>
  <c r="Q22" i="43"/>
  <c r="Q12" i="43"/>
  <c r="Q14" i="43"/>
  <c r="Q13" i="43"/>
  <c r="Q15" i="43"/>
  <c r="Q16" i="43"/>
  <c r="Q17" i="43"/>
  <c r="Q6" i="43"/>
  <c r="Q18" i="43"/>
  <c r="Q7" i="43"/>
  <c r="Q19" i="43"/>
  <c r="G8" i="50"/>
  <c r="H7" i="38"/>
  <c r="AA78" i="31"/>
  <c r="AA48" i="31"/>
  <c r="AA26" i="31"/>
  <c r="AA73" i="31"/>
  <c r="I36" i="31"/>
  <c r="AK36" i="31"/>
  <c r="AK44" i="31"/>
  <c r="G156" i="38"/>
  <c r="G272" i="38"/>
  <c r="O4" i="31"/>
  <c r="P3" i="31"/>
  <c r="P27" i="33"/>
  <c r="BA25" i="43"/>
  <c r="I23" i="31"/>
  <c r="G36" i="33"/>
  <c r="AO21" i="43"/>
  <c r="AI21" i="43"/>
  <c r="T23" i="32"/>
  <c r="G21" i="32"/>
  <c r="G161" i="39"/>
  <c r="Z56" i="32"/>
  <c r="D56" i="48"/>
  <c r="F223" i="33"/>
  <c r="F235" i="33"/>
  <c r="Z25" i="43"/>
  <c r="AM10" i="43"/>
  <c r="AP12" i="43"/>
  <c r="AP13" i="43"/>
  <c r="AP25" i="43"/>
  <c r="AO10" i="43"/>
  <c r="G235" i="33"/>
  <c r="F202" i="33"/>
  <c r="F192" i="33"/>
  <c r="F201" i="33"/>
  <c r="AA4" i="43"/>
  <c r="AB1" i="43"/>
  <c r="AW14" i="43"/>
  <c r="AW20" i="43"/>
  <c r="AW24" i="43"/>
  <c r="AP50" i="43"/>
  <c r="F128" i="33"/>
  <c r="F127" i="33"/>
  <c r="F129" i="33"/>
  <c r="E21" i="33"/>
  <c r="K26" i="43"/>
  <c r="Z6" i="43"/>
  <c r="AI6" i="43"/>
  <c r="H184" i="33"/>
  <c r="H178" i="33"/>
  <c r="H183" i="33"/>
  <c r="H185" i="33"/>
  <c r="AM9" i="43"/>
  <c r="AO9" i="43"/>
  <c r="AP8" i="43"/>
  <c r="AD3" i="31"/>
  <c r="AC4" i="31"/>
  <c r="AC22" i="31"/>
  <c r="F28" i="33"/>
  <c r="F30" i="33"/>
  <c r="AP15" i="43"/>
  <c r="AI15" i="43"/>
  <c r="F37" i="33"/>
  <c r="AI22" i="43"/>
  <c r="G34" i="33"/>
  <c r="G23" i="33"/>
  <c r="G127" i="33"/>
  <c r="G128" i="33"/>
  <c r="O46" i="33"/>
  <c r="G129" i="33"/>
  <c r="O69" i="33"/>
  <c r="M23" i="33"/>
  <c r="AG24" i="43"/>
  <c r="H51" i="48"/>
  <c r="H80" i="41"/>
  <c r="G81" i="53"/>
  <c r="AI12" i="43"/>
  <c r="H95" i="38"/>
  <c r="G96" i="38"/>
  <c r="G97" i="38"/>
  <c r="L167" i="40"/>
  <c r="L168" i="52"/>
  <c r="AM21" i="43"/>
  <c r="H215" i="33"/>
  <c r="H216" i="33"/>
  <c r="H234" i="33"/>
  <c r="H222" i="33"/>
  <c r="H223" i="33"/>
  <c r="H235" i="33"/>
  <c r="P51" i="33"/>
  <c r="G8" i="48"/>
  <c r="X9" i="35"/>
  <c r="F2" i="40"/>
  <c r="G75" i="40"/>
  <c r="G76" i="52"/>
  <c r="M9" i="43"/>
  <c r="F24" i="33"/>
  <c r="P241" i="33"/>
  <c r="P49" i="33"/>
  <c r="M49" i="33"/>
  <c r="P235" i="33"/>
  <c r="P240" i="33"/>
  <c r="P242" i="33"/>
  <c r="N9" i="43"/>
  <c r="N21" i="43"/>
  <c r="N11" i="43"/>
  <c r="N10" i="43"/>
  <c r="N22" i="43"/>
  <c r="N12" i="43"/>
  <c r="N14" i="43"/>
  <c r="N13" i="43"/>
  <c r="N15" i="43"/>
  <c r="N16" i="43"/>
  <c r="N17" i="43"/>
  <c r="N6" i="43"/>
  <c r="N18" i="43"/>
  <c r="N7" i="43"/>
  <c r="N19" i="43"/>
  <c r="N8" i="43"/>
  <c r="G39" i="50"/>
  <c r="G60" i="53"/>
  <c r="Z20" i="43"/>
  <c r="AI9" i="43"/>
  <c r="AI11" i="43"/>
  <c r="F36" i="33"/>
  <c r="M21" i="43"/>
  <c r="AW23" i="43"/>
  <c r="Z7" i="43"/>
  <c r="E47" i="46"/>
  <c r="E49" i="46"/>
  <c r="E8" i="46"/>
  <c r="BA20" i="43"/>
  <c r="N4" i="43"/>
  <c r="AC23" i="43"/>
  <c r="I38" i="33"/>
  <c r="H399" i="38"/>
  <c r="AK292" i="33"/>
  <c r="AJ292" i="33"/>
  <c r="AA292" i="33"/>
  <c r="AA328" i="33"/>
  <c r="AK328" i="33"/>
  <c r="AJ328" i="33"/>
  <c r="AN36" i="43"/>
  <c r="AO225" i="33"/>
  <c r="AG225" i="33"/>
  <c r="AF238" i="33"/>
  <c r="AO238" i="33"/>
  <c r="AA284" i="33"/>
  <c r="AB297" i="33"/>
  <c r="AB285" i="33"/>
  <c r="AK284" i="33"/>
  <c r="AJ284" i="33"/>
  <c r="J374" i="50"/>
  <c r="K362" i="50"/>
  <c r="I402" i="52"/>
  <c r="H414" i="52"/>
  <c r="M27" i="54"/>
  <c r="AA268" i="33"/>
  <c r="AK268" i="33"/>
  <c r="AJ268" i="33"/>
  <c r="AK240" i="33"/>
  <c r="AJ240" i="33"/>
  <c r="AA240" i="33"/>
  <c r="AN37" i="43"/>
  <c r="AX3" i="31"/>
  <c r="AW4" i="31"/>
  <c r="AW22" i="31"/>
  <c r="AM251" i="33"/>
  <c r="AC251" i="33"/>
  <c r="AD265" i="33"/>
  <c r="AM265" i="33"/>
  <c r="AB307" i="33"/>
  <c r="AK308" i="33"/>
  <c r="AJ308" i="33"/>
  <c r="AA308" i="33"/>
  <c r="AB323" i="33"/>
  <c r="J374" i="53"/>
  <c r="K362" i="53"/>
  <c r="I402" i="50"/>
  <c r="H414" i="50"/>
  <c r="I30" i="54"/>
  <c r="J28" i="54"/>
  <c r="AA229" i="33"/>
  <c r="AN225" i="33"/>
  <c r="I374" i="50"/>
  <c r="AK255" i="33"/>
  <c r="AJ255" i="33"/>
  <c r="AB254" i="33"/>
  <c r="Z4" i="31"/>
  <c r="Z22" i="31"/>
  <c r="AB230" i="33"/>
  <c r="AA279" i="33"/>
  <c r="AA255" i="33"/>
  <c r="H98" i="33"/>
  <c r="T23" i="45"/>
  <c r="F8" i="54"/>
  <c r="G22" i="54"/>
  <c r="F10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AB23" i="54"/>
  <c r="AC23" i="54"/>
  <c r="AD23" i="54"/>
  <c r="AE23" i="54"/>
  <c r="AF23" i="54"/>
  <c r="AG23" i="54"/>
  <c r="AH23" i="54"/>
  <c r="AI23" i="54"/>
  <c r="AJ23" i="54"/>
  <c r="AK23" i="54"/>
  <c r="AL23" i="54"/>
  <c r="AM23" i="54"/>
  <c r="AN23" i="54"/>
  <c r="AO23" i="54"/>
  <c r="AP23" i="54"/>
  <c r="AQ23" i="54"/>
  <c r="AR23" i="54"/>
  <c r="AS23" i="54"/>
  <c r="AT23" i="54"/>
  <c r="AU23" i="54"/>
  <c r="AV23" i="54"/>
  <c r="G73" i="33"/>
  <c r="AK279" i="33"/>
  <c r="AJ279" i="33"/>
  <c r="AC278" i="33"/>
  <c r="AA326" i="33"/>
  <c r="H192" i="33"/>
  <c r="H201" i="33"/>
  <c r="K362" i="52"/>
  <c r="AM225" i="33"/>
  <c r="AM278" i="33"/>
  <c r="AK313" i="33"/>
  <c r="AJ313" i="33"/>
  <c r="H402" i="53"/>
  <c r="H107" i="33"/>
  <c r="H106" i="33"/>
  <c r="AK229" i="33"/>
  <c r="AJ229" i="33"/>
  <c r="U20" i="45"/>
  <c r="V19" i="45"/>
  <c r="W19" i="45"/>
  <c r="S19" i="45"/>
  <c r="P19" i="45"/>
  <c r="H65" i="33"/>
  <c r="Z14" i="43"/>
  <c r="S18" i="45"/>
  <c r="T18" i="45"/>
  <c r="H157" i="33"/>
  <c r="H166" i="33"/>
  <c r="H168" i="33"/>
  <c r="G192" i="33"/>
  <c r="G201" i="33"/>
  <c r="G203" i="33"/>
  <c r="G98" i="33"/>
  <c r="G64" i="33"/>
  <c r="G65" i="33"/>
  <c r="M12" i="43"/>
  <c r="Q20" i="45"/>
  <c r="M22" i="43"/>
  <c r="M10" i="43"/>
  <c r="M11" i="43"/>
  <c r="M20" i="43"/>
  <c r="M8" i="43"/>
  <c r="M19" i="43"/>
  <c r="M7" i="43"/>
  <c r="M18" i="43"/>
  <c r="M17" i="43"/>
  <c r="M16" i="43"/>
  <c r="M15" i="43"/>
  <c r="M13" i="43"/>
  <c r="Q58" i="33"/>
  <c r="F425" i="40"/>
  <c r="F428" i="52"/>
  <c r="F434" i="40"/>
  <c r="F414" i="40"/>
  <c r="F417" i="52"/>
  <c r="F415" i="40"/>
  <c r="F418" i="52"/>
  <c r="G120" i="38"/>
  <c r="F391" i="40"/>
  <c r="H270" i="38"/>
  <c r="H324" i="38"/>
  <c r="H327" i="50"/>
  <c r="H156" i="38"/>
  <c r="H157" i="50"/>
  <c r="F259" i="38"/>
  <c r="F374" i="40"/>
  <c r="F377" i="52"/>
  <c r="F271" i="38"/>
  <c r="F274" i="53"/>
  <c r="F276" i="53"/>
  <c r="F260" i="50"/>
  <c r="F262" i="50"/>
  <c r="G259" i="50"/>
  <c r="F394" i="40"/>
  <c r="F366" i="40"/>
  <c r="F324" i="38"/>
  <c r="F327" i="50"/>
  <c r="F55" i="38"/>
  <c r="F55" i="50"/>
  <c r="F56" i="50"/>
  <c r="G56" i="50"/>
  <c r="E45" i="48"/>
  <c r="F48" i="48"/>
  <c r="W56" i="32"/>
  <c r="G323" i="41"/>
  <c r="H10" i="53"/>
  <c r="G58" i="41"/>
  <c r="G59" i="53"/>
  <c r="I6" i="40"/>
  <c r="H294" i="41"/>
  <c r="G328" i="41"/>
  <c r="H1" i="42"/>
  <c r="S81" i="55"/>
  <c r="J7" i="40"/>
  <c r="J8" i="52"/>
  <c r="T95" i="48"/>
  <c r="AE57" i="32"/>
  <c r="N95" i="41"/>
  <c r="M96" i="41"/>
  <c r="M97" i="53"/>
  <c r="I2" i="42"/>
  <c r="J288" i="38"/>
  <c r="J291" i="50"/>
  <c r="I272" i="38"/>
  <c r="I275" i="50"/>
  <c r="G236" i="38"/>
  <c r="G247" i="38"/>
  <c r="G250" i="50"/>
  <c r="H2" i="41"/>
  <c r="I270" i="38"/>
  <c r="G100" i="41"/>
  <c r="G101" i="53"/>
  <c r="G1" i="42"/>
  <c r="G47" i="42"/>
  <c r="H56" i="50"/>
  <c r="I6" i="52"/>
  <c r="I165" i="52"/>
  <c r="G9" i="41"/>
  <c r="G375" i="40"/>
  <c r="G378" i="52"/>
  <c r="H328" i="38"/>
  <c r="H323" i="38"/>
  <c r="I294" i="38"/>
  <c r="H226" i="38"/>
  <c r="H228" i="50"/>
  <c r="G75" i="52"/>
  <c r="G96" i="52"/>
  <c r="G117" i="52"/>
  <c r="G141" i="52"/>
  <c r="G31" i="52"/>
  <c r="G165" i="52"/>
  <c r="G54" i="52"/>
  <c r="I2" i="41"/>
  <c r="I227" i="38"/>
  <c r="I230" i="50"/>
  <c r="H117" i="38"/>
  <c r="H118" i="50"/>
  <c r="H121" i="50"/>
  <c r="I116" i="38"/>
  <c r="J116" i="38"/>
  <c r="K116" i="38"/>
  <c r="G215" i="50"/>
  <c r="G217" i="50"/>
  <c r="H214" i="50"/>
  <c r="H217" i="50"/>
  <c r="I214" i="50"/>
  <c r="R81" i="55"/>
  <c r="F357" i="41"/>
  <c r="G338" i="41"/>
  <c r="H239" i="41"/>
  <c r="H242" i="53"/>
  <c r="I155" i="38"/>
  <c r="I157" i="38"/>
  <c r="I158" i="50"/>
  <c r="F173" i="41"/>
  <c r="F176" i="41"/>
  <c r="F177" i="53"/>
  <c r="F172" i="53"/>
  <c r="F174" i="53"/>
  <c r="H79" i="41"/>
  <c r="H80" i="53"/>
  <c r="I225" i="38"/>
  <c r="F168" i="38"/>
  <c r="G168" i="38"/>
  <c r="F168" i="50"/>
  <c r="F169" i="50"/>
  <c r="G169" i="50"/>
  <c r="G214" i="38"/>
  <c r="L59" i="38"/>
  <c r="K60" i="50"/>
  <c r="H100" i="41"/>
  <c r="H101" i="53"/>
  <c r="G48" i="48"/>
  <c r="E46" i="48"/>
  <c r="I124" i="40"/>
  <c r="H125" i="52"/>
  <c r="G130" i="33"/>
  <c r="I38" i="41"/>
  <c r="I39" i="53"/>
  <c r="J140" i="38"/>
  <c r="J270" i="38"/>
  <c r="F9" i="50"/>
  <c r="F10" i="50"/>
  <c r="F9" i="38"/>
  <c r="G9" i="38"/>
  <c r="H102" i="50"/>
  <c r="I101" i="38"/>
  <c r="G97" i="41"/>
  <c r="H97" i="41"/>
  <c r="H108" i="41"/>
  <c r="H109" i="53"/>
  <c r="H236" i="38"/>
  <c r="G5" i="47"/>
  <c r="G29" i="47"/>
  <c r="H3" i="47"/>
  <c r="G6" i="47"/>
  <c r="G30" i="47"/>
  <c r="G27" i="47"/>
  <c r="G7" i="47"/>
  <c r="G31" i="47"/>
  <c r="F21" i="54"/>
  <c r="G4" i="47"/>
  <c r="G28" i="47"/>
  <c r="G173" i="41"/>
  <c r="G176" i="41"/>
  <c r="G177" i="53"/>
  <c r="G172" i="53"/>
  <c r="G174" i="53"/>
  <c r="G150" i="38"/>
  <c r="G151" i="50"/>
  <c r="G143" i="50"/>
  <c r="G6" i="53"/>
  <c r="G7" i="53"/>
  <c r="H265" i="38"/>
  <c r="H268" i="50"/>
  <c r="H260" i="50"/>
  <c r="M53" i="38"/>
  <c r="L54" i="38"/>
  <c r="L55" i="50"/>
  <c r="K101" i="41"/>
  <c r="J102" i="53"/>
  <c r="G228" i="50"/>
  <c r="G226" i="38"/>
  <c r="H58" i="41"/>
  <c r="G236" i="41"/>
  <c r="G247" i="41"/>
  <c r="G250" i="53"/>
  <c r="J234" i="38"/>
  <c r="I235" i="38"/>
  <c r="I238" i="50"/>
  <c r="I239" i="50"/>
  <c r="F2" i="50"/>
  <c r="G273" i="50"/>
  <c r="G271" i="38"/>
  <c r="G273" i="38"/>
  <c r="G324" i="38"/>
  <c r="G327" i="50"/>
  <c r="H16" i="53"/>
  <c r="I15" i="41"/>
  <c r="F287" i="52"/>
  <c r="F285" i="52"/>
  <c r="F318" i="52"/>
  <c r="F341" i="52"/>
  <c r="F360" i="52"/>
  <c r="F400" i="52"/>
  <c r="F171" i="38"/>
  <c r="G2" i="38"/>
  <c r="H143" i="50"/>
  <c r="H150" i="38"/>
  <c r="H151" i="50"/>
  <c r="G262" i="50"/>
  <c r="H259" i="50"/>
  <c r="H74" i="41"/>
  <c r="G75" i="41"/>
  <c r="G76" i="53"/>
  <c r="G77" i="53"/>
  <c r="H165" i="52"/>
  <c r="H31" i="52"/>
  <c r="M116" i="41"/>
  <c r="L117" i="41"/>
  <c r="L118" i="53"/>
  <c r="F87" i="41"/>
  <c r="F88" i="53"/>
  <c r="I289" i="40"/>
  <c r="I292" i="52"/>
  <c r="I285" i="40"/>
  <c r="J284" i="40"/>
  <c r="I287" i="40"/>
  <c r="I286" i="40"/>
  <c r="I288" i="40"/>
  <c r="I290" i="40"/>
  <c r="C12" i="35"/>
  <c r="F12" i="35"/>
  <c r="H12" i="35"/>
  <c r="B13" i="35"/>
  <c r="I293" i="50"/>
  <c r="I334" i="38"/>
  <c r="I337" i="50"/>
  <c r="F261" i="38"/>
  <c r="G256" i="38"/>
  <c r="G259" i="38"/>
  <c r="F55" i="41"/>
  <c r="F55" i="53"/>
  <c r="F56" i="53"/>
  <c r="F394" i="50"/>
  <c r="F431" i="38"/>
  <c r="F434" i="50"/>
  <c r="I332" i="41"/>
  <c r="I335" i="53"/>
  <c r="I291" i="53"/>
  <c r="G2" i="50"/>
  <c r="G175" i="38"/>
  <c r="G176" i="50"/>
  <c r="G171" i="38"/>
  <c r="G100" i="38"/>
  <c r="G101" i="50"/>
  <c r="G239" i="38"/>
  <c r="G242" i="50"/>
  <c r="G79" i="38"/>
  <c r="G80" i="50"/>
  <c r="G58" i="38"/>
  <c r="G59" i="50"/>
  <c r="I37" i="41"/>
  <c r="H38" i="53"/>
  <c r="H30" i="41"/>
  <c r="G31" i="41"/>
  <c r="G32" i="53"/>
  <c r="I100" i="41"/>
  <c r="I101" i="53"/>
  <c r="J240" i="38"/>
  <c r="I243" i="50"/>
  <c r="F260" i="52"/>
  <c r="F262" i="52"/>
  <c r="G259" i="52"/>
  <c r="F265" i="40"/>
  <c r="F268" i="52"/>
  <c r="F259" i="40"/>
  <c r="AC56" i="32"/>
  <c r="P94" i="48"/>
  <c r="F230" i="53"/>
  <c r="F231" i="53"/>
  <c r="F228" i="41"/>
  <c r="J290" i="41"/>
  <c r="J289" i="41"/>
  <c r="J292" i="53"/>
  <c r="K284" i="41"/>
  <c r="J285" i="41"/>
  <c r="J287" i="41"/>
  <c r="J288" i="41"/>
  <c r="J286" i="41"/>
  <c r="I125" i="50"/>
  <c r="J124" i="38"/>
  <c r="Q21" i="32"/>
  <c r="G77" i="50"/>
  <c r="H15" i="52"/>
  <c r="I14" i="40"/>
  <c r="I80" i="38"/>
  <c r="H81" i="50"/>
  <c r="F156" i="52"/>
  <c r="F157" i="40"/>
  <c r="F158" i="52"/>
  <c r="F214" i="40"/>
  <c r="F220" i="40"/>
  <c r="F223" i="52"/>
  <c r="F215" i="52"/>
  <c r="F217" i="52"/>
  <c r="G214" i="52"/>
  <c r="H38" i="52"/>
  <c r="I37" i="40"/>
  <c r="J172" i="41"/>
  <c r="I173" i="53"/>
  <c r="H16" i="52"/>
  <c r="I15" i="40"/>
  <c r="F214" i="41"/>
  <c r="F215" i="53"/>
  <c r="F217" i="53"/>
  <c r="G214" i="53"/>
  <c r="F220" i="41"/>
  <c r="F223" i="53"/>
  <c r="I329" i="41"/>
  <c r="I332" i="53"/>
  <c r="I288" i="53"/>
  <c r="G9" i="50"/>
  <c r="G10" i="50"/>
  <c r="H15" i="50"/>
  <c r="I14" i="38"/>
  <c r="H158" i="50"/>
  <c r="H160" i="50"/>
  <c r="H159" i="38"/>
  <c r="G374" i="40"/>
  <c r="G377" i="52"/>
  <c r="G391" i="40"/>
  <c r="G385" i="40"/>
  <c r="G388" i="52"/>
  <c r="F273" i="52"/>
  <c r="F324" i="40"/>
  <c r="F327" i="52"/>
  <c r="F271" i="40"/>
  <c r="F274" i="52"/>
  <c r="I124" i="41"/>
  <c r="H125" i="53"/>
  <c r="I334" i="41"/>
  <c r="I337" i="53"/>
  <c r="I293" i="53"/>
  <c r="F213" i="52"/>
  <c r="F235" i="52"/>
  <c r="J123" i="41"/>
  <c r="I124" i="53"/>
  <c r="I273" i="50"/>
  <c r="I324" i="38"/>
  <c r="I271" i="38"/>
  <c r="I338" i="40"/>
  <c r="H357" i="40"/>
  <c r="H39" i="52"/>
  <c r="I38" i="40"/>
  <c r="I243" i="53"/>
  <c r="J240" i="41"/>
  <c r="F143" i="52"/>
  <c r="F150" i="40"/>
  <c r="F151" i="52"/>
  <c r="I332" i="38"/>
  <c r="I335" i="50"/>
  <c r="I291" i="50"/>
  <c r="I48" i="31"/>
  <c r="I78" i="31"/>
  <c r="I66" i="31"/>
  <c r="I73" i="31"/>
  <c r="I33" i="31"/>
  <c r="I26" i="31"/>
  <c r="I123" i="40"/>
  <c r="H124" i="52"/>
  <c r="F394" i="52"/>
  <c r="F431" i="40"/>
  <c r="F434" i="52"/>
  <c r="I15" i="38"/>
  <c r="H16" i="50"/>
  <c r="H167" i="38"/>
  <c r="H168" i="50"/>
  <c r="H169" i="50"/>
  <c r="I166" i="38"/>
  <c r="M59" i="41"/>
  <c r="L60" i="53"/>
  <c r="H7" i="53"/>
  <c r="H6" i="53"/>
  <c r="F75" i="50"/>
  <c r="F96" i="50"/>
  <c r="F117" i="50"/>
  <c r="F141" i="50"/>
  <c r="F31" i="50"/>
  <c r="F165" i="50"/>
  <c r="F54" i="50"/>
  <c r="J286" i="38"/>
  <c r="J290" i="38"/>
  <c r="J285" i="38"/>
  <c r="K284" i="38"/>
  <c r="J287" i="38"/>
  <c r="H15" i="53"/>
  <c r="I14" i="41"/>
  <c r="G158" i="41"/>
  <c r="G159" i="53"/>
  <c r="G142" i="41"/>
  <c r="G257" i="41"/>
  <c r="G270" i="41"/>
  <c r="G155" i="41"/>
  <c r="G156" i="41"/>
  <c r="G157" i="53"/>
  <c r="G272" i="41"/>
  <c r="G275" i="53"/>
  <c r="H140" i="41"/>
  <c r="G225" i="41"/>
  <c r="G212" i="41"/>
  <c r="G227" i="41"/>
  <c r="G230" i="53"/>
  <c r="J102" i="52"/>
  <c r="K101" i="40"/>
  <c r="I240" i="40"/>
  <c r="H243" i="52"/>
  <c r="H166" i="41"/>
  <c r="G167" i="41"/>
  <c r="G168" i="53"/>
  <c r="F290" i="52"/>
  <c r="F331" i="40"/>
  <c r="F334" i="52"/>
  <c r="I172" i="38"/>
  <c r="H173" i="50"/>
  <c r="G212" i="40"/>
  <c r="G257" i="40"/>
  <c r="G156" i="40"/>
  <c r="G157" i="52"/>
  <c r="H140" i="40"/>
  <c r="G155" i="40"/>
  <c r="G272" i="40"/>
  <c r="G275" i="52"/>
  <c r="G158" i="40"/>
  <c r="G159" i="52"/>
  <c r="G142" i="40"/>
  <c r="G227" i="40"/>
  <c r="G230" i="52"/>
  <c r="G225" i="40"/>
  <c r="G270" i="40"/>
  <c r="J38" i="50"/>
  <c r="K37" i="38"/>
  <c r="I74" i="38"/>
  <c r="J74" i="38"/>
  <c r="K74" i="38"/>
  <c r="H75" i="38"/>
  <c r="H76" i="50"/>
  <c r="F168" i="41"/>
  <c r="F168" i="53"/>
  <c r="F169" i="53"/>
  <c r="G108" i="41"/>
  <c r="G109" i="53"/>
  <c r="G397" i="38"/>
  <c r="G394" i="38"/>
  <c r="G374" i="38"/>
  <c r="G377" i="50"/>
  <c r="G391" i="38"/>
  <c r="G385" i="38"/>
  <c r="G388" i="50"/>
  <c r="G375" i="38"/>
  <c r="G378" i="50"/>
  <c r="I228" i="50"/>
  <c r="I226" i="38"/>
  <c r="I229" i="50"/>
  <c r="F293" i="52"/>
  <c r="F334" i="40"/>
  <c r="F337" i="52"/>
  <c r="I288" i="50"/>
  <c r="I329" i="38"/>
  <c r="I332" i="50"/>
  <c r="G256" i="41"/>
  <c r="F261" i="41"/>
  <c r="H53" i="41"/>
  <c r="G54" i="41"/>
  <c r="G55" i="53"/>
  <c r="F397" i="50"/>
  <c r="F366" i="38"/>
  <c r="H81" i="52"/>
  <c r="I80" i="40"/>
  <c r="I172" i="40"/>
  <c r="H173" i="52"/>
  <c r="F397" i="52"/>
  <c r="F32" i="53"/>
  <c r="F33" i="53"/>
  <c r="F32" i="41"/>
  <c r="L38" i="38"/>
  <c r="K39" i="50"/>
  <c r="H9" i="41"/>
  <c r="G323" i="40"/>
  <c r="G328" i="40"/>
  <c r="G317" i="40"/>
  <c r="H294" i="40"/>
  <c r="I338" i="38"/>
  <c r="H357" i="38"/>
  <c r="I123" i="38"/>
  <c r="H124" i="50"/>
  <c r="J158" i="38"/>
  <c r="J159" i="50"/>
  <c r="J212" i="38"/>
  <c r="J155" i="38"/>
  <c r="S30" i="32"/>
  <c r="R101" i="48"/>
  <c r="I40" i="32"/>
  <c r="AJ52" i="32"/>
  <c r="R79" i="48"/>
  <c r="F286" i="40"/>
  <c r="R58" i="48"/>
  <c r="F419" i="38"/>
  <c r="F422" i="50"/>
  <c r="F409" i="50"/>
  <c r="H211" i="38"/>
  <c r="H214" i="38"/>
  <c r="G216" i="38"/>
  <c r="R24" i="43"/>
  <c r="G108" i="38"/>
  <c r="AV37" i="43"/>
  <c r="G67" i="33"/>
  <c r="G25" i="48"/>
  <c r="AR37" i="43"/>
  <c r="G59" i="33"/>
  <c r="G23" i="48"/>
  <c r="AP37" i="43"/>
  <c r="G55" i="33"/>
  <c r="AX37" i="43"/>
  <c r="AT37" i="43"/>
  <c r="G63" i="33"/>
  <c r="G24" i="48"/>
  <c r="M25" i="43"/>
  <c r="O26" i="33"/>
  <c r="W11" i="43"/>
  <c r="V11" i="43"/>
  <c r="I95" i="38"/>
  <c r="H96" i="38"/>
  <c r="H97" i="50"/>
  <c r="H8" i="50"/>
  <c r="H6" i="38"/>
  <c r="H3" i="38"/>
  <c r="H8" i="38"/>
  <c r="H2" i="38"/>
  <c r="I7" i="38"/>
  <c r="Q59" i="33"/>
  <c r="R46" i="33"/>
  <c r="O22" i="33"/>
  <c r="W7" i="43"/>
  <c r="V7" i="43"/>
  <c r="O25" i="33"/>
  <c r="W10" i="43"/>
  <c r="V10" i="43"/>
  <c r="F29" i="33"/>
  <c r="AI14" i="43"/>
  <c r="AP14" i="43"/>
  <c r="Z24" i="43"/>
  <c r="L362" i="53"/>
  <c r="K374" i="53"/>
  <c r="AL251" i="33"/>
  <c r="AC265" i="33"/>
  <c r="AL265" i="33"/>
  <c r="J402" i="52"/>
  <c r="I414" i="52"/>
  <c r="AC73" i="31"/>
  <c r="AC33" i="31"/>
  <c r="AC66" i="31"/>
  <c r="AC26" i="31"/>
  <c r="AC78" i="31"/>
  <c r="AC48" i="31"/>
  <c r="AB4" i="43"/>
  <c r="AC1" i="43"/>
  <c r="AI25" i="43"/>
  <c r="I294" i="41"/>
  <c r="H317" i="41"/>
  <c r="H328" i="41"/>
  <c r="H323" i="41"/>
  <c r="G6" i="50"/>
  <c r="G7" i="50"/>
  <c r="P24" i="43"/>
  <c r="N96" i="40"/>
  <c r="N97" i="52"/>
  <c r="F123" i="28"/>
  <c r="N75" i="40"/>
  <c r="N76" i="52"/>
  <c r="F327" i="53"/>
  <c r="U25" i="43"/>
  <c r="S25" i="43"/>
  <c r="F88" i="50"/>
  <c r="O33" i="33"/>
  <c r="W18" i="43"/>
  <c r="V18" i="43"/>
  <c r="F158" i="53"/>
  <c r="F160" i="53"/>
  <c r="F325" i="41"/>
  <c r="F328" i="53"/>
  <c r="M14" i="43"/>
  <c r="M24" i="43"/>
  <c r="O34" i="33"/>
  <c r="W19" i="43"/>
  <c r="V19" i="43"/>
  <c r="O37" i="33"/>
  <c r="W22" i="43"/>
  <c r="V22" i="43"/>
  <c r="K374" i="50"/>
  <c r="L362" i="50"/>
  <c r="AG238" i="33"/>
  <c r="AP238" i="33"/>
  <c r="AP225" i="33"/>
  <c r="G35" i="33"/>
  <c r="AE3" i="31"/>
  <c r="AD4" i="31"/>
  <c r="AD22" i="31"/>
  <c r="G20" i="33"/>
  <c r="AQ4" i="43"/>
  <c r="N51" i="33"/>
  <c r="E235" i="33"/>
  <c r="H236" i="33"/>
  <c r="O96" i="40"/>
  <c r="O97" i="52"/>
  <c r="P95" i="40"/>
  <c r="P399" i="40"/>
  <c r="O411" i="40"/>
  <c r="L54" i="40"/>
  <c r="L55" i="52"/>
  <c r="G167" i="33"/>
  <c r="J54" i="40"/>
  <c r="J55" i="52"/>
  <c r="G157" i="33"/>
  <c r="G166" i="33"/>
  <c r="G32" i="48"/>
  <c r="G34" i="48"/>
  <c r="H202" i="33"/>
  <c r="H36" i="48"/>
  <c r="V26" i="45"/>
  <c r="V20" i="45"/>
  <c r="P74" i="40"/>
  <c r="O75" i="40"/>
  <c r="O76" i="52"/>
  <c r="E11" i="46"/>
  <c r="T23" i="43"/>
  <c r="T26" i="43"/>
  <c r="T25" i="43"/>
  <c r="R18" i="35"/>
  <c r="G414" i="40"/>
  <c r="G417" i="52"/>
  <c r="G425" i="40"/>
  <c r="G415" i="40"/>
  <c r="G418" i="52"/>
  <c r="G434" i="40"/>
  <c r="O28" i="33"/>
  <c r="W13" i="43"/>
  <c r="V13" i="43"/>
  <c r="H57" i="33"/>
  <c r="I402" i="53"/>
  <c r="H414" i="53"/>
  <c r="K374" i="52"/>
  <c r="L362" i="52"/>
  <c r="AB243" i="33"/>
  <c r="AK230" i="33"/>
  <c r="AJ230" i="33"/>
  <c r="AB231" i="33"/>
  <c r="AA230" i="33"/>
  <c r="K28" i="54"/>
  <c r="J30" i="54"/>
  <c r="AW73" i="31"/>
  <c r="AW26" i="31"/>
  <c r="AW48" i="31"/>
  <c r="AW66" i="31"/>
  <c r="AW78" i="31"/>
  <c r="AW33" i="31"/>
  <c r="P35" i="33"/>
  <c r="BA24" i="43"/>
  <c r="H23" i="31"/>
  <c r="O24" i="33"/>
  <c r="W9" i="43"/>
  <c r="V9" i="43"/>
  <c r="P50" i="33"/>
  <c r="I117" i="41"/>
  <c r="I80" i="41"/>
  <c r="H81" i="53"/>
  <c r="AO8" i="43"/>
  <c r="AM8" i="43"/>
  <c r="E201" i="33"/>
  <c r="F203" i="33"/>
  <c r="F85" i="48"/>
  <c r="J57" i="45"/>
  <c r="J235" i="40"/>
  <c r="J238" i="52"/>
  <c r="Q24" i="43"/>
  <c r="O25" i="43"/>
  <c r="O23" i="43"/>
  <c r="O26" i="43"/>
  <c r="J24" i="31"/>
  <c r="AI11" i="35"/>
  <c r="G30" i="31"/>
  <c r="T24" i="45"/>
  <c r="S26" i="45"/>
  <c r="S20" i="45"/>
  <c r="F228" i="40"/>
  <c r="F229" i="52"/>
  <c r="F231" i="52"/>
  <c r="P33" i="33"/>
  <c r="BA23" i="43"/>
  <c r="P38" i="33"/>
  <c r="Z31" i="40"/>
  <c r="Z32" i="52"/>
  <c r="F297" i="52"/>
  <c r="O30" i="33"/>
  <c r="W15" i="43"/>
  <c r="V15" i="43"/>
  <c r="M57" i="33"/>
  <c r="M240" i="33"/>
  <c r="H22" i="54"/>
  <c r="G24" i="54"/>
  <c r="G32" i="54"/>
  <c r="Z26" i="31"/>
  <c r="Z48" i="31"/>
  <c r="Z66" i="31"/>
  <c r="Z73" i="31"/>
  <c r="Z33" i="31"/>
  <c r="Z78" i="31"/>
  <c r="AK323" i="33"/>
  <c r="AJ323" i="33"/>
  <c r="AA323" i="33"/>
  <c r="AX4" i="31"/>
  <c r="AX22" i="31"/>
  <c r="AY3" i="31"/>
  <c r="N27" i="54"/>
  <c r="F35" i="33"/>
  <c r="AP20" i="43"/>
  <c r="AI20" i="43"/>
  <c r="N26" i="43"/>
  <c r="F96" i="40"/>
  <c r="G96" i="40"/>
  <c r="G97" i="52"/>
  <c r="K96" i="40"/>
  <c r="K97" i="52"/>
  <c r="F235" i="40"/>
  <c r="F54" i="40"/>
  <c r="F8" i="40"/>
  <c r="L31" i="40"/>
  <c r="L32" i="52"/>
  <c r="F167" i="40"/>
  <c r="G54" i="40"/>
  <c r="G55" i="52"/>
  <c r="J75" i="40"/>
  <c r="J76" i="52"/>
  <c r="K31" i="40"/>
  <c r="K32" i="52"/>
  <c r="I75" i="40"/>
  <c r="I76" i="52"/>
  <c r="K167" i="40"/>
  <c r="K168" i="52"/>
  <c r="I96" i="40"/>
  <c r="I97" i="52"/>
  <c r="G31" i="40"/>
  <c r="G32" i="52"/>
  <c r="H117" i="40"/>
  <c r="H118" i="52"/>
  <c r="H75" i="40"/>
  <c r="H76" i="52"/>
  <c r="J167" i="40"/>
  <c r="J168" i="52"/>
  <c r="L96" i="40"/>
  <c r="L97" i="52"/>
  <c r="J96" i="40"/>
  <c r="J97" i="52"/>
  <c r="G8" i="40"/>
  <c r="G9" i="52"/>
  <c r="L75" i="40"/>
  <c r="L76" i="52"/>
  <c r="I235" i="40"/>
  <c r="I238" i="52"/>
  <c r="F75" i="40"/>
  <c r="G117" i="40"/>
  <c r="G118" i="52"/>
  <c r="G167" i="40"/>
  <c r="G168" i="52"/>
  <c r="H54" i="40"/>
  <c r="H55" i="52"/>
  <c r="H31" i="40"/>
  <c r="H32" i="52"/>
  <c r="K75" i="40"/>
  <c r="K76" i="52"/>
  <c r="M96" i="40"/>
  <c r="M97" i="52"/>
  <c r="F3" i="40"/>
  <c r="G235" i="40"/>
  <c r="G238" i="52"/>
  <c r="H8" i="40"/>
  <c r="H9" i="52"/>
  <c r="K54" i="40"/>
  <c r="K55" i="52"/>
  <c r="H167" i="40"/>
  <c r="H168" i="52"/>
  <c r="M75" i="40"/>
  <c r="M76" i="52"/>
  <c r="N167" i="40"/>
  <c r="N168" i="52"/>
  <c r="G9" i="48"/>
  <c r="M31" i="40"/>
  <c r="M32" i="52"/>
  <c r="H96" i="40"/>
  <c r="H97" i="52"/>
  <c r="H235" i="40"/>
  <c r="H238" i="52"/>
  <c r="N31" i="40"/>
  <c r="N32" i="52"/>
  <c r="O167" i="40"/>
  <c r="O168" i="52"/>
  <c r="F31" i="40"/>
  <c r="L235" i="40"/>
  <c r="L238" i="52"/>
  <c r="F117" i="40"/>
  <c r="I167" i="40"/>
  <c r="I168" i="52"/>
  <c r="I117" i="40"/>
  <c r="I118" i="52"/>
  <c r="N235" i="40"/>
  <c r="N238" i="52"/>
  <c r="O54" i="40"/>
  <c r="O55" i="52"/>
  <c r="M235" i="40"/>
  <c r="M238" i="52"/>
  <c r="P167" i="40"/>
  <c r="P168" i="52"/>
  <c r="Q54" i="40"/>
  <c r="Q55" i="52"/>
  <c r="M54" i="40"/>
  <c r="M55" i="52"/>
  <c r="P54" i="40"/>
  <c r="P55" i="52"/>
  <c r="P31" i="40"/>
  <c r="P32" i="52"/>
  <c r="K235" i="40"/>
  <c r="K238" i="52"/>
  <c r="J117" i="40"/>
  <c r="J118" i="52"/>
  <c r="Q167" i="40"/>
  <c r="Q168" i="52"/>
  <c r="R167" i="40"/>
  <c r="R168" i="52"/>
  <c r="Q31" i="40"/>
  <c r="Q32" i="52"/>
  <c r="R54" i="40"/>
  <c r="R55" i="52"/>
  <c r="S54" i="40"/>
  <c r="S55" i="52"/>
  <c r="O31" i="40"/>
  <c r="O32" i="52"/>
  <c r="R31" i="40"/>
  <c r="R32" i="52"/>
  <c r="S167" i="40"/>
  <c r="S168" i="52"/>
  <c r="O235" i="40"/>
  <c r="O238" i="52"/>
  <c r="Q235" i="40"/>
  <c r="Q238" i="52"/>
  <c r="T54" i="40"/>
  <c r="T55" i="52"/>
  <c r="U54" i="40"/>
  <c r="U55" i="52"/>
  <c r="S235" i="40"/>
  <c r="S238" i="52"/>
  <c r="P235" i="40"/>
  <c r="P238" i="52"/>
  <c r="U167" i="40"/>
  <c r="U168" i="52"/>
  <c r="T31" i="40"/>
  <c r="T32" i="52"/>
  <c r="V54" i="40"/>
  <c r="V55" i="52"/>
  <c r="T167" i="40"/>
  <c r="T168" i="52"/>
  <c r="U31" i="40"/>
  <c r="U32" i="52"/>
  <c r="S31" i="40"/>
  <c r="S32" i="52"/>
  <c r="V31" i="40"/>
  <c r="V32" i="52"/>
  <c r="T235" i="40"/>
  <c r="T238" i="52"/>
  <c r="R235" i="40"/>
  <c r="R238" i="52"/>
  <c r="W54" i="40"/>
  <c r="W55" i="52"/>
  <c r="X54" i="40"/>
  <c r="X55" i="52"/>
  <c r="U235" i="40"/>
  <c r="U238" i="52"/>
  <c r="W31" i="40"/>
  <c r="W32" i="52"/>
  <c r="Z54" i="40"/>
  <c r="Z55" i="52"/>
  <c r="W235" i="40"/>
  <c r="W238" i="52"/>
  <c r="X235" i="40"/>
  <c r="X238" i="52"/>
  <c r="Z235" i="40"/>
  <c r="Z238" i="52"/>
  <c r="X31" i="40"/>
  <c r="X32" i="52"/>
  <c r="Y235" i="40"/>
  <c r="Y238" i="52"/>
  <c r="V235" i="40"/>
  <c r="V238" i="52"/>
  <c r="Y54" i="40"/>
  <c r="Y55" i="52"/>
  <c r="G21" i="33"/>
  <c r="AA23" i="43"/>
  <c r="G38" i="33"/>
  <c r="AA26" i="43"/>
  <c r="N69" i="33"/>
  <c r="E202" i="33"/>
  <c r="N48" i="33"/>
  <c r="J117" i="41"/>
  <c r="J118" i="53"/>
  <c r="AM16" i="43"/>
  <c r="AO16" i="43"/>
  <c r="AQ25" i="43"/>
  <c r="R25" i="43"/>
  <c r="R23" i="43"/>
  <c r="R26" i="43"/>
  <c r="F337" i="50"/>
  <c r="F157" i="33"/>
  <c r="F166" i="33"/>
  <c r="F167" i="33"/>
  <c r="F32" i="48"/>
  <c r="J8" i="53"/>
  <c r="K7" i="41"/>
  <c r="J2" i="41"/>
  <c r="J6" i="41"/>
  <c r="S24" i="43"/>
  <c r="I334" i="50"/>
  <c r="L59" i="40"/>
  <c r="K60" i="52"/>
  <c r="S399" i="41"/>
  <c r="R419" i="41"/>
  <c r="R422" i="53"/>
  <c r="R411" i="41"/>
  <c r="F159" i="41"/>
  <c r="Y31" i="40"/>
  <c r="Y32" i="52"/>
  <c r="F207" i="33"/>
  <c r="H11" i="55"/>
  <c r="I11" i="55"/>
  <c r="AP53" i="43"/>
  <c r="Q359" i="38"/>
  <c r="P371" i="38"/>
  <c r="P379" i="38"/>
  <c r="P382" i="50"/>
  <c r="S23" i="43"/>
  <c r="S26" i="43"/>
  <c r="G87" i="38"/>
  <c r="O31" i="33"/>
  <c r="W16" i="43"/>
  <c r="V16" i="43"/>
  <c r="O23" i="33"/>
  <c r="W8" i="43"/>
  <c r="V8" i="43"/>
  <c r="I37" i="31"/>
  <c r="AL37" i="31"/>
  <c r="AL44" i="31"/>
  <c r="AL13" i="31"/>
  <c r="H203" i="33"/>
  <c r="F22" i="33"/>
  <c r="AP7" i="43"/>
  <c r="AI7" i="43"/>
  <c r="N25" i="43"/>
  <c r="AO15" i="43"/>
  <c r="AM15" i="43"/>
  <c r="O51" i="33"/>
  <c r="G236" i="33"/>
  <c r="Q3" i="31"/>
  <c r="P4" i="31"/>
  <c r="P25" i="43"/>
  <c r="P23" i="43"/>
  <c r="P26" i="43"/>
  <c r="M116" i="40"/>
  <c r="L117" i="40"/>
  <c r="L118" i="52"/>
  <c r="U24" i="45"/>
  <c r="W26" i="45"/>
  <c r="W20" i="45"/>
  <c r="F290" i="50"/>
  <c r="F331" i="38"/>
  <c r="I7" i="53"/>
  <c r="I6" i="53"/>
  <c r="H238" i="53"/>
  <c r="H236" i="41"/>
  <c r="I47" i="42"/>
  <c r="I1" i="42"/>
  <c r="J2" i="42"/>
  <c r="Z371" i="41"/>
  <c r="Z379" i="41"/>
  <c r="Z382" i="53"/>
  <c r="V167" i="40"/>
  <c r="V168" i="52"/>
  <c r="AM19" i="43"/>
  <c r="AO19" i="43"/>
  <c r="O32" i="33"/>
  <c r="W17" i="43"/>
  <c r="V17" i="43"/>
  <c r="O27" i="33"/>
  <c r="W12" i="43"/>
  <c r="V12" i="43"/>
  <c r="P23" i="45"/>
  <c r="AB267" i="33"/>
  <c r="AA254" i="33"/>
  <c r="AK254" i="33"/>
  <c r="AJ254" i="33"/>
  <c r="AB253" i="33"/>
  <c r="I414" i="50"/>
  <c r="J402" i="50"/>
  <c r="AB298" i="33"/>
  <c r="AK285" i="33"/>
  <c r="AJ285" i="33"/>
  <c r="AA285" i="33"/>
  <c r="I399" i="38"/>
  <c r="H411" i="38"/>
  <c r="H53" i="48"/>
  <c r="E51" i="48"/>
  <c r="F130" i="33"/>
  <c r="G74" i="39"/>
  <c r="K125" i="28"/>
  <c r="I24" i="31"/>
  <c r="T11" i="35"/>
  <c r="O22" i="31"/>
  <c r="Q23" i="43"/>
  <c r="Q26" i="43"/>
  <c r="G366" i="40"/>
  <c r="G397" i="52"/>
  <c r="H32" i="50"/>
  <c r="H32" i="38"/>
  <c r="K117" i="40"/>
  <c r="K118" i="52"/>
  <c r="H122" i="33"/>
  <c r="T73" i="55"/>
  <c r="AP46" i="43"/>
  <c r="R24" i="45"/>
  <c r="T26" i="45"/>
  <c r="T20" i="45"/>
  <c r="P14" i="45"/>
  <c r="J234" i="41"/>
  <c r="I235" i="41"/>
  <c r="I238" i="53"/>
  <c r="T24" i="43"/>
  <c r="W167" i="40"/>
  <c r="W168" i="52"/>
  <c r="X166" i="40"/>
  <c r="AH37" i="35"/>
  <c r="AG38" i="35"/>
  <c r="AC291" i="33"/>
  <c r="AL291" i="33"/>
  <c r="AL278" i="33"/>
  <c r="S12" i="35"/>
  <c r="S13" i="35"/>
  <c r="S14" i="35"/>
  <c r="S15" i="35"/>
  <c r="S16" i="35"/>
  <c r="S17" i="35"/>
  <c r="V11" i="35"/>
  <c r="X11" i="35"/>
  <c r="V12" i="35"/>
  <c r="X12" i="35"/>
  <c r="F21" i="33"/>
  <c r="Z23" i="43"/>
  <c r="AP6" i="43"/>
  <c r="Z26" i="43"/>
  <c r="G157" i="50"/>
  <c r="G159" i="38"/>
  <c r="F437" i="52"/>
  <c r="F406" i="40"/>
  <c r="M6" i="43"/>
  <c r="J37" i="31"/>
  <c r="AW37" i="31"/>
  <c r="AW44" i="31"/>
  <c r="AW13" i="31"/>
  <c r="P18" i="45"/>
  <c r="M241" i="33"/>
  <c r="AB322" i="33"/>
  <c r="AK307" i="33"/>
  <c r="AJ307" i="33"/>
  <c r="AA307" i="33"/>
  <c r="AA297" i="33"/>
  <c r="AK297" i="33"/>
  <c r="AJ297" i="33"/>
  <c r="O36" i="33"/>
  <c r="W21" i="43"/>
  <c r="V21" i="43"/>
  <c r="N20" i="43"/>
  <c r="N23" i="43"/>
  <c r="F171" i="40"/>
  <c r="F2" i="52"/>
  <c r="F175" i="40"/>
  <c r="F176" i="52"/>
  <c r="G2" i="40"/>
  <c r="G97" i="50"/>
  <c r="G98" i="50"/>
  <c r="H98" i="50"/>
  <c r="J55" i="45"/>
  <c r="AO13" i="43"/>
  <c r="AM13" i="43"/>
  <c r="P47" i="33"/>
  <c r="N46" i="33"/>
  <c r="AM12" i="43"/>
  <c r="AO12" i="43"/>
  <c r="AO25" i="43"/>
  <c r="T94" i="48"/>
  <c r="AE56" i="32"/>
  <c r="Q23" i="32"/>
  <c r="G275" i="50"/>
  <c r="Q25" i="43"/>
  <c r="F235" i="53"/>
  <c r="F213" i="53"/>
  <c r="F287" i="53"/>
  <c r="F285" i="53"/>
  <c r="F167" i="53"/>
  <c r="O24" i="43"/>
  <c r="J30" i="38"/>
  <c r="J371" i="40"/>
  <c r="K359" i="40"/>
  <c r="F184" i="33"/>
  <c r="F174" i="33"/>
  <c r="F183" i="33"/>
  <c r="F50" i="48"/>
  <c r="H7" i="47"/>
  <c r="R26" i="45"/>
  <c r="R20" i="45"/>
  <c r="N54" i="40"/>
  <c r="N55" i="52"/>
  <c r="F159" i="38"/>
  <c r="F325" i="38"/>
  <c r="F158" i="50"/>
  <c r="F160" i="50"/>
  <c r="I334" i="53"/>
  <c r="U24" i="43"/>
  <c r="U23" i="43"/>
  <c r="U26" i="43"/>
  <c r="H3" i="53"/>
  <c r="I3" i="41"/>
  <c r="I3" i="53"/>
  <c r="K140" i="38"/>
  <c r="J257" i="38"/>
  <c r="I79" i="41"/>
  <c r="I80" i="53"/>
  <c r="G76" i="41"/>
  <c r="G87" i="41"/>
  <c r="G88" i="53"/>
  <c r="J225" i="38"/>
  <c r="F274" i="50"/>
  <c r="F276" i="50"/>
  <c r="F273" i="38"/>
  <c r="J142" i="38"/>
  <c r="J150" i="38"/>
  <c r="J151" i="50"/>
  <c r="G259" i="41"/>
  <c r="J272" i="38"/>
  <c r="J275" i="50"/>
  <c r="J6" i="40"/>
  <c r="J227" i="38"/>
  <c r="J230" i="50"/>
  <c r="K7" i="40"/>
  <c r="K8" i="40"/>
  <c r="K9" i="52"/>
  <c r="F66" i="38"/>
  <c r="F67" i="50"/>
  <c r="G55" i="38"/>
  <c r="H271" i="38"/>
  <c r="H273" i="50"/>
  <c r="J156" i="38"/>
  <c r="J157" i="50"/>
  <c r="I287" i="52"/>
  <c r="I285" i="52"/>
  <c r="I235" i="52"/>
  <c r="J38" i="41"/>
  <c r="I31" i="52"/>
  <c r="I54" i="52"/>
  <c r="J332" i="38"/>
  <c r="J335" i="50"/>
  <c r="I75" i="52"/>
  <c r="I96" i="52"/>
  <c r="I117" i="52"/>
  <c r="I141" i="52"/>
  <c r="I156" i="50"/>
  <c r="F160" i="52"/>
  <c r="N96" i="41"/>
  <c r="N97" i="53"/>
  <c r="O95" i="41"/>
  <c r="H262" i="50"/>
  <c r="I259" i="50"/>
  <c r="H2" i="53"/>
  <c r="H171" i="41"/>
  <c r="H175" i="41"/>
  <c r="H176" i="53"/>
  <c r="F159" i="40"/>
  <c r="I125" i="52"/>
  <c r="J124" i="40"/>
  <c r="K117" i="38"/>
  <c r="K118" i="50"/>
  <c r="L116" i="38"/>
  <c r="H229" i="50"/>
  <c r="H231" i="50"/>
  <c r="H228" i="38"/>
  <c r="H76" i="38"/>
  <c r="H87" i="38"/>
  <c r="H120" i="38"/>
  <c r="I239" i="41"/>
  <c r="I242" i="53"/>
  <c r="I2" i="53"/>
  <c r="I171" i="41"/>
  <c r="I175" i="41"/>
  <c r="I176" i="53"/>
  <c r="I328" i="38"/>
  <c r="I317" i="38"/>
  <c r="J294" i="38"/>
  <c r="I323" i="38"/>
  <c r="I231" i="50"/>
  <c r="I167" i="52"/>
  <c r="H338" i="41"/>
  <c r="G357" i="41"/>
  <c r="F325" i="40"/>
  <c r="F326" i="40"/>
  <c r="F365" i="40"/>
  <c r="I213" i="52"/>
  <c r="F276" i="52"/>
  <c r="F375" i="41"/>
  <c r="F378" i="53"/>
  <c r="F394" i="41"/>
  <c r="F391" i="41"/>
  <c r="F374" i="41"/>
  <c r="F377" i="53"/>
  <c r="F397" i="41"/>
  <c r="F385" i="41"/>
  <c r="F388" i="53"/>
  <c r="L60" i="50"/>
  <c r="M59" i="38"/>
  <c r="G235" i="52"/>
  <c r="G213" i="52"/>
  <c r="G287" i="52"/>
  <c r="G285" i="52"/>
  <c r="G167" i="52"/>
  <c r="J15" i="41"/>
  <c r="I16" i="53"/>
  <c r="J235" i="38"/>
  <c r="J238" i="50"/>
  <c r="J239" i="50"/>
  <c r="K234" i="38"/>
  <c r="N53" i="38"/>
  <c r="M54" i="38"/>
  <c r="M55" i="50"/>
  <c r="H4" i="47"/>
  <c r="H28" i="47"/>
  <c r="H6" i="47"/>
  <c r="H30" i="47"/>
  <c r="H27" i="47"/>
  <c r="G21" i="54"/>
  <c r="G38" i="54"/>
  <c r="H5" i="47"/>
  <c r="H29" i="47"/>
  <c r="I3" i="47"/>
  <c r="K8" i="52"/>
  <c r="K6" i="40"/>
  <c r="L7" i="40"/>
  <c r="F273" i="40"/>
  <c r="N116" i="41"/>
  <c r="M117" i="41"/>
  <c r="M118" i="53"/>
  <c r="H59" i="53"/>
  <c r="I58" i="41"/>
  <c r="I59" i="53"/>
  <c r="J6" i="52"/>
  <c r="J7" i="52"/>
  <c r="H247" i="38"/>
  <c r="H250" i="50"/>
  <c r="I236" i="38"/>
  <c r="H77" i="50"/>
  <c r="H213" i="52"/>
  <c r="H235" i="52"/>
  <c r="H287" i="52"/>
  <c r="H285" i="52"/>
  <c r="H167" i="52"/>
  <c r="G274" i="50"/>
  <c r="G276" i="50"/>
  <c r="G325" i="38"/>
  <c r="G228" i="38"/>
  <c r="G229" i="50"/>
  <c r="G231" i="50"/>
  <c r="G54" i="53"/>
  <c r="G31" i="53"/>
  <c r="G165" i="53"/>
  <c r="G75" i="53"/>
  <c r="G96" i="53"/>
  <c r="G117" i="53"/>
  <c r="G141" i="53"/>
  <c r="F41" i="54"/>
  <c r="F38" i="54"/>
  <c r="F69" i="54"/>
  <c r="H75" i="41"/>
  <c r="I74" i="41"/>
  <c r="F172" i="50"/>
  <c r="F174" i="50"/>
  <c r="F173" i="38"/>
  <c r="F176" i="38"/>
  <c r="J101" i="38"/>
  <c r="I102" i="50"/>
  <c r="L101" i="41"/>
  <c r="K102" i="53"/>
  <c r="F177" i="41"/>
  <c r="G168" i="41"/>
  <c r="J15" i="40"/>
  <c r="I16" i="52"/>
  <c r="F216" i="40"/>
  <c r="G211" i="40"/>
  <c r="G214" i="40"/>
  <c r="J290" i="53"/>
  <c r="J331" i="41"/>
  <c r="J334" i="53"/>
  <c r="G55" i="41"/>
  <c r="F66" i="41"/>
  <c r="F67" i="53"/>
  <c r="I293" i="52"/>
  <c r="I334" i="40"/>
  <c r="I337" i="52"/>
  <c r="I357" i="38"/>
  <c r="J338" i="38"/>
  <c r="G32" i="41"/>
  <c r="J80" i="40"/>
  <c r="I81" i="52"/>
  <c r="G394" i="50"/>
  <c r="G431" i="38"/>
  <c r="G434" i="50"/>
  <c r="G273" i="52"/>
  <c r="G271" i="40"/>
  <c r="G273" i="40"/>
  <c r="G324" i="40"/>
  <c r="I243" i="52"/>
  <c r="J240" i="40"/>
  <c r="J331" i="38"/>
  <c r="J334" i="50"/>
  <c r="J290" i="50"/>
  <c r="I167" i="38"/>
  <c r="I168" i="50"/>
  <c r="I169" i="50"/>
  <c r="J166" i="38"/>
  <c r="J243" i="53"/>
  <c r="K240" i="41"/>
  <c r="J329" i="41"/>
  <c r="J332" i="53"/>
  <c r="J288" i="53"/>
  <c r="J243" i="50"/>
  <c r="K240" i="38"/>
  <c r="H31" i="41"/>
  <c r="H32" i="53"/>
  <c r="I30" i="41"/>
  <c r="J30" i="41"/>
  <c r="K30" i="41"/>
  <c r="G261" i="38"/>
  <c r="H256" i="38"/>
  <c r="H259" i="38"/>
  <c r="I332" i="40"/>
  <c r="I335" i="52"/>
  <c r="I291" i="52"/>
  <c r="H391" i="38"/>
  <c r="H374" i="38"/>
  <c r="H377" i="50"/>
  <c r="H397" i="38"/>
  <c r="H375" i="38"/>
  <c r="H378" i="50"/>
  <c r="H385" i="38"/>
  <c r="H388" i="50"/>
  <c r="H394" i="38"/>
  <c r="F258" i="52"/>
  <c r="F237" i="52"/>
  <c r="H323" i="40"/>
  <c r="H317" i="40"/>
  <c r="I294" i="40"/>
  <c r="H328" i="40"/>
  <c r="G33" i="53"/>
  <c r="L74" i="38"/>
  <c r="K75" i="38"/>
  <c r="K76" i="50"/>
  <c r="G228" i="52"/>
  <c r="G226" i="40"/>
  <c r="G229" i="52"/>
  <c r="G260" i="52"/>
  <c r="G265" i="40"/>
  <c r="G268" i="52"/>
  <c r="L101" i="40"/>
  <c r="K102" i="52"/>
  <c r="G156" i="53"/>
  <c r="G157" i="41"/>
  <c r="G158" i="53"/>
  <c r="G159" i="41"/>
  <c r="L284" i="38"/>
  <c r="K286" i="38"/>
  <c r="K288" i="38"/>
  <c r="K291" i="38"/>
  <c r="K287" i="38"/>
  <c r="K290" i="38"/>
  <c r="K285" i="38"/>
  <c r="K289" i="38"/>
  <c r="K292" i="50"/>
  <c r="H75" i="53"/>
  <c r="H96" i="53"/>
  <c r="H117" i="53"/>
  <c r="H141" i="53"/>
  <c r="H54" i="53"/>
  <c r="H31" i="53"/>
  <c r="H165" i="53"/>
  <c r="I325" i="38"/>
  <c r="I328" i="50"/>
  <c r="I274" i="50"/>
  <c r="I276" i="50"/>
  <c r="K286" i="41"/>
  <c r="L284" i="41"/>
  <c r="K290" i="41"/>
  <c r="K285" i="41"/>
  <c r="K291" i="41"/>
  <c r="K289" i="41"/>
  <c r="K292" i="53"/>
  <c r="K288" i="41"/>
  <c r="K287" i="41"/>
  <c r="K38" i="41"/>
  <c r="J39" i="53"/>
  <c r="F262" i="38"/>
  <c r="F264" i="50"/>
  <c r="F265" i="50"/>
  <c r="I330" i="40"/>
  <c r="I333" i="52"/>
  <c r="I289" i="52"/>
  <c r="G261" i="41"/>
  <c r="H256" i="41"/>
  <c r="T80" i="55"/>
  <c r="Q80" i="55"/>
  <c r="T79" i="55"/>
  <c r="Q79" i="55"/>
  <c r="T78" i="55"/>
  <c r="F379" i="40"/>
  <c r="F382" i="52"/>
  <c r="F369" i="52"/>
  <c r="F369" i="50"/>
  <c r="F379" i="38"/>
  <c r="F382" i="50"/>
  <c r="G397" i="50"/>
  <c r="G366" i="38"/>
  <c r="G220" i="40"/>
  <c r="G223" i="52"/>
  <c r="G215" i="52"/>
  <c r="G273" i="53"/>
  <c r="G271" i="41"/>
  <c r="G273" i="41"/>
  <c r="G324" i="41"/>
  <c r="J329" i="38"/>
  <c r="J332" i="50"/>
  <c r="J288" i="50"/>
  <c r="I297" i="52"/>
  <c r="I318" i="52"/>
  <c r="I341" i="52"/>
  <c r="I360" i="52"/>
  <c r="I400" i="52"/>
  <c r="I39" i="52"/>
  <c r="J38" i="40"/>
  <c r="I273" i="38"/>
  <c r="G431" i="40"/>
  <c r="G434" i="52"/>
  <c r="G394" i="52"/>
  <c r="J173" i="53"/>
  <c r="K172" i="41"/>
  <c r="J125" i="50"/>
  <c r="K124" i="38"/>
  <c r="J37" i="41"/>
  <c r="I38" i="53"/>
  <c r="I290" i="52"/>
  <c r="I331" i="40"/>
  <c r="I334" i="52"/>
  <c r="J226" i="38"/>
  <c r="J229" i="50"/>
  <c r="J228" i="50"/>
  <c r="L39" i="50"/>
  <c r="M38" i="38"/>
  <c r="H272" i="40"/>
  <c r="H275" i="52"/>
  <c r="H225" i="40"/>
  <c r="I140" i="40"/>
  <c r="H212" i="40"/>
  <c r="H142" i="40"/>
  <c r="H227" i="40"/>
  <c r="H230" i="52"/>
  <c r="H158" i="40"/>
  <c r="H159" i="52"/>
  <c r="H257" i="40"/>
  <c r="H155" i="40"/>
  <c r="H156" i="40"/>
  <c r="H157" i="52"/>
  <c r="H270" i="40"/>
  <c r="I15" i="52"/>
  <c r="J14" i="40"/>
  <c r="J271" i="38"/>
  <c r="J273" i="38"/>
  <c r="J273" i="50"/>
  <c r="J324" i="38"/>
  <c r="I228" i="38"/>
  <c r="G414" i="38"/>
  <c r="G417" i="50"/>
  <c r="G425" i="38"/>
  <c r="G428" i="50"/>
  <c r="G434" i="38"/>
  <c r="G415" i="38"/>
  <c r="G418" i="50"/>
  <c r="K38" i="50"/>
  <c r="L37" i="38"/>
  <c r="G150" i="40"/>
  <c r="G151" i="52"/>
  <c r="G143" i="52"/>
  <c r="G265" i="41"/>
  <c r="G268" i="53"/>
  <c r="G260" i="53"/>
  <c r="G262" i="53"/>
  <c r="H259" i="53"/>
  <c r="J334" i="38"/>
  <c r="J337" i="50"/>
  <c r="J293" i="50"/>
  <c r="I258" i="52"/>
  <c r="I237" i="52"/>
  <c r="I327" i="50"/>
  <c r="I326" i="38"/>
  <c r="I365" i="38"/>
  <c r="J37" i="40"/>
  <c r="I38" i="52"/>
  <c r="J334" i="41"/>
  <c r="J337" i="53"/>
  <c r="J293" i="53"/>
  <c r="J288" i="40"/>
  <c r="K284" i="40"/>
  <c r="J286" i="40"/>
  <c r="J289" i="40"/>
  <c r="J292" i="52"/>
  <c r="J287" i="40"/>
  <c r="J285" i="40"/>
  <c r="J290" i="40"/>
  <c r="M242" i="33"/>
  <c r="J157" i="38"/>
  <c r="J158" i="50"/>
  <c r="J156" i="50"/>
  <c r="J172" i="38"/>
  <c r="I173" i="50"/>
  <c r="G220" i="41"/>
  <c r="G223" i="53"/>
  <c r="G215" i="53"/>
  <c r="G217" i="53"/>
  <c r="H214" i="53"/>
  <c r="G150" i="41"/>
  <c r="G151" i="53"/>
  <c r="G143" i="53"/>
  <c r="J289" i="50"/>
  <c r="J330" i="38"/>
  <c r="J333" i="50"/>
  <c r="H397" i="40"/>
  <c r="H391" i="40"/>
  <c r="H385" i="40"/>
  <c r="H388" i="52"/>
  <c r="H394" i="40"/>
  <c r="H374" i="40"/>
  <c r="H377" i="52"/>
  <c r="H375" i="40"/>
  <c r="H378" i="52"/>
  <c r="I125" i="53"/>
  <c r="J124" i="41"/>
  <c r="J80" i="38"/>
  <c r="I81" i="50"/>
  <c r="H168" i="38"/>
  <c r="G256" i="40"/>
  <c r="G259" i="40"/>
  <c r="F261" i="40"/>
  <c r="B14" i="35"/>
  <c r="C13" i="35"/>
  <c r="I329" i="40"/>
  <c r="I332" i="52"/>
  <c r="I288" i="52"/>
  <c r="I173" i="52"/>
  <c r="J172" i="40"/>
  <c r="G173" i="38"/>
  <c r="G176" i="38"/>
  <c r="G172" i="50"/>
  <c r="G174" i="50"/>
  <c r="K156" i="38"/>
  <c r="K157" i="50"/>
  <c r="K142" i="38"/>
  <c r="K212" i="38"/>
  <c r="K272" i="38"/>
  <c r="K275" i="50"/>
  <c r="K227" i="38"/>
  <c r="K230" i="50"/>
  <c r="K225" i="38"/>
  <c r="K155" i="38"/>
  <c r="K257" i="38"/>
  <c r="K158" i="38"/>
  <c r="K159" i="50"/>
  <c r="K270" i="38"/>
  <c r="L140" i="38"/>
  <c r="J265" i="38"/>
  <c r="J268" i="50"/>
  <c r="J260" i="50"/>
  <c r="I53" i="41"/>
  <c r="H54" i="41"/>
  <c r="H55" i="53"/>
  <c r="G228" i="53"/>
  <c r="G226" i="41"/>
  <c r="G229" i="53"/>
  <c r="N59" i="41"/>
  <c r="M60" i="53"/>
  <c r="J15" i="38"/>
  <c r="I16" i="50"/>
  <c r="I124" i="52"/>
  <c r="J123" i="40"/>
  <c r="I357" i="40"/>
  <c r="J338" i="40"/>
  <c r="G217" i="52"/>
  <c r="H214" i="52"/>
  <c r="J330" i="41"/>
  <c r="J333" i="53"/>
  <c r="J289" i="53"/>
  <c r="J123" i="38"/>
  <c r="I124" i="50"/>
  <c r="AB56" i="32"/>
  <c r="J220" i="38"/>
  <c r="J223" i="50"/>
  <c r="J215" i="50"/>
  <c r="F262" i="41"/>
  <c r="F264" i="53"/>
  <c r="F265" i="53"/>
  <c r="G169" i="53"/>
  <c r="G156" i="52"/>
  <c r="G157" i="40"/>
  <c r="G158" i="52"/>
  <c r="I166" i="41"/>
  <c r="J166" i="41"/>
  <c r="K166" i="41"/>
  <c r="H167" i="41"/>
  <c r="H168" i="53"/>
  <c r="H272" i="41"/>
  <c r="H275" i="53"/>
  <c r="H227" i="41"/>
  <c r="H230" i="53"/>
  <c r="H270" i="41"/>
  <c r="H158" i="41"/>
  <c r="H159" i="53"/>
  <c r="I140" i="41"/>
  <c r="H155" i="41"/>
  <c r="H225" i="41"/>
  <c r="H257" i="41"/>
  <c r="H142" i="41"/>
  <c r="H156" i="41"/>
  <c r="H157" i="53"/>
  <c r="H212" i="41"/>
  <c r="J14" i="41"/>
  <c r="I15" i="53"/>
  <c r="F213" i="50"/>
  <c r="F235" i="50"/>
  <c r="F167" i="50"/>
  <c r="F287" i="50"/>
  <c r="F285" i="50"/>
  <c r="K123" i="41"/>
  <c r="J124" i="53"/>
  <c r="J14" i="38"/>
  <c r="I15" i="50"/>
  <c r="F216" i="41"/>
  <c r="G211" i="41"/>
  <c r="G214" i="41"/>
  <c r="J332" i="41"/>
  <c r="J335" i="53"/>
  <c r="J291" i="53"/>
  <c r="G262" i="52"/>
  <c r="H259" i="52"/>
  <c r="G56" i="53"/>
  <c r="F289" i="52"/>
  <c r="F330" i="40"/>
  <c r="F333" i="52"/>
  <c r="G286" i="40"/>
  <c r="H286" i="40"/>
  <c r="G217" i="38"/>
  <c r="G219" i="50"/>
  <c r="G220" i="50"/>
  <c r="H216" i="38"/>
  <c r="I211" i="38"/>
  <c r="N24" i="43"/>
  <c r="K234" i="41"/>
  <c r="J235" i="41"/>
  <c r="F258" i="53"/>
  <c r="F237" i="53"/>
  <c r="AB11" i="35"/>
  <c r="Z11" i="35"/>
  <c r="AD11" i="35"/>
  <c r="AE11" i="35"/>
  <c r="AF11" i="35"/>
  <c r="T12" i="35"/>
  <c r="J3" i="41"/>
  <c r="K3" i="41"/>
  <c r="K3" i="53"/>
  <c r="L374" i="53"/>
  <c r="M362" i="53"/>
  <c r="G109" i="50"/>
  <c r="H31" i="47"/>
  <c r="J58" i="45"/>
  <c r="J66" i="45"/>
  <c r="G379" i="40"/>
  <c r="G382" i="52"/>
  <c r="G369" i="52"/>
  <c r="I29" i="32"/>
  <c r="I7" i="32"/>
  <c r="H247" i="41"/>
  <c r="I236" i="41"/>
  <c r="AM7" i="43"/>
  <c r="AO7" i="43"/>
  <c r="F418" i="41"/>
  <c r="F421" i="53"/>
  <c r="F433" i="41"/>
  <c r="E166" i="33"/>
  <c r="F168" i="33"/>
  <c r="AR31" i="43"/>
  <c r="G89" i="33"/>
  <c r="S92" i="55"/>
  <c r="S95" i="55"/>
  <c r="S98" i="55"/>
  <c r="S97" i="55"/>
  <c r="AT31" i="43"/>
  <c r="G96" i="33"/>
  <c r="S99" i="55"/>
  <c r="AP31" i="43"/>
  <c r="G82" i="33"/>
  <c r="S85" i="55"/>
  <c r="AV31" i="43"/>
  <c r="G100" i="33"/>
  <c r="S103" i="55"/>
  <c r="AX31" i="43"/>
  <c r="J36" i="31"/>
  <c r="AV36" i="31"/>
  <c r="AV44" i="31"/>
  <c r="AV12" i="31"/>
  <c r="J29" i="32"/>
  <c r="J7" i="32"/>
  <c r="L28" i="54"/>
  <c r="K30" i="54"/>
  <c r="J402" i="53"/>
  <c r="I414" i="53"/>
  <c r="AD73" i="31"/>
  <c r="AD48" i="31"/>
  <c r="AD26" i="31"/>
  <c r="AD66" i="31"/>
  <c r="AD33" i="31"/>
  <c r="AD78" i="31"/>
  <c r="AI24" i="43"/>
  <c r="G22" i="48"/>
  <c r="H97" i="38"/>
  <c r="G79" i="40"/>
  <c r="G80" i="52"/>
  <c r="G175" i="40"/>
  <c r="G176" i="52"/>
  <c r="G239" i="40"/>
  <c r="G242" i="52"/>
  <c r="G58" i="40"/>
  <c r="G59" i="52"/>
  <c r="G2" i="52"/>
  <c r="G171" i="40"/>
  <c r="G100" i="40"/>
  <c r="G101" i="52"/>
  <c r="H2" i="40"/>
  <c r="AK298" i="33"/>
  <c r="AJ298" i="33"/>
  <c r="AA298" i="33"/>
  <c r="M117" i="40"/>
  <c r="M118" i="52"/>
  <c r="N116" i="40"/>
  <c r="F55" i="40"/>
  <c r="F55" i="52"/>
  <c r="F56" i="52"/>
  <c r="G56" i="52"/>
  <c r="H56" i="52"/>
  <c r="F334" i="50"/>
  <c r="E167" i="33"/>
  <c r="N45" i="33"/>
  <c r="I54" i="38"/>
  <c r="J54" i="38"/>
  <c r="J55" i="50"/>
  <c r="AM20" i="43"/>
  <c r="AO20" i="43"/>
  <c r="AQ11" i="35"/>
  <c r="AI12" i="35"/>
  <c r="R19" i="35"/>
  <c r="S18" i="35"/>
  <c r="G71" i="33"/>
  <c r="G26" i="48"/>
  <c r="AY37" i="43"/>
  <c r="E50" i="48"/>
  <c r="E53" i="48"/>
  <c r="F53" i="48"/>
  <c r="F172" i="52"/>
  <c r="F174" i="52"/>
  <c r="F173" i="40"/>
  <c r="F176" i="40"/>
  <c r="AA253" i="33"/>
  <c r="AK253" i="33"/>
  <c r="AJ253" i="33"/>
  <c r="AB266" i="33"/>
  <c r="V20" i="43"/>
  <c r="H239" i="53"/>
  <c r="J239" i="41"/>
  <c r="J242" i="53"/>
  <c r="J175" i="41"/>
  <c r="J176" i="53"/>
  <c r="J171" i="41"/>
  <c r="J2" i="53"/>
  <c r="J100" i="41"/>
  <c r="J101" i="53"/>
  <c r="J79" i="41"/>
  <c r="J80" i="53"/>
  <c r="O27" i="54"/>
  <c r="H37" i="31"/>
  <c r="G13" i="31"/>
  <c r="AA13" i="31"/>
  <c r="J80" i="41"/>
  <c r="I81" i="53"/>
  <c r="AE4" i="31"/>
  <c r="AE22" i="31"/>
  <c r="AF3" i="31"/>
  <c r="M362" i="50"/>
  <c r="L374" i="50"/>
  <c r="O29" i="33"/>
  <c r="W14" i="43"/>
  <c r="V14" i="43"/>
  <c r="AC4" i="43"/>
  <c r="AD1" i="43"/>
  <c r="AM14" i="43"/>
  <c r="AO14" i="43"/>
  <c r="J95" i="38"/>
  <c r="I96" i="38"/>
  <c r="F38" i="33"/>
  <c r="AI23" i="43"/>
  <c r="F38" i="43"/>
  <c r="H127" i="33"/>
  <c r="H129" i="33"/>
  <c r="H128" i="33"/>
  <c r="H137" i="33"/>
  <c r="H47" i="48"/>
  <c r="Q60" i="33"/>
  <c r="R47" i="33"/>
  <c r="E183" i="33"/>
  <c r="F185" i="33"/>
  <c r="F103" i="48"/>
  <c r="K30" i="38"/>
  <c r="AK322" i="33"/>
  <c r="AJ322" i="33"/>
  <c r="AA322" i="33"/>
  <c r="M23" i="43"/>
  <c r="O38" i="33"/>
  <c r="O21" i="33"/>
  <c r="M26" i="43"/>
  <c r="W6" i="43"/>
  <c r="V6" i="43"/>
  <c r="W20" i="43"/>
  <c r="N212" i="33"/>
  <c r="N213" i="33"/>
  <c r="H22" i="32"/>
  <c r="I31" i="53"/>
  <c r="I165" i="53"/>
  <c r="I54" i="53"/>
  <c r="I75" i="53"/>
  <c r="I96" i="53"/>
  <c r="I117" i="53"/>
  <c r="I141" i="53"/>
  <c r="G88" i="50"/>
  <c r="K8" i="53"/>
  <c r="K2" i="41"/>
  <c r="K6" i="41"/>
  <c r="K8" i="41"/>
  <c r="K9" i="53"/>
  <c r="L7" i="41"/>
  <c r="AQ26" i="43"/>
  <c r="AQ23" i="43"/>
  <c r="R44" i="33"/>
  <c r="F76" i="52"/>
  <c r="F77" i="52"/>
  <c r="G77" i="52"/>
  <c r="H77" i="52"/>
  <c r="I77" i="52"/>
  <c r="J77" i="52"/>
  <c r="K77" i="52"/>
  <c r="L77" i="52"/>
  <c r="M77" i="52"/>
  <c r="N77" i="52"/>
  <c r="O77" i="52"/>
  <c r="F76" i="40"/>
  <c r="F97" i="40"/>
  <c r="F97" i="52"/>
  <c r="F98" i="52"/>
  <c r="G98" i="52"/>
  <c r="H98" i="52"/>
  <c r="I98" i="52"/>
  <c r="J98" i="52"/>
  <c r="K98" i="52"/>
  <c r="L98" i="52"/>
  <c r="M98" i="52"/>
  <c r="N98" i="52"/>
  <c r="O98" i="52"/>
  <c r="I118" i="53"/>
  <c r="I120" i="41"/>
  <c r="AA231" i="33"/>
  <c r="AB232" i="33"/>
  <c r="AK231" i="33"/>
  <c r="AJ231" i="33"/>
  <c r="AB244" i="33"/>
  <c r="G437" i="52"/>
  <c r="G406" i="40"/>
  <c r="H37" i="48"/>
  <c r="E36" i="48"/>
  <c r="E37" i="48"/>
  <c r="G54" i="50"/>
  <c r="G31" i="50"/>
  <c r="G165" i="50"/>
  <c r="G75" i="50"/>
  <c r="G96" i="50"/>
  <c r="G117" i="50"/>
  <c r="G141" i="50"/>
  <c r="H20" i="33"/>
  <c r="AR4" i="43"/>
  <c r="I8" i="50"/>
  <c r="I6" i="38"/>
  <c r="J7" i="38"/>
  <c r="I2" i="38"/>
  <c r="I3" i="38"/>
  <c r="I3" i="50"/>
  <c r="G433" i="38"/>
  <c r="I22" i="54"/>
  <c r="H24" i="54"/>
  <c r="H32" i="54"/>
  <c r="I317" i="41"/>
  <c r="I328" i="41"/>
  <c r="I323" i="41"/>
  <c r="J294" i="41"/>
  <c r="K402" i="50"/>
  <c r="J414" i="50"/>
  <c r="F236" i="40"/>
  <c r="F238" i="52"/>
  <c r="F239" i="52"/>
  <c r="H6" i="50"/>
  <c r="H7" i="50"/>
  <c r="F326" i="38"/>
  <c r="F365" i="38"/>
  <c r="F328" i="50"/>
  <c r="F329" i="50"/>
  <c r="E184" i="33"/>
  <c r="J75" i="38"/>
  <c r="J76" i="50"/>
  <c r="N47" i="33"/>
  <c r="M47" i="33"/>
  <c r="I75" i="38"/>
  <c r="M125" i="28"/>
  <c r="G160" i="50"/>
  <c r="I411" i="38"/>
  <c r="J399" i="38"/>
  <c r="O35" i="33"/>
  <c r="Q379" i="38"/>
  <c r="Q382" i="50"/>
  <c r="R359" i="38"/>
  <c r="Q371" i="38"/>
  <c r="S419" i="41"/>
  <c r="S422" i="53"/>
  <c r="T399" i="41"/>
  <c r="S411" i="41"/>
  <c r="J6" i="53"/>
  <c r="J7" i="53"/>
  <c r="F120" i="40"/>
  <c r="F118" i="52"/>
  <c r="F121" i="52"/>
  <c r="F3" i="52"/>
  <c r="F168" i="40"/>
  <c r="F168" i="52"/>
  <c r="F169" i="52"/>
  <c r="G169" i="52"/>
  <c r="H169" i="52"/>
  <c r="I169" i="52"/>
  <c r="J169" i="52"/>
  <c r="K169" i="52"/>
  <c r="L169" i="52"/>
  <c r="M169" i="52"/>
  <c r="N169" i="52"/>
  <c r="O169" i="52"/>
  <c r="P169" i="52"/>
  <c r="Q169" i="52"/>
  <c r="R169" i="52"/>
  <c r="S169" i="52"/>
  <c r="T169" i="52"/>
  <c r="U169" i="52"/>
  <c r="V169" i="52"/>
  <c r="W169" i="52"/>
  <c r="G3" i="40"/>
  <c r="AY4" i="31"/>
  <c r="AY22" i="31"/>
  <c r="AZ3" i="31"/>
  <c r="F433" i="40"/>
  <c r="E203" i="33"/>
  <c r="P48" i="33"/>
  <c r="M48" i="33"/>
  <c r="I96" i="41"/>
  <c r="J96" i="41"/>
  <c r="J97" i="53"/>
  <c r="AI26" i="43"/>
  <c r="J414" i="52"/>
  <c r="K402" i="52"/>
  <c r="I38" i="31"/>
  <c r="AM38" i="31"/>
  <c r="AM44" i="31"/>
  <c r="AM14" i="31"/>
  <c r="H2" i="50"/>
  <c r="H79" i="38"/>
  <c r="H80" i="50"/>
  <c r="H58" i="38"/>
  <c r="H59" i="50"/>
  <c r="H175" i="38"/>
  <c r="H176" i="50"/>
  <c r="H171" i="38"/>
  <c r="H239" i="38"/>
  <c r="H242" i="50"/>
  <c r="H100" i="38"/>
  <c r="H101" i="50"/>
  <c r="M56" i="33"/>
  <c r="O73" i="31"/>
  <c r="O33" i="31"/>
  <c r="O48" i="31"/>
  <c r="O26" i="31"/>
  <c r="O66" i="31"/>
  <c r="O78" i="31"/>
  <c r="H113" i="48"/>
  <c r="G23" i="31"/>
  <c r="D11" i="35"/>
  <c r="H24" i="31"/>
  <c r="F418" i="38"/>
  <c r="F421" i="50"/>
  <c r="F433" i="38"/>
  <c r="Y166" i="40"/>
  <c r="X167" i="40"/>
  <c r="X168" i="52"/>
  <c r="AA267" i="33"/>
  <c r="AK267" i="33"/>
  <c r="AJ267" i="33"/>
  <c r="P22" i="31"/>
  <c r="M59" i="40"/>
  <c r="L60" i="52"/>
  <c r="AX78" i="31"/>
  <c r="AX33" i="31"/>
  <c r="AX73" i="31"/>
  <c r="AX66" i="31"/>
  <c r="AX26" i="31"/>
  <c r="AX48" i="31"/>
  <c r="F331" i="52"/>
  <c r="F326" i="52"/>
  <c r="F320" i="52"/>
  <c r="AP24" i="43"/>
  <c r="AA243" i="33"/>
  <c r="AK243" i="33"/>
  <c r="AJ243" i="33"/>
  <c r="G428" i="52"/>
  <c r="Q399" i="40"/>
  <c r="P419" i="40"/>
  <c r="P422" i="52"/>
  <c r="P411" i="40"/>
  <c r="F326" i="41"/>
  <c r="F365" i="41"/>
  <c r="M58" i="33"/>
  <c r="H9" i="50"/>
  <c r="H9" i="38"/>
  <c r="H36" i="31"/>
  <c r="G12" i="31"/>
  <c r="Z12" i="31"/>
  <c r="AH38" i="35"/>
  <c r="AG39" i="35"/>
  <c r="AR30" i="43"/>
  <c r="AT30" i="43"/>
  <c r="AX30" i="43"/>
  <c r="AV30" i="43"/>
  <c r="E32" i="48"/>
  <c r="E34" i="48"/>
  <c r="F34" i="48"/>
  <c r="AO24" i="43"/>
  <c r="O45" i="33"/>
  <c r="I54" i="40"/>
  <c r="I55" i="52"/>
  <c r="F419" i="40"/>
  <c r="F422" i="52"/>
  <c r="F409" i="52"/>
  <c r="Q74" i="40"/>
  <c r="P75" i="40"/>
  <c r="P76" i="52"/>
  <c r="K371" i="40"/>
  <c r="L359" i="40"/>
  <c r="F297" i="53"/>
  <c r="F318" i="53"/>
  <c r="F341" i="53"/>
  <c r="F360" i="53"/>
  <c r="F400" i="53"/>
  <c r="AO6" i="43"/>
  <c r="AO26" i="43"/>
  <c r="AM6" i="43"/>
  <c r="AP26" i="43"/>
  <c r="AP23" i="43"/>
  <c r="H33" i="50"/>
  <c r="J47" i="42"/>
  <c r="K2" i="42"/>
  <c r="J1" i="42"/>
  <c r="Q4" i="31"/>
  <c r="R3" i="31"/>
  <c r="H29" i="31"/>
  <c r="J23" i="45"/>
  <c r="G26" i="45"/>
  <c r="F212" i="33"/>
  <c r="F233" i="33"/>
  <c r="F55" i="48"/>
  <c r="F209" i="33"/>
  <c r="F234" i="33"/>
  <c r="N70" i="33"/>
  <c r="M70" i="33"/>
  <c r="F32" i="52"/>
  <c r="F33" i="52"/>
  <c r="F32" i="40"/>
  <c r="F9" i="52"/>
  <c r="F10" i="52"/>
  <c r="F9" i="40"/>
  <c r="P111" i="48"/>
  <c r="G33" i="54"/>
  <c r="M362" i="52"/>
  <c r="L374" i="52"/>
  <c r="G168" i="33"/>
  <c r="P96" i="40"/>
  <c r="P97" i="52"/>
  <c r="Q95" i="40"/>
  <c r="M51" i="33"/>
  <c r="F329" i="53"/>
  <c r="J38" i="31"/>
  <c r="AX38" i="31"/>
  <c r="AX44" i="31"/>
  <c r="AX14" i="31"/>
  <c r="H3" i="50"/>
  <c r="G66" i="38"/>
  <c r="G67" i="50"/>
  <c r="H55" i="38"/>
  <c r="H66" i="38"/>
  <c r="H67" i="50"/>
  <c r="J167" i="41"/>
  <c r="J168" i="53"/>
  <c r="G159" i="40"/>
  <c r="F328" i="52"/>
  <c r="F329" i="52"/>
  <c r="J143" i="50"/>
  <c r="H325" i="38"/>
  <c r="H273" i="38"/>
  <c r="H433" i="38"/>
  <c r="H405" i="38"/>
  <c r="H274" i="50"/>
  <c r="H276" i="50"/>
  <c r="I329" i="50"/>
  <c r="F418" i="40"/>
  <c r="F421" i="52"/>
  <c r="X169" i="52"/>
  <c r="G160" i="53"/>
  <c r="H173" i="41"/>
  <c r="H176" i="41"/>
  <c r="H177" i="53"/>
  <c r="H172" i="53"/>
  <c r="H174" i="53"/>
  <c r="H33" i="53"/>
  <c r="P95" i="41"/>
  <c r="O96" i="41"/>
  <c r="O97" i="53"/>
  <c r="I167" i="41"/>
  <c r="F414" i="41"/>
  <c r="F417" i="53"/>
  <c r="F415" i="41"/>
  <c r="F418" i="53"/>
  <c r="F434" i="41"/>
  <c r="F425" i="41"/>
  <c r="F428" i="53"/>
  <c r="G394" i="41"/>
  <c r="G374" i="41"/>
  <c r="G377" i="53"/>
  <c r="G385" i="41"/>
  <c r="G388" i="53"/>
  <c r="G391" i="41"/>
  <c r="G397" i="41"/>
  <c r="G375" i="41"/>
  <c r="G378" i="53"/>
  <c r="H357" i="41"/>
  <c r="I338" i="41"/>
  <c r="I173" i="41"/>
  <c r="I176" i="41"/>
  <c r="I177" i="53"/>
  <c r="I172" i="53"/>
  <c r="I174" i="53"/>
  <c r="M116" i="38"/>
  <c r="L117" i="38"/>
  <c r="L118" i="50"/>
  <c r="G297" i="52"/>
  <c r="G318" i="52"/>
  <c r="G341" i="52"/>
  <c r="G360" i="52"/>
  <c r="G400" i="52"/>
  <c r="F394" i="53"/>
  <c r="F431" i="41"/>
  <c r="F434" i="53"/>
  <c r="I76" i="38"/>
  <c r="I87" i="38"/>
  <c r="F397" i="53"/>
  <c r="F366" i="41"/>
  <c r="K124" i="40"/>
  <c r="J125" i="52"/>
  <c r="G160" i="52"/>
  <c r="G258" i="52"/>
  <c r="G237" i="52"/>
  <c r="G228" i="41"/>
  <c r="G433" i="41"/>
  <c r="G405" i="41"/>
  <c r="N59" i="38"/>
  <c r="M60" i="50"/>
  <c r="J328" i="38"/>
  <c r="K294" i="38"/>
  <c r="J317" i="38"/>
  <c r="J323" i="38"/>
  <c r="H436" i="50"/>
  <c r="F60" i="54"/>
  <c r="F57" i="54"/>
  <c r="F62" i="54"/>
  <c r="F63" i="54"/>
  <c r="G228" i="40"/>
  <c r="J75" i="52"/>
  <c r="J96" i="52"/>
  <c r="J117" i="52"/>
  <c r="J141" i="52"/>
  <c r="J54" i="52"/>
  <c r="J31" i="52"/>
  <c r="J165" i="52"/>
  <c r="K7" i="52"/>
  <c r="K6" i="52"/>
  <c r="O53" i="38"/>
  <c r="N54" i="38"/>
  <c r="N55" i="50"/>
  <c r="G433" i="40"/>
  <c r="G436" i="52"/>
  <c r="F177" i="38"/>
  <c r="F177" i="50"/>
  <c r="G287" i="53"/>
  <c r="G285" i="53"/>
  <c r="G235" i="53"/>
  <c r="G213" i="53"/>
  <c r="G167" i="53"/>
  <c r="H297" i="52"/>
  <c r="H318" i="52"/>
  <c r="H341" i="52"/>
  <c r="H360" i="52"/>
  <c r="H400" i="52"/>
  <c r="I27" i="47"/>
  <c r="H21" i="54"/>
  <c r="I7" i="47"/>
  <c r="I31" i="47"/>
  <c r="I5" i="47"/>
  <c r="I29" i="47"/>
  <c r="I4" i="47"/>
  <c r="I28" i="47"/>
  <c r="J3" i="47"/>
  <c r="I6" i="47"/>
  <c r="I30" i="47"/>
  <c r="H258" i="52"/>
  <c r="H237" i="52"/>
  <c r="J58" i="41"/>
  <c r="J59" i="53"/>
  <c r="J74" i="41"/>
  <c r="I75" i="41"/>
  <c r="I76" i="53"/>
  <c r="H76" i="53"/>
  <c r="H77" i="53"/>
  <c r="I77" i="53"/>
  <c r="G41" i="54"/>
  <c r="G60" i="54"/>
  <c r="G69" i="54"/>
  <c r="K235" i="38"/>
  <c r="K238" i="50"/>
  <c r="L234" i="38"/>
  <c r="M101" i="41"/>
  <c r="L102" i="53"/>
  <c r="H76" i="41"/>
  <c r="O116" i="41"/>
  <c r="N117" i="41"/>
  <c r="N118" i="53"/>
  <c r="I168" i="38"/>
  <c r="J236" i="38"/>
  <c r="I247" i="38"/>
  <c r="I250" i="50"/>
  <c r="K101" i="38"/>
  <c r="J102" i="50"/>
  <c r="G328" i="50"/>
  <c r="G329" i="50"/>
  <c r="G326" i="38"/>
  <c r="G365" i="38"/>
  <c r="L6" i="40"/>
  <c r="L8" i="52"/>
  <c r="L8" i="40"/>
  <c r="L9" i="52"/>
  <c r="M7" i="40"/>
  <c r="J16" i="53"/>
  <c r="K15" i="41"/>
  <c r="I227" i="41"/>
  <c r="I230" i="53"/>
  <c r="I270" i="41"/>
  <c r="I225" i="41"/>
  <c r="J140" i="41"/>
  <c r="I158" i="41"/>
  <c r="I159" i="53"/>
  <c r="I272" i="41"/>
  <c r="I275" i="53"/>
  <c r="I155" i="41"/>
  <c r="I391" i="40"/>
  <c r="I375" i="40"/>
  <c r="I378" i="52"/>
  <c r="I374" i="40"/>
  <c r="I377" i="52"/>
  <c r="I385" i="40"/>
  <c r="I388" i="52"/>
  <c r="I397" i="40"/>
  <c r="I394" i="40"/>
  <c r="B15" i="35"/>
  <c r="C14" i="35"/>
  <c r="J160" i="50"/>
  <c r="J330" i="40"/>
  <c r="J333" i="52"/>
  <c r="J289" i="52"/>
  <c r="J38" i="52"/>
  <c r="K37" i="40"/>
  <c r="K125" i="50"/>
  <c r="L124" i="38"/>
  <c r="H259" i="41"/>
  <c r="L287" i="41"/>
  <c r="L290" i="41"/>
  <c r="L285" i="41"/>
  <c r="M284" i="41"/>
  <c r="L289" i="41"/>
  <c r="L292" i="53"/>
  <c r="L286" i="41"/>
  <c r="L291" i="41"/>
  <c r="L288" i="41"/>
  <c r="K291" i="50"/>
  <c r="K332" i="38"/>
  <c r="K335" i="50"/>
  <c r="F217" i="40"/>
  <c r="F219" i="52"/>
  <c r="F220" i="52"/>
  <c r="K14" i="38"/>
  <c r="J15" i="50"/>
  <c r="J15" i="53"/>
  <c r="K14" i="41"/>
  <c r="K123" i="40"/>
  <c r="J124" i="52"/>
  <c r="G231" i="53"/>
  <c r="K265" i="38"/>
  <c r="K268" i="50"/>
  <c r="K260" i="50"/>
  <c r="F262" i="40"/>
  <c r="F264" i="52"/>
  <c r="F265" i="52"/>
  <c r="J159" i="38"/>
  <c r="K285" i="40"/>
  <c r="K289" i="40"/>
  <c r="K292" i="52"/>
  <c r="K287" i="40"/>
  <c r="K290" i="40"/>
  <c r="K286" i="40"/>
  <c r="K288" i="40"/>
  <c r="L284" i="40"/>
  <c r="K291" i="40"/>
  <c r="I368" i="50"/>
  <c r="I393" i="38"/>
  <c r="I396" i="50"/>
  <c r="I378" i="38"/>
  <c r="I381" i="50"/>
  <c r="J274" i="50"/>
  <c r="J276" i="50"/>
  <c r="J325" i="38"/>
  <c r="J328" i="50"/>
  <c r="J228" i="38"/>
  <c r="G264" i="53"/>
  <c r="G265" i="53"/>
  <c r="G262" i="41"/>
  <c r="K330" i="41"/>
  <c r="K333" i="53"/>
  <c r="K289" i="53"/>
  <c r="K330" i="38"/>
  <c r="K333" i="50"/>
  <c r="K289" i="50"/>
  <c r="H366" i="38"/>
  <c r="H397" i="50"/>
  <c r="H261" i="38"/>
  <c r="I256" i="38"/>
  <c r="L240" i="41"/>
  <c r="K243" i="53"/>
  <c r="H112" i="48"/>
  <c r="G77" i="33"/>
  <c r="O207" i="33"/>
  <c r="I20" i="32"/>
  <c r="H220" i="41"/>
  <c r="H223" i="53"/>
  <c r="H215" i="53"/>
  <c r="H217" i="53"/>
  <c r="I214" i="53"/>
  <c r="H273" i="53"/>
  <c r="H271" i="41"/>
  <c r="H273" i="41"/>
  <c r="H324" i="41"/>
  <c r="H56" i="53"/>
  <c r="K156" i="50"/>
  <c r="K157" i="38"/>
  <c r="K158" i="50"/>
  <c r="G177" i="38"/>
  <c r="G177" i="50"/>
  <c r="H256" i="40"/>
  <c r="H259" i="40"/>
  <c r="G261" i="40"/>
  <c r="H397" i="52"/>
  <c r="H366" i="40"/>
  <c r="J332" i="40"/>
  <c r="J335" i="52"/>
  <c r="J291" i="52"/>
  <c r="G437" i="50"/>
  <c r="G406" i="38"/>
  <c r="K14" i="40"/>
  <c r="J15" i="52"/>
  <c r="H150" i="40"/>
  <c r="H151" i="52"/>
  <c r="H143" i="52"/>
  <c r="L172" i="41"/>
  <c r="K173" i="53"/>
  <c r="I320" i="52"/>
  <c r="I326" i="52"/>
  <c r="I331" i="52"/>
  <c r="K331" i="41"/>
  <c r="K334" i="53"/>
  <c r="K290" i="53"/>
  <c r="L290" i="38"/>
  <c r="L288" i="38"/>
  <c r="L286" i="38"/>
  <c r="L291" i="38"/>
  <c r="L287" i="38"/>
  <c r="L285" i="38"/>
  <c r="M284" i="38"/>
  <c r="L289" i="38"/>
  <c r="L292" i="50"/>
  <c r="G262" i="38"/>
  <c r="G264" i="50"/>
  <c r="G265" i="50"/>
  <c r="K80" i="40"/>
  <c r="J81" i="52"/>
  <c r="K15" i="40"/>
  <c r="J16" i="52"/>
  <c r="K124" i="53"/>
  <c r="L123" i="41"/>
  <c r="I54" i="41"/>
  <c r="I55" i="53"/>
  <c r="J53" i="41"/>
  <c r="K228" i="50"/>
  <c r="K226" i="38"/>
  <c r="K229" i="50"/>
  <c r="K172" i="40"/>
  <c r="J173" i="52"/>
  <c r="H220" i="40"/>
  <c r="H223" i="52"/>
  <c r="H215" i="52"/>
  <c r="H217" i="52"/>
  <c r="I214" i="52"/>
  <c r="J231" i="50"/>
  <c r="K291" i="53"/>
  <c r="K332" i="41"/>
  <c r="K335" i="53"/>
  <c r="I323" i="40"/>
  <c r="I317" i="40"/>
  <c r="J294" i="40"/>
  <c r="I328" i="40"/>
  <c r="L30" i="41"/>
  <c r="K31" i="41"/>
  <c r="K32" i="53"/>
  <c r="J167" i="38"/>
  <c r="J168" i="50"/>
  <c r="K166" i="38"/>
  <c r="H32" i="41"/>
  <c r="P77" i="52"/>
  <c r="S88" i="55"/>
  <c r="S91" i="55"/>
  <c r="S90" i="55"/>
  <c r="F318" i="50"/>
  <c r="F341" i="50"/>
  <c r="F360" i="50"/>
  <c r="F400" i="50"/>
  <c r="F297" i="50"/>
  <c r="H150" i="41"/>
  <c r="H151" i="53"/>
  <c r="H143" i="53"/>
  <c r="H169" i="53"/>
  <c r="K15" i="38"/>
  <c r="J16" i="50"/>
  <c r="H431" i="40"/>
  <c r="H434" i="52"/>
  <c r="H394" i="52"/>
  <c r="J334" i="40"/>
  <c r="J337" i="52"/>
  <c r="J293" i="52"/>
  <c r="H273" i="52"/>
  <c r="H271" i="40"/>
  <c r="H324" i="40"/>
  <c r="I270" i="40"/>
  <c r="J140" i="40"/>
  <c r="I225" i="40"/>
  <c r="I158" i="40"/>
  <c r="I159" i="52"/>
  <c r="I155" i="40"/>
  <c r="I227" i="40"/>
  <c r="I230" i="52"/>
  <c r="I272" i="40"/>
  <c r="I275" i="52"/>
  <c r="K288" i="50"/>
  <c r="K329" i="38"/>
  <c r="K292" i="38"/>
  <c r="G231" i="52"/>
  <c r="H415" i="38"/>
  <c r="H418" i="50"/>
  <c r="H434" i="38"/>
  <c r="H414" i="38"/>
  <c r="H417" i="50"/>
  <c r="H425" i="38"/>
  <c r="H428" i="50"/>
  <c r="G327" i="52"/>
  <c r="J357" i="38"/>
  <c r="K338" i="38"/>
  <c r="G66" i="41"/>
  <c r="G67" i="53"/>
  <c r="H55" i="41"/>
  <c r="H265" i="41"/>
  <c r="H268" i="53"/>
  <c r="H260" i="53"/>
  <c r="H262" i="53"/>
  <c r="I259" i="53"/>
  <c r="J81" i="50"/>
  <c r="K80" i="38"/>
  <c r="H434" i="40"/>
  <c r="H414" i="40"/>
  <c r="H417" i="52"/>
  <c r="H415" i="40"/>
  <c r="H418" i="52"/>
  <c r="H425" i="40"/>
  <c r="H428" i="52"/>
  <c r="K172" i="38"/>
  <c r="J173" i="50"/>
  <c r="J329" i="40"/>
  <c r="J332" i="52"/>
  <c r="J288" i="52"/>
  <c r="H228" i="52"/>
  <c r="H226" i="40"/>
  <c r="H229" i="52"/>
  <c r="T81" i="55"/>
  <c r="Q78" i="55"/>
  <c r="Q81" i="55"/>
  <c r="E10" i="55"/>
  <c r="K335" i="41"/>
  <c r="K338" i="53"/>
  <c r="K294" i="53"/>
  <c r="K293" i="50"/>
  <c r="K334" i="38"/>
  <c r="K337" i="50"/>
  <c r="L240" i="38"/>
  <c r="K243" i="50"/>
  <c r="G274" i="52"/>
  <c r="G276" i="52"/>
  <c r="G325" i="40"/>
  <c r="G328" i="52"/>
  <c r="I374" i="38"/>
  <c r="I377" i="50"/>
  <c r="I397" i="38"/>
  <c r="I375" i="38"/>
  <c r="I378" i="50"/>
  <c r="I394" i="38"/>
  <c r="I385" i="38"/>
  <c r="I388" i="50"/>
  <c r="I391" i="38"/>
  <c r="H211" i="41"/>
  <c r="H214" i="41"/>
  <c r="G216" i="41"/>
  <c r="F258" i="50"/>
  <c r="F237" i="50"/>
  <c r="H228" i="53"/>
  <c r="H226" i="41"/>
  <c r="H229" i="53"/>
  <c r="L166" i="41"/>
  <c r="K167" i="41"/>
  <c r="K168" i="53"/>
  <c r="J124" i="50"/>
  <c r="K123" i="38"/>
  <c r="O59" i="41"/>
  <c r="N60" i="53"/>
  <c r="L272" i="38"/>
  <c r="L275" i="50"/>
  <c r="L156" i="38"/>
  <c r="L157" i="50"/>
  <c r="L142" i="38"/>
  <c r="L227" i="38"/>
  <c r="L230" i="50"/>
  <c r="L257" i="38"/>
  <c r="L155" i="38"/>
  <c r="M140" i="38"/>
  <c r="L225" i="38"/>
  <c r="L212" i="38"/>
  <c r="L270" i="38"/>
  <c r="L158" i="38"/>
  <c r="L159" i="50"/>
  <c r="K215" i="50"/>
  <c r="K220" i="38"/>
  <c r="K223" i="50"/>
  <c r="K124" i="41"/>
  <c r="J125" i="53"/>
  <c r="J290" i="52"/>
  <c r="J331" i="40"/>
  <c r="J334" i="52"/>
  <c r="H157" i="40"/>
  <c r="H158" i="52"/>
  <c r="H156" i="52"/>
  <c r="G327" i="53"/>
  <c r="G369" i="50"/>
  <c r="G379" i="38"/>
  <c r="G382" i="50"/>
  <c r="K329" i="41"/>
  <c r="K288" i="53"/>
  <c r="K292" i="41"/>
  <c r="J169" i="50"/>
  <c r="K290" i="50"/>
  <c r="K331" i="38"/>
  <c r="K334" i="50"/>
  <c r="M74" i="38"/>
  <c r="L75" i="38"/>
  <c r="L76" i="50"/>
  <c r="H394" i="50"/>
  <c r="H431" i="38"/>
  <c r="H434" i="50"/>
  <c r="H168" i="41"/>
  <c r="H177" i="41"/>
  <c r="G177" i="41"/>
  <c r="F219" i="53"/>
  <c r="F220" i="53"/>
  <c r="F217" i="41"/>
  <c r="H156" i="53"/>
  <c r="H157" i="41"/>
  <c r="H158" i="53"/>
  <c r="K338" i="40"/>
  <c r="J357" i="40"/>
  <c r="K273" i="50"/>
  <c r="K271" i="38"/>
  <c r="K324" i="38"/>
  <c r="K150" i="38"/>
  <c r="K151" i="50"/>
  <c r="K143" i="50"/>
  <c r="M37" i="38"/>
  <c r="L38" i="50"/>
  <c r="J327" i="50"/>
  <c r="H260" i="52"/>
  <c r="H262" i="52"/>
  <c r="I259" i="52"/>
  <c r="H265" i="40"/>
  <c r="H268" i="52"/>
  <c r="M39" i="50"/>
  <c r="N38" i="38"/>
  <c r="K37" i="41"/>
  <c r="J38" i="53"/>
  <c r="K38" i="40"/>
  <c r="J39" i="52"/>
  <c r="G325" i="41"/>
  <c r="G328" i="53"/>
  <c r="G274" i="53"/>
  <c r="G276" i="53"/>
  <c r="L38" i="41"/>
  <c r="K39" i="53"/>
  <c r="K334" i="41"/>
  <c r="K337" i="53"/>
  <c r="K293" i="53"/>
  <c r="H213" i="53"/>
  <c r="H235" i="53"/>
  <c r="H287" i="53"/>
  <c r="H285" i="53"/>
  <c r="H167" i="53"/>
  <c r="K335" i="38"/>
  <c r="K338" i="50"/>
  <c r="K294" i="50"/>
  <c r="M101" i="40"/>
  <c r="L102" i="52"/>
  <c r="J243" i="52"/>
  <c r="K240" i="40"/>
  <c r="H211" i="40"/>
  <c r="H214" i="40"/>
  <c r="G216" i="40"/>
  <c r="F186" i="41"/>
  <c r="F178" i="53"/>
  <c r="F187" i="53"/>
  <c r="H330" i="40"/>
  <c r="H333" i="52"/>
  <c r="H289" i="52"/>
  <c r="G289" i="52"/>
  <c r="G330" i="40"/>
  <c r="G333" i="52"/>
  <c r="H219" i="50"/>
  <c r="H220" i="50"/>
  <c r="H217" i="38"/>
  <c r="J76" i="38"/>
  <c r="G36" i="31"/>
  <c r="Z36" i="31"/>
  <c r="Z44" i="31"/>
  <c r="G85" i="33"/>
  <c r="G88" i="33"/>
  <c r="G87" i="33"/>
  <c r="G15" i="48"/>
  <c r="E117" i="48"/>
  <c r="F117" i="48"/>
  <c r="AT38" i="43"/>
  <c r="H63" i="33"/>
  <c r="H24" i="48"/>
  <c r="AP38" i="43"/>
  <c r="H55" i="33"/>
  <c r="AR38" i="43"/>
  <c r="H59" i="33"/>
  <c r="H23" i="48"/>
  <c r="AV38" i="43"/>
  <c r="H67" i="33"/>
  <c r="H25" i="48"/>
  <c r="AX38" i="43"/>
  <c r="H7" i="32"/>
  <c r="H29" i="32"/>
  <c r="G121" i="52"/>
  <c r="J54" i="53"/>
  <c r="J31" i="53"/>
  <c r="J165" i="53"/>
  <c r="J75" i="53"/>
  <c r="J96" i="53"/>
  <c r="J117" i="53"/>
  <c r="J141" i="53"/>
  <c r="R379" i="38"/>
  <c r="R382" i="50"/>
  <c r="S359" i="38"/>
  <c r="R371" i="38"/>
  <c r="I2" i="50"/>
  <c r="I58" i="38"/>
  <c r="I59" i="50"/>
  <c r="I171" i="38"/>
  <c r="I79" i="38"/>
  <c r="I80" i="50"/>
  <c r="I239" i="38"/>
  <c r="I242" i="50"/>
  <c r="I175" i="38"/>
  <c r="I176" i="50"/>
  <c r="I100" i="38"/>
  <c r="I101" i="50"/>
  <c r="J120" i="41"/>
  <c r="G76" i="40"/>
  <c r="F87" i="40"/>
  <c r="I167" i="53"/>
  <c r="I287" i="53"/>
  <c r="I285" i="53"/>
  <c r="I235" i="53"/>
  <c r="I213" i="53"/>
  <c r="L30" i="38"/>
  <c r="K31" i="38"/>
  <c r="K32" i="50"/>
  <c r="P46" i="33"/>
  <c r="M46" i="33"/>
  <c r="S46" i="33"/>
  <c r="E128" i="33"/>
  <c r="K95" i="38"/>
  <c r="J96" i="38"/>
  <c r="J97" i="50"/>
  <c r="K80" i="41"/>
  <c r="J81" i="53"/>
  <c r="P27" i="54"/>
  <c r="I239" i="53"/>
  <c r="O116" i="40"/>
  <c r="N117" i="40"/>
  <c r="N118" i="52"/>
  <c r="G17" i="48"/>
  <c r="T29" i="32"/>
  <c r="AK51" i="32"/>
  <c r="T78" i="48"/>
  <c r="J39" i="32"/>
  <c r="Q75" i="40"/>
  <c r="Q76" i="52"/>
  <c r="R74" i="40"/>
  <c r="G97" i="40"/>
  <c r="F108" i="40"/>
  <c r="J172" i="53"/>
  <c r="J174" i="53"/>
  <c r="J173" i="41"/>
  <c r="J176" i="41"/>
  <c r="G92" i="33"/>
  <c r="G95" i="33"/>
  <c r="G94" i="33"/>
  <c r="G16" i="48"/>
  <c r="K239" i="50"/>
  <c r="G9" i="40"/>
  <c r="Q411" i="40"/>
  <c r="R399" i="40"/>
  <c r="Q419" i="40"/>
  <c r="Q422" i="52"/>
  <c r="G24" i="31"/>
  <c r="F127" i="28"/>
  <c r="I97" i="53"/>
  <c r="I98" i="53"/>
  <c r="J98" i="53"/>
  <c r="K98" i="53"/>
  <c r="L98" i="53"/>
  <c r="M98" i="53"/>
  <c r="N98" i="53"/>
  <c r="O98" i="53"/>
  <c r="I97" i="41"/>
  <c r="BA3" i="31"/>
  <c r="AZ4" i="31"/>
  <c r="AZ22" i="31"/>
  <c r="K414" i="50"/>
  <c r="L402" i="50"/>
  <c r="J6" i="38"/>
  <c r="K7" i="38"/>
  <c r="J8" i="50"/>
  <c r="J3" i="38"/>
  <c r="J2" i="38"/>
  <c r="K6" i="53"/>
  <c r="K7" i="53"/>
  <c r="G22" i="32"/>
  <c r="G100" i="39"/>
  <c r="P73" i="48"/>
  <c r="R24" i="32"/>
  <c r="X57" i="32"/>
  <c r="W57" i="32"/>
  <c r="E185" i="33"/>
  <c r="H130" i="33"/>
  <c r="E127" i="33"/>
  <c r="F177" i="40"/>
  <c r="F177" i="52"/>
  <c r="M45" i="33"/>
  <c r="S45" i="33"/>
  <c r="K402" i="53"/>
  <c r="J414" i="53"/>
  <c r="H250" i="53"/>
  <c r="J29" i="31"/>
  <c r="J31" i="31"/>
  <c r="I26" i="45"/>
  <c r="R43" i="33"/>
  <c r="AO23" i="43"/>
  <c r="F405" i="38"/>
  <c r="F408" i="50"/>
  <c r="F436" i="50"/>
  <c r="Q61" i="33"/>
  <c r="R48" i="33"/>
  <c r="S48" i="33"/>
  <c r="AC11" i="35"/>
  <c r="AH39" i="35"/>
  <c r="AG40" i="35"/>
  <c r="G120" i="40"/>
  <c r="F368" i="50"/>
  <c r="F378" i="38"/>
  <c r="F381" i="50"/>
  <c r="F393" i="38"/>
  <c r="P69" i="33"/>
  <c r="M69" i="33"/>
  <c r="E129" i="33"/>
  <c r="H10" i="55"/>
  <c r="I10" i="55"/>
  <c r="H88" i="50"/>
  <c r="AA266" i="33"/>
  <c r="AK266" i="33"/>
  <c r="AJ266" i="33"/>
  <c r="M55" i="33"/>
  <c r="G10" i="52"/>
  <c r="F125" i="28"/>
  <c r="J26" i="45"/>
  <c r="F100" i="33"/>
  <c r="R103" i="55"/>
  <c r="H10" i="50"/>
  <c r="M60" i="52"/>
  <c r="N59" i="40"/>
  <c r="P33" i="31"/>
  <c r="P73" i="31"/>
  <c r="P78" i="31"/>
  <c r="P48" i="31"/>
  <c r="P66" i="31"/>
  <c r="P26" i="31"/>
  <c r="Y167" i="40"/>
  <c r="Y168" i="52"/>
  <c r="Y169" i="52"/>
  <c r="Z166" i="40"/>
  <c r="Z167" i="40"/>
  <c r="Z168" i="52"/>
  <c r="Z169" i="52"/>
  <c r="AY48" i="31"/>
  <c r="AY33" i="31"/>
  <c r="AY78" i="31"/>
  <c r="AY73" i="31"/>
  <c r="AY26" i="31"/>
  <c r="AY66" i="31"/>
  <c r="U399" i="41"/>
  <c r="T411" i="41"/>
  <c r="T419" i="41"/>
  <c r="T422" i="53"/>
  <c r="J411" i="38"/>
  <c r="K399" i="38"/>
  <c r="H33" i="54"/>
  <c r="AR33" i="43"/>
  <c r="H89" i="33"/>
  <c r="T92" i="55"/>
  <c r="T95" i="55"/>
  <c r="T98" i="55"/>
  <c r="T97" i="55"/>
  <c r="AP33" i="43"/>
  <c r="H82" i="33"/>
  <c r="T85" i="55"/>
  <c r="AV33" i="43"/>
  <c r="H100" i="33"/>
  <c r="T103" i="55"/>
  <c r="AX33" i="43"/>
  <c r="AX34" i="43"/>
  <c r="AT33" i="43"/>
  <c r="H96" i="33"/>
  <c r="T99" i="55"/>
  <c r="S47" i="33"/>
  <c r="AD4" i="43"/>
  <c r="AE1" i="43"/>
  <c r="S19" i="35"/>
  <c r="R20" i="35"/>
  <c r="H2" i="52"/>
  <c r="H100" i="40"/>
  <c r="H101" i="52"/>
  <c r="I2" i="40"/>
  <c r="H58" i="40"/>
  <c r="H59" i="52"/>
  <c r="H79" i="40"/>
  <c r="H80" i="52"/>
  <c r="H175" i="40"/>
  <c r="H176" i="52"/>
  <c r="H171" i="40"/>
  <c r="H239" i="40"/>
  <c r="H242" i="52"/>
  <c r="H108" i="38"/>
  <c r="I97" i="38"/>
  <c r="I35" i="31"/>
  <c r="AJ11" i="31"/>
  <c r="E168" i="33"/>
  <c r="F236" i="33"/>
  <c r="E233" i="33"/>
  <c r="F89" i="33"/>
  <c r="R92" i="55"/>
  <c r="R95" i="55"/>
  <c r="R98" i="55"/>
  <c r="R97" i="55"/>
  <c r="H31" i="50"/>
  <c r="H54" i="50"/>
  <c r="H75" i="50"/>
  <c r="H96" i="50"/>
  <c r="H117" i="50"/>
  <c r="H141" i="50"/>
  <c r="H165" i="50"/>
  <c r="I97" i="50"/>
  <c r="I98" i="50"/>
  <c r="F66" i="40"/>
  <c r="G55" i="40"/>
  <c r="F56" i="40"/>
  <c r="G32" i="40"/>
  <c r="H31" i="31"/>
  <c r="F104" i="33"/>
  <c r="R107" i="55"/>
  <c r="AY30" i="43"/>
  <c r="H173" i="38"/>
  <c r="H176" i="38"/>
  <c r="H172" i="50"/>
  <c r="H174" i="50"/>
  <c r="K414" i="52"/>
  <c r="L402" i="52"/>
  <c r="G3" i="52"/>
  <c r="H3" i="40"/>
  <c r="I76" i="50"/>
  <c r="I77" i="50"/>
  <c r="J77" i="50"/>
  <c r="K77" i="50"/>
  <c r="L77" i="50"/>
  <c r="G239" i="52"/>
  <c r="F240" i="52"/>
  <c r="J22" i="54"/>
  <c r="I24" i="54"/>
  <c r="I32" i="54"/>
  <c r="I6" i="50"/>
  <c r="I7" i="50"/>
  <c r="AK244" i="33"/>
  <c r="AJ244" i="33"/>
  <c r="AA244" i="33"/>
  <c r="I121" i="53"/>
  <c r="I39" i="31"/>
  <c r="AN39" i="31"/>
  <c r="AN44" i="31"/>
  <c r="AN15" i="31"/>
  <c r="I168" i="53"/>
  <c r="I169" i="53"/>
  <c r="J169" i="53"/>
  <c r="I168" i="41"/>
  <c r="I20" i="33"/>
  <c r="AS4" i="43"/>
  <c r="AI13" i="35"/>
  <c r="AQ12" i="35"/>
  <c r="G75" i="33"/>
  <c r="M28" i="54"/>
  <c r="L30" i="54"/>
  <c r="J238" i="53"/>
  <c r="AE66" i="31"/>
  <c r="AE78" i="31"/>
  <c r="AE26" i="31"/>
  <c r="AE73" i="31"/>
  <c r="AE33" i="31"/>
  <c r="AE48" i="31"/>
  <c r="D12" i="35"/>
  <c r="L12" i="35"/>
  <c r="D15" i="35"/>
  <c r="L15" i="35"/>
  <c r="L11" i="35"/>
  <c r="D17" i="35"/>
  <c r="L17" i="35"/>
  <c r="D16" i="35"/>
  <c r="L16" i="35"/>
  <c r="D18" i="35"/>
  <c r="L18" i="35"/>
  <c r="D13" i="35"/>
  <c r="L13" i="35"/>
  <c r="D14" i="35"/>
  <c r="L14" i="35"/>
  <c r="D21" i="35"/>
  <c r="L21" i="35"/>
  <c r="D19" i="35"/>
  <c r="L19" i="35"/>
  <c r="D20" i="35"/>
  <c r="L20" i="35"/>
  <c r="D22" i="35"/>
  <c r="L22" i="35"/>
  <c r="D23" i="35"/>
  <c r="L23" i="35"/>
  <c r="D25" i="35"/>
  <c r="L25" i="35"/>
  <c r="D26" i="35"/>
  <c r="L26" i="35"/>
  <c r="D24" i="35"/>
  <c r="L24" i="35"/>
  <c r="D27" i="35"/>
  <c r="L27" i="35"/>
  <c r="D28" i="35"/>
  <c r="L28" i="35"/>
  <c r="D31" i="35"/>
  <c r="L31" i="35"/>
  <c r="D30" i="35"/>
  <c r="L30" i="35"/>
  <c r="D29" i="35"/>
  <c r="L29" i="35"/>
  <c r="D32" i="35"/>
  <c r="L32" i="35"/>
  <c r="D34" i="35"/>
  <c r="L34" i="35"/>
  <c r="D33" i="35"/>
  <c r="L33" i="35"/>
  <c r="D35" i="35"/>
  <c r="L35" i="35"/>
  <c r="D36" i="35"/>
  <c r="L36" i="35"/>
  <c r="D37" i="35"/>
  <c r="L37" i="35"/>
  <c r="D38" i="35"/>
  <c r="L38" i="35"/>
  <c r="D39" i="35"/>
  <c r="L39" i="35"/>
  <c r="D43" i="35"/>
  <c r="L43" i="35"/>
  <c r="D41" i="35"/>
  <c r="L41" i="35"/>
  <c r="D45" i="35"/>
  <c r="L45" i="35"/>
  <c r="D44" i="35"/>
  <c r="L44" i="35"/>
  <c r="D40" i="35"/>
  <c r="L40" i="35"/>
  <c r="D42" i="35"/>
  <c r="L42" i="35"/>
  <c r="G167" i="50"/>
  <c r="G287" i="50"/>
  <c r="G285" i="50"/>
  <c r="G235" i="50"/>
  <c r="G213" i="50"/>
  <c r="K2" i="53"/>
  <c r="K175" i="41"/>
  <c r="K176" i="53"/>
  <c r="K79" i="41"/>
  <c r="K80" i="53"/>
  <c r="K171" i="41"/>
  <c r="K58" i="41"/>
  <c r="K59" i="53"/>
  <c r="K100" i="41"/>
  <c r="K101" i="53"/>
  <c r="K239" i="41"/>
  <c r="K242" i="53"/>
  <c r="M374" i="52"/>
  <c r="N362" i="52"/>
  <c r="R85" i="55"/>
  <c r="H71" i="39"/>
  <c r="N12" i="31"/>
  <c r="G14" i="31"/>
  <c r="H38" i="31"/>
  <c r="AB14" i="31"/>
  <c r="J35" i="31"/>
  <c r="AU11" i="31"/>
  <c r="F247" i="40"/>
  <c r="G236" i="40"/>
  <c r="F237" i="40"/>
  <c r="F242" i="40"/>
  <c r="J328" i="41"/>
  <c r="K294" i="41"/>
  <c r="J317" i="41"/>
  <c r="J323" i="41"/>
  <c r="J39" i="31"/>
  <c r="AY39" i="31"/>
  <c r="AY44" i="31"/>
  <c r="AY15" i="31"/>
  <c r="E47" i="48"/>
  <c r="E48" i="48"/>
  <c r="H48" i="48"/>
  <c r="M374" i="50"/>
  <c r="N362" i="50"/>
  <c r="H72" i="39"/>
  <c r="I5" i="55"/>
  <c r="O13" i="31"/>
  <c r="AO11" i="35"/>
  <c r="AS11" i="35"/>
  <c r="AT11" i="35"/>
  <c r="AU11" i="35"/>
  <c r="G173" i="40"/>
  <c r="G176" i="40"/>
  <c r="G172" i="52"/>
  <c r="G174" i="52"/>
  <c r="G76" i="33"/>
  <c r="G104" i="33"/>
  <c r="S107" i="55"/>
  <c r="S113" i="55"/>
  <c r="AY31" i="43"/>
  <c r="J3" i="53"/>
  <c r="L234" i="41"/>
  <c r="K235" i="41"/>
  <c r="L371" i="40"/>
  <c r="M359" i="40"/>
  <c r="R78" i="48"/>
  <c r="AJ51" i="32"/>
  <c r="I39" i="32"/>
  <c r="S29" i="32"/>
  <c r="K1" i="42"/>
  <c r="K47" i="42"/>
  <c r="L2" i="42"/>
  <c r="G419" i="40"/>
  <c r="G422" i="52"/>
  <c r="G409" i="52"/>
  <c r="I55" i="38"/>
  <c r="I55" i="50"/>
  <c r="I56" i="50"/>
  <c r="J56" i="50"/>
  <c r="K56" i="50"/>
  <c r="L56" i="50"/>
  <c r="M56" i="50"/>
  <c r="N56" i="50"/>
  <c r="F405" i="41"/>
  <c r="F408" i="53"/>
  <c r="F436" i="53"/>
  <c r="I247" i="41"/>
  <c r="J236" i="41"/>
  <c r="G33" i="52"/>
  <c r="I117" i="38"/>
  <c r="N50" i="33"/>
  <c r="M50" i="33"/>
  <c r="J117" i="38"/>
  <c r="J118" i="50"/>
  <c r="E234" i="33"/>
  <c r="R4" i="31"/>
  <c r="S3" i="31"/>
  <c r="F326" i="53"/>
  <c r="F320" i="53"/>
  <c r="F331" i="53"/>
  <c r="Q96" i="40"/>
  <c r="Q97" i="52"/>
  <c r="R95" i="40"/>
  <c r="F57" i="48"/>
  <c r="E55" i="48"/>
  <c r="E57" i="48"/>
  <c r="Q22" i="31"/>
  <c r="F96" i="33"/>
  <c r="R99" i="55"/>
  <c r="F378" i="41"/>
  <c r="F381" i="53"/>
  <c r="F393" i="41"/>
  <c r="F368" i="53"/>
  <c r="AT36" i="43"/>
  <c r="AP36" i="43"/>
  <c r="AX36" i="43"/>
  <c r="AV36" i="43"/>
  <c r="AR36" i="43"/>
  <c r="F436" i="52"/>
  <c r="F405" i="40"/>
  <c r="F408" i="52"/>
  <c r="G168" i="40"/>
  <c r="G436" i="50"/>
  <c r="G405" i="38"/>
  <c r="AA232" i="33"/>
  <c r="AB245" i="33"/>
  <c r="AK232" i="33"/>
  <c r="AJ232" i="33"/>
  <c r="P98" i="52"/>
  <c r="L6" i="41"/>
  <c r="L8" i="41"/>
  <c r="L9" i="53"/>
  <c r="L8" i="53"/>
  <c r="M7" i="41"/>
  <c r="L3" i="41"/>
  <c r="L3" i="53"/>
  <c r="L2" i="41"/>
  <c r="F368" i="52"/>
  <c r="F393" i="40"/>
  <c r="F378" i="40"/>
  <c r="F381" i="52"/>
  <c r="M59" i="33"/>
  <c r="E137" i="33"/>
  <c r="AG3" i="31"/>
  <c r="AG4" i="31"/>
  <c r="AG22" i="31"/>
  <c r="AF4" i="31"/>
  <c r="AF22" i="31"/>
  <c r="G37" i="31"/>
  <c r="AA37" i="31"/>
  <c r="AA44" i="31"/>
  <c r="I56" i="52"/>
  <c r="J56" i="52"/>
  <c r="K56" i="52"/>
  <c r="L56" i="52"/>
  <c r="M56" i="52"/>
  <c r="N56" i="52"/>
  <c r="O56" i="52"/>
  <c r="P56" i="52"/>
  <c r="Q56" i="52"/>
  <c r="R56" i="52"/>
  <c r="S56" i="52"/>
  <c r="T56" i="52"/>
  <c r="U56" i="52"/>
  <c r="V56" i="52"/>
  <c r="W56" i="52"/>
  <c r="X56" i="52"/>
  <c r="Y56" i="52"/>
  <c r="Z56" i="52"/>
  <c r="G27" i="48"/>
  <c r="F285" i="41"/>
  <c r="T57" i="48"/>
  <c r="G18" i="48"/>
  <c r="R57" i="48"/>
  <c r="F285" i="40"/>
  <c r="M374" i="53"/>
  <c r="N362" i="53"/>
  <c r="T13" i="35"/>
  <c r="AB12" i="35"/>
  <c r="F169" i="40"/>
  <c r="H328" i="50"/>
  <c r="H329" i="50"/>
  <c r="H326" i="38"/>
  <c r="H365" i="38"/>
  <c r="Q98" i="52"/>
  <c r="J433" i="38"/>
  <c r="E130" i="33"/>
  <c r="H231" i="52"/>
  <c r="Q95" i="41"/>
  <c r="P96" i="41"/>
  <c r="P97" i="53"/>
  <c r="P98" i="53"/>
  <c r="Q77" i="52"/>
  <c r="K160" i="50"/>
  <c r="K125" i="52"/>
  <c r="L124" i="40"/>
  <c r="G431" i="41"/>
  <c r="G434" i="53"/>
  <c r="G394" i="53"/>
  <c r="F379" i="41"/>
  <c r="F382" i="53"/>
  <c r="F369" i="53"/>
  <c r="M117" i="38"/>
  <c r="M118" i="50"/>
  <c r="N116" i="38"/>
  <c r="O67" i="33"/>
  <c r="H159" i="41"/>
  <c r="O59" i="38"/>
  <c r="N60" i="50"/>
  <c r="G397" i="53"/>
  <c r="G366" i="41"/>
  <c r="AR34" i="43"/>
  <c r="G405" i="40"/>
  <c r="H418" i="38"/>
  <c r="H421" i="50"/>
  <c r="H408" i="50"/>
  <c r="J338" i="41"/>
  <c r="I357" i="41"/>
  <c r="G436" i="53"/>
  <c r="H397" i="41"/>
  <c r="H385" i="41"/>
  <c r="H388" i="53"/>
  <c r="H391" i="41"/>
  <c r="H394" i="41"/>
  <c r="F437" i="53"/>
  <c r="F406" i="41"/>
  <c r="G329" i="53"/>
  <c r="K328" i="38"/>
  <c r="L294" i="38"/>
  <c r="K317" i="38"/>
  <c r="K323" i="38"/>
  <c r="G320" i="52"/>
  <c r="G326" i="52"/>
  <c r="G331" i="52"/>
  <c r="G414" i="41"/>
  <c r="G417" i="53"/>
  <c r="G415" i="41"/>
  <c r="G418" i="53"/>
  <c r="G434" i="41"/>
  <c r="G425" i="41"/>
  <c r="G428" i="53"/>
  <c r="L6" i="52"/>
  <c r="L7" i="52"/>
  <c r="J247" i="38"/>
  <c r="J250" i="50"/>
  <c r="K236" i="38"/>
  <c r="L235" i="38"/>
  <c r="L238" i="50"/>
  <c r="M234" i="38"/>
  <c r="H69" i="54"/>
  <c r="H41" i="54"/>
  <c r="H60" i="54"/>
  <c r="F186" i="38"/>
  <c r="F178" i="50"/>
  <c r="F187" i="50"/>
  <c r="G378" i="38"/>
  <c r="G381" i="50"/>
  <c r="G393" i="38"/>
  <c r="G396" i="50"/>
  <c r="G368" i="50"/>
  <c r="O117" i="41"/>
  <c r="O118" i="53"/>
  <c r="P116" i="41"/>
  <c r="H326" i="52"/>
  <c r="H331" i="52"/>
  <c r="H320" i="52"/>
  <c r="K16" i="53"/>
  <c r="L15" i="41"/>
  <c r="H87" i="41"/>
  <c r="H88" i="53"/>
  <c r="I76" i="41"/>
  <c r="K3" i="47"/>
  <c r="J7" i="47"/>
  <c r="J31" i="47"/>
  <c r="J27" i="47"/>
  <c r="J5" i="47"/>
  <c r="J29" i="47"/>
  <c r="J4" i="47"/>
  <c r="J28" i="47"/>
  <c r="I21" i="54"/>
  <c r="J6" i="47"/>
  <c r="J30" i="47"/>
  <c r="P53" i="38"/>
  <c r="O54" i="38"/>
  <c r="J168" i="38"/>
  <c r="L101" i="38"/>
  <c r="K102" i="50"/>
  <c r="K74" i="41"/>
  <c r="J75" i="41"/>
  <c r="J76" i="53"/>
  <c r="J77" i="53"/>
  <c r="K75" i="52"/>
  <c r="K96" i="52"/>
  <c r="K117" i="52"/>
  <c r="K141" i="52"/>
  <c r="K54" i="52"/>
  <c r="K31" i="52"/>
  <c r="K165" i="52"/>
  <c r="H38" i="54"/>
  <c r="J326" i="38"/>
  <c r="J365" i="38"/>
  <c r="J368" i="50"/>
  <c r="H159" i="40"/>
  <c r="H231" i="53"/>
  <c r="M8" i="40"/>
  <c r="M9" i="52"/>
  <c r="M8" i="52"/>
  <c r="M6" i="40"/>
  <c r="N7" i="40"/>
  <c r="G258" i="53"/>
  <c r="G237" i="53"/>
  <c r="J329" i="50"/>
  <c r="M102" i="53"/>
  <c r="N101" i="41"/>
  <c r="G318" i="53"/>
  <c r="G341" i="53"/>
  <c r="G360" i="53"/>
  <c r="G400" i="53"/>
  <c r="G297" i="53"/>
  <c r="J167" i="52"/>
  <c r="J235" i="52"/>
  <c r="J213" i="52"/>
  <c r="J287" i="52"/>
  <c r="J285" i="52"/>
  <c r="K273" i="38"/>
  <c r="K274" i="50"/>
  <c r="K276" i="50"/>
  <c r="K325" i="38"/>
  <c r="K328" i="50"/>
  <c r="G326" i="41"/>
  <c r="G365" i="41"/>
  <c r="L265" i="38"/>
  <c r="L268" i="50"/>
  <c r="L260" i="50"/>
  <c r="K357" i="38"/>
  <c r="L338" i="38"/>
  <c r="I226" i="40"/>
  <c r="I229" i="52"/>
  <c r="I228" i="52"/>
  <c r="L15" i="40"/>
  <c r="K16" i="52"/>
  <c r="L294" i="50"/>
  <c r="L335" i="38"/>
  <c r="L338" i="50"/>
  <c r="G262" i="40"/>
  <c r="G264" i="52"/>
  <c r="G265" i="52"/>
  <c r="M240" i="41"/>
  <c r="L243" i="53"/>
  <c r="K332" i="40"/>
  <c r="K335" i="52"/>
  <c r="K291" i="52"/>
  <c r="L330" i="41"/>
  <c r="L333" i="53"/>
  <c r="L289" i="53"/>
  <c r="H261" i="41"/>
  <c r="I256" i="41"/>
  <c r="I394" i="52"/>
  <c r="I431" i="40"/>
  <c r="I434" i="52"/>
  <c r="AP34" i="43"/>
  <c r="H258" i="53"/>
  <c r="H237" i="53"/>
  <c r="G186" i="41"/>
  <c r="G178" i="53"/>
  <c r="G187" i="53"/>
  <c r="G217" i="41"/>
  <c r="G219" i="53"/>
  <c r="G220" i="53"/>
  <c r="J397" i="38"/>
  <c r="J385" i="38"/>
  <c r="J388" i="50"/>
  <c r="J394" i="38"/>
  <c r="J374" i="38"/>
  <c r="J377" i="50"/>
  <c r="J375" i="38"/>
  <c r="J378" i="50"/>
  <c r="J270" i="40"/>
  <c r="J155" i="40"/>
  <c r="J156" i="40"/>
  <c r="J157" i="52"/>
  <c r="J272" i="40"/>
  <c r="J275" i="52"/>
  <c r="J158" i="40"/>
  <c r="J159" i="52"/>
  <c r="J257" i="40"/>
  <c r="J227" i="40"/>
  <c r="J230" i="52"/>
  <c r="J225" i="40"/>
  <c r="J142" i="40"/>
  <c r="K140" i="40"/>
  <c r="J212" i="40"/>
  <c r="F331" i="50"/>
  <c r="F326" i="50"/>
  <c r="F320" i="50"/>
  <c r="L80" i="40"/>
  <c r="K81" i="52"/>
  <c r="L289" i="50"/>
  <c r="L330" i="38"/>
  <c r="L333" i="50"/>
  <c r="L14" i="40"/>
  <c r="K15" i="52"/>
  <c r="H261" i="40"/>
  <c r="I256" i="40"/>
  <c r="K289" i="52"/>
  <c r="K330" i="40"/>
  <c r="K333" i="52"/>
  <c r="L14" i="38"/>
  <c r="K15" i="50"/>
  <c r="M124" i="38"/>
  <c r="L125" i="50"/>
  <c r="H178" i="53"/>
  <c r="H187" i="53"/>
  <c r="H186" i="41"/>
  <c r="H327" i="53"/>
  <c r="K293" i="52"/>
  <c r="K334" i="40"/>
  <c r="K337" i="52"/>
  <c r="C15" i="35"/>
  <c r="B16" i="35"/>
  <c r="K169" i="53"/>
  <c r="G217" i="40"/>
  <c r="G219" i="52"/>
  <c r="G220" i="52"/>
  <c r="L338" i="40"/>
  <c r="K357" i="40"/>
  <c r="H160" i="52"/>
  <c r="L273" i="50"/>
  <c r="L271" i="38"/>
  <c r="L324" i="38"/>
  <c r="M166" i="41"/>
  <c r="L167" i="41"/>
  <c r="L168" i="53"/>
  <c r="G329" i="52"/>
  <c r="H327" i="52"/>
  <c r="S114" i="55"/>
  <c r="L172" i="40"/>
  <c r="K173" i="52"/>
  <c r="L293" i="50"/>
  <c r="L334" i="38"/>
  <c r="L337" i="50"/>
  <c r="G178" i="50"/>
  <c r="G187" i="50"/>
  <c r="G186" i="38"/>
  <c r="K331" i="40"/>
  <c r="K334" i="52"/>
  <c r="K290" i="52"/>
  <c r="L288" i="53"/>
  <c r="L329" i="41"/>
  <c r="L292" i="41"/>
  <c r="I366" i="40"/>
  <c r="I397" i="52"/>
  <c r="H297" i="53"/>
  <c r="H318" i="53"/>
  <c r="H341" i="53"/>
  <c r="H360" i="53"/>
  <c r="H400" i="53"/>
  <c r="L123" i="38"/>
  <c r="K124" i="50"/>
  <c r="R113" i="55"/>
  <c r="R88" i="55"/>
  <c r="R91" i="55"/>
  <c r="R90" i="55"/>
  <c r="R112" i="55"/>
  <c r="R114" i="55"/>
  <c r="J397" i="40"/>
  <c r="J394" i="40"/>
  <c r="J385" i="40"/>
  <c r="J388" i="52"/>
  <c r="G326" i="40"/>
  <c r="G365" i="40"/>
  <c r="K332" i="50"/>
  <c r="K336" i="38"/>
  <c r="G419" i="38"/>
  <c r="G422" i="50"/>
  <c r="G409" i="50"/>
  <c r="H262" i="38"/>
  <c r="H264" i="50"/>
  <c r="H265" i="50"/>
  <c r="I157" i="41"/>
  <c r="I158" i="53"/>
  <c r="I156" i="53"/>
  <c r="M10" i="55"/>
  <c r="H116" i="48"/>
  <c r="I211" i="40"/>
  <c r="H216" i="40"/>
  <c r="N101" i="40"/>
  <c r="M102" i="52"/>
  <c r="K38" i="53"/>
  <c r="L37" i="41"/>
  <c r="N37" i="38"/>
  <c r="M38" i="50"/>
  <c r="H160" i="53"/>
  <c r="L220" i="38"/>
  <c r="L223" i="50"/>
  <c r="L215" i="50"/>
  <c r="H228" i="41"/>
  <c r="I394" i="50"/>
  <c r="I431" i="38"/>
  <c r="I434" i="50"/>
  <c r="H228" i="40"/>
  <c r="H66" i="41"/>
  <c r="H67" i="53"/>
  <c r="I55" i="41"/>
  <c r="H273" i="40"/>
  <c r="H274" i="52"/>
  <c r="H276" i="52"/>
  <c r="H325" i="40"/>
  <c r="H328" i="52"/>
  <c r="K228" i="38"/>
  <c r="K159" i="38"/>
  <c r="H274" i="53"/>
  <c r="H276" i="53"/>
  <c r="H325" i="41"/>
  <c r="H328" i="53"/>
  <c r="H369" i="50"/>
  <c r="H379" i="38"/>
  <c r="H382" i="50"/>
  <c r="L334" i="41"/>
  <c r="L337" i="53"/>
  <c r="L293" i="53"/>
  <c r="L37" i="40"/>
  <c r="K38" i="52"/>
  <c r="I425" i="40"/>
  <c r="I428" i="52"/>
  <c r="I415" i="40"/>
  <c r="I418" i="52"/>
  <c r="I434" i="40"/>
  <c r="I414" i="40"/>
  <c r="I417" i="52"/>
  <c r="I415" i="38"/>
  <c r="I418" i="50"/>
  <c r="I414" i="38"/>
  <c r="I417" i="50"/>
  <c r="I434" i="38"/>
  <c r="I425" i="38"/>
  <c r="I428" i="50"/>
  <c r="L38" i="40"/>
  <c r="K39" i="52"/>
  <c r="L150" i="38"/>
  <c r="L151" i="50"/>
  <c r="L143" i="50"/>
  <c r="H216" i="41"/>
  <c r="I211" i="41"/>
  <c r="L172" i="38"/>
  <c r="K173" i="50"/>
  <c r="I271" i="40"/>
  <c r="I273" i="52"/>
  <c r="I324" i="40"/>
  <c r="K167" i="38"/>
  <c r="K168" i="50"/>
  <c r="K169" i="50"/>
  <c r="L166" i="38"/>
  <c r="L332" i="38"/>
  <c r="L335" i="50"/>
  <c r="L291" i="50"/>
  <c r="M289" i="41"/>
  <c r="M292" i="53"/>
  <c r="M291" i="41"/>
  <c r="N284" i="41"/>
  <c r="M285" i="41"/>
  <c r="M286" i="41"/>
  <c r="M290" i="41"/>
  <c r="M288" i="41"/>
  <c r="M287" i="41"/>
  <c r="G418" i="40"/>
  <c r="G421" i="52"/>
  <c r="G408" i="52"/>
  <c r="O38" i="38"/>
  <c r="N39" i="50"/>
  <c r="K332" i="53"/>
  <c r="K339" i="53"/>
  <c r="K336" i="41"/>
  <c r="J436" i="50"/>
  <c r="J405" i="38"/>
  <c r="L124" i="41"/>
  <c r="K125" i="53"/>
  <c r="L226" i="38"/>
  <c r="L229" i="50"/>
  <c r="L228" i="50"/>
  <c r="M240" i="38"/>
  <c r="L243" i="50"/>
  <c r="L15" i="38"/>
  <c r="K16" i="50"/>
  <c r="S112" i="55"/>
  <c r="M30" i="41"/>
  <c r="L31" i="41"/>
  <c r="L32" i="53"/>
  <c r="K231" i="50"/>
  <c r="M123" i="41"/>
  <c r="L124" i="53"/>
  <c r="M290" i="38"/>
  <c r="M291" i="38"/>
  <c r="M287" i="38"/>
  <c r="M286" i="38"/>
  <c r="M285" i="38"/>
  <c r="M289" i="38"/>
  <c r="M292" i="50"/>
  <c r="M288" i="38"/>
  <c r="N284" i="38"/>
  <c r="M172" i="41"/>
  <c r="L173" i="53"/>
  <c r="K295" i="50"/>
  <c r="K288" i="52"/>
  <c r="K329" i="40"/>
  <c r="K292" i="40"/>
  <c r="L123" i="40"/>
  <c r="K124" i="52"/>
  <c r="L331" i="41"/>
  <c r="L334" i="53"/>
  <c r="L290" i="53"/>
  <c r="J142" i="41"/>
  <c r="J257" i="41"/>
  <c r="J158" i="41"/>
  <c r="J159" i="53"/>
  <c r="J272" i="41"/>
  <c r="J275" i="53"/>
  <c r="J212" i="41"/>
  <c r="J225" i="41"/>
  <c r="J156" i="41"/>
  <c r="J157" i="53"/>
  <c r="J227" i="41"/>
  <c r="J230" i="53"/>
  <c r="K140" i="41"/>
  <c r="J155" i="41"/>
  <c r="J270" i="41"/>
  <c r="T88" i="55"/>
  <c r="T91" i="55"/>
  <c r="T90" i="55"/>
  <c r="M38" i="41"/>
  <c r="L39" i="53"/>
  <c r="M225" i="38"/>
  <c r="M158" i="38"/>
  <c r="M159" i="50"/>
  <c r="M155" i="38"/>
  <c r="N140" i="38"/>
  <c r="M142" i="38"/>
  <c r="M227" i="38"/>
  <c r="M230" i="50"/>
  <c r="M270" i="38"/>
  <c r="M272" i="38"/>
  <c r="M275" i="50"/>
  <c r="M257" i="38"/>
  <c r="M212" i="38"/>
  <c r="M156" i="38"/>
  <c r="M157" i="50"/>
  <c r="P59" i="41"/>
  <c r="O60" i="53"/>
  <c r="I397" i="50"/>
  <c r="I366" i="38"/>
  <c r="H437" i="52"/>
  <c r="H406" i="40"/>
  <c r="H437" i="50"/>
  <c r="H406" i="38"/>
  <c r="I156" i="52"/>
  <c r="I157" i="40"/>
  <c r="I158" i="52"/>
  <c r="L288" i="50"/>
  <c r="L292" i="38"/>
  <c r="L329" i="38"/>
  <c r="H379" i="40"/>
  <c r="H382" i="52"/>
  <c r="H369" i="52"/>
  <c r="K339" i="50"/>
  <c r="K335" i="40"/>
  <c r="K338" i="52"/>
  <c r="K294" i="52"/>
  <c r="L14" i="41"/>
  <c r="K15" i="53"/>
  <c r="L332" i="41"/>
  <c r="L335" i="53"/>
  <c r="L291" i="53"/>
  <c r="I228" i="53"/>
  <c r="I226" i="41"/>
  <c r="I229" i="53"/>
  <c r="G418" i="41"/>
  <c r="G421" i="53"/>
  <c r="G408" i="53"/>
  <c r="AR11" i="35"/>
  <c r="G109" i="33"/>
  <c r="L240" i="40"/>
  <c r="K243" i="52"/>
  <c r="K327" i="50"/>
  <c r="M75" i="38"/>
  <c r="N74" i="38"/>
  <c r="L156" i="50"/>
  <c r="L157" i="38"/>
  <c r="L158" i="50"/>
  <c r="K81" i="50"/>
  <c r="L80" i="38"/>
  <c r="J317" i="40"/>
  <c r="K294" i="40"/>
  <c r="J328" i="40"/>
  <c r="J323" i="40"/>
  <c r="K53" i="41"/>
  <c r="J54" i="41"/>
  <c r="J55" i="53"/>
  <c r="L331" i="38"/>
  <c r="L334" i="50"/>
  <c r="L290" i="50"/>
  <c r="I56" i="53"/>
  <c r="K295" i="53"/>
  <c r="L290" i="40"/>
  <c r="L285" i="40"/>
  <c r="L288" i="40"/>
  <c r="L289" i="40"/>
  <c r="L292" i="52"/>
  <c r="L291" i="40"/>
  <c r="L287" i="40"/>
  <c r="L286" i="40"/>
  <c r="M284" i="40"/>
  <c r="L294" i="53"/>
  <c r="L335" i="41"/>
  <c r="L338" i="53"/>
  <c r="I273" i="53"/>
  <c r="I271" i="41"/>
  <c r="I273" i="41"/>
  <c r="I324" i="41"/>
  <c r="AB13" i="35"/>
  <c r="T14" i="35"/>
  <c r="F59" i="33"/>
  <c r="F23" i="48"/>
  <c r="E23" i="48"/>
  <c r="AR39" i="43"/>
  <c r="F396" i="53"/>
  <c r="F250" i="52"/>
  <c r="F61" i="40"/>
  <c r="F57" i="52"/>
  <c r="G66" i="40"/>
  <c r="H55" i="40"/>
  <c r="G56" i="40"/>
  <c r="H120" i="40"/>
  <c r="J8" i="32"/>
  <c r="J30" i="32"/>
  <c r="J3" i="50"/>
  <c r="L80" i="41"/>
  <c r="K81" i="53"/>
  <c r="L95" i="38"/>
  <c r="K96" i="38"/>
  <c r="K97" i="50"/>
  <c r="H168" i="40"/>
  <c r="G169" i="40"/>
  <c r="F71" i="33"/>
  <c r="F26" i="48"/>
  <c r="AY36" i="43"/>
  <c r="AX39" i="43"/>
  <c r="AT34" i="43"/>
  <c r="J247" i="41"/>
  <c r="K236" i="41"/>
  <c r="M371" i="40"/>
  <c r="N359" i="40"/>
  <c r="F111" i="33"/>
  <c r="F110" i="33"/>
  <c r="F15" i="48"/>
  <c r="K22" i="54"/>
  <c r="J24" i="54"/>
  <c r="J32" i="54"/>
  <c r="F67" i="52"/>
  <c r="R21" i="35"/>
  <c r="S20" i="35"/>
  <c r="H18" i="48"/>
  <c r="F116" i="48"/>
  <c r="E116" i="48"/>
  <c r="I40" i="31"/>
  <c r="AO40" i="31"/>
  <c r="AO44" i="31"/>
  <c r="AO16" i="31"/>
  <c r="K126" i="28"/>
  <c r="G71" i="39"/>
  <c r="J6" i="50"/>
  <c r="J7" i="50"/>
  <c r="L414" i="50"/>
  <c r="M402" i="50"/>
  <c r="S399" i="40"/>
  <c r="R419" i="40"/>
  <c r="R422" i="52"/>
  <c r="R411" i="40"/>
  <c r="J239" i="53"/>
  <c r="T359" i="38"/>
  <c r="S379" i="38"/>
  <c r="S382" i="50"/>
  <c r="S371" i="38"/>
  <c r="I88" i="50"/>
  <c r="O37" i="31"/>
  <c r="O44" i="31"/>
  <c r="K172" i="53"/>
  <c r="K174" i="53"/>
  <c r="K173" i="41"/>
  <c r="K176" i="41"/>
  <c r="H17" i="48"/>
  <c r="G418" i="38"/>
  <c r="G421" i="50"/>
  <c r="G408" i="50"/>
  <c r="J20" i="33"/>
  <c r="AT4" i="43"/>
  <c r="L239" i="50"/>
  <c r="H285" i="41"/>
  <c r="G285" i="41"/>
  <c r="AF78" i="31"/>
  <c r="AF26" i="31"/>
  <c r="AF48" i="31"/>
  <c r="AF66" i="31"/>
  <c r="AF73" i="31"/>
  <c r="AF33" i="31"/>
  <c r="AG73" i="31"/>
  <c r="AG33" i="31"/>
  <c r="AG26" i="31"/>
  <c r="AG48" i="31"/>
  <c r="AG78" i="31"/>
  <c r="AG66" i="31"/>
  <c r="L171" i="41"/>
  <c r="L79" i="41"/>
  <c r="L80" i="53"/>
  <c r="L239" i="41"/>
  <c r="L242" i="53"/>
  <c r="L100" i="41"/>
  <c r="L101" i="53"/>
  <c r="L2" i="53"/>
  <c r="L58" i="41"/>
  <c r="L59" i="53"/>
  <c r="L175" i="41"/>
  <c r="L176" i="53"/>
  <c r="F55" i="33"/>
  <c r="AP39" i="43"/>
  <c r="F17" i="48"/>
  <c r="I250" i="53"/>
  <c r="I66" i="38"/>
  <c r="J55" i="38"/>
  <c r="F111" i="48"/>
  <c r="E111" i="48"/>
  <c r="J11" i="35"/>
  <c r="N11" i="35"/>
  <c r="O11" i="35"/>
  <c r="P11" i="35"/>
  <c r="M402" i="52"/>
  <c r="L414" i="52"/>
  <c r="G29" i="31"/>
  <c r="H111" i="48"/>
  <c r="F82" i="48"/>
  <c r="G82" i="48"/>
  <c r="J97" i="38"/>
  <c r="I108" i="38"/>
  <c r="H85" i="33"/>
  <c r="H88" i="33"/>
  <c r="H87" i="33"/>
  <c r="H15" i="48"/>
  <c r="V399" i="41"/>
  <c r="U419" i="41"/>
  <c r="U422" i="53"/>
  <c r="U411" i="41"/>
  <c r="H35" i="31"/>
  <c r="Y11" i="31"/>
  <c r="AG41" i="35"/>
  <c r="AH40" i="35"/>
  <c r="Q62" i="33"/>
  <c r="R49" i="33"/>
  <c r="S49" i="33"/>
  <c r="K3" i="38"/>
  <c r="L7" i="38"/>
  <c r="K8" i="50"/>
  <c r="K6" i="38"/>
  <c r="K8" i="38"/>
  <c r="K9" i="50"/>
  <c r="K2" i="38"/>
  <c r="F109" i="52"/>
  <c r="M30" i="38"/>
  <c r="L31" i="38"/>
  <c r="L32" i="50"/>
  <c r="F88" i="52"/>
  <c r="J87" i="38"/>
  <c r="K76" i="38"/>
  <c r="F63" i="33"/>
  <c r="F24" i="48"/>
  <c r="E24" i="48"/>
  <c r="AT39" i="43"/>
  <c r="R96" i="40"/>
  <c r="R97" i="52"/>
  <c r="R98" i="52"/>
  <c r="S95" i="40"/>
  <c r="I120" i="38"/>
  <c r="I118" i="50"/>
  <c r="K238" i="53"/>
  <c r="N374" i="50"/>
  <c r="O362" i="50"/>
  <c r="K328" i="41"/>
  <c r="L294" i="41"/>
  <c r="K323" i="41"/>
  <c r="K317" i="41"/>
  <c r="N374" i="52"/>
  <c r="O362" i="52"/>
  <c r="N28" i="54"/>
  <c r="M30" i="54"/>
  <c r="AO12" i="35"/>
  <c r="AS12" i="35"/>
  <c r="AT12" i="35"/>
  <c r="AU12" i="35"/>
  <c r="J168" i="41"/>
  <c r="J177" i="41"/>
  <c r="I177" i="41"/>
  <c r="H239" i="52"/>
  <c r="G240" i="52"/>
  <c r="H30" i="32"/>
  <c r="H8" i="32"/>
  <c r="G31" i="31"/>
  <c r="H109" i="50"/>
  <c r="I2" i="52"/>
  <c r="I58" i="40"/>
  <c r="I59" i="52"/>
  <c r="J2" i="40"/>
  <c r="I100" i="40"/>
  <c r="I101" i="52"/>
  <c r="I79" i="40"/>
  <c r="I80" i="52"/>
  <c r="I175" i="40"/>
  <c r="I176" i="52"/>
  <c r="I171" i="40"/>
  <c r="I239" i="40"/>
  <c r="I242" i="52"/>
  <c r="H92" i="33"/>
  <c r="H95" i="33"/>
  <c r="H94" i="33"/>
  <c r="H16" i="48"/>
  <c r="M60" i="33"/>
  <c r="F178" i="52"/>
  <c r="F186" i="40"/>
  <c r="K54" i="53"/>
  <c r="K31" i="53"/>
  <c r="K165" i="53"/>
  <c r="K75" i="53"/>
  <c r="K96" i="53"/>
  <c r="K117" i="53"/>
  <c r="K141" i="53"/>
  <c r="AZ33" i="31"/>
  <c r="AZ73" i="31"/>
  <c r="AZ78" i="31"/>
  <c r="AZ66" i="31"/>
  <c r="AZ48" i="31"/>
  <c r="AZ26" i="31"/>
  <c r="I108" i="41"/>
  <c r="J97" i="41"/>
  <c r="H97" i="40"/>
  <c r="G108" i="40"/>
  <c r="T100" i="48"/>
  <c r="G87" i="40"/>
  <c r="H76" i="40"/>
  <c r="N36" i="31"/>
  <c r="N44" i="31"/>
  <c r="R22" i="31"/>
  <c r="G177" i="52"/>
  <c r="G177" i="40"/>
  <c r="H172" i="52"/>
  <c r="H174" i="52"/>
  <c r="H173" i="40"/>
  <c r="H176" i="40"/>
  <c r="L402" i="53"/>
  <c r="K414" i="53"/>
  <c r="J2" i="50"/>
  <c r="J171" i="38"/>
  <c r="J58" i="38"/>
  <c r="J59" i="50"/>
  <c r="J175" i="38"/>
  <c r="J176" i="50"/>
  <c r="J239" i="38"/>
  <c r="J242" i="50"/>
  <c r="J79" i="38"/>
  <c r="J80" i="50"/>
  <c r="J100" i="38"/>
  <c r="J101" i="50"/>
  <c r="H22" i="48"/>
  <c r="I33" i="54"/>
  <c r="I38" i="54"/>
  <c r="H121" i="52"/>
  <c r="L235" i="41"/>
  <c r="M234" i="41"/>
  <c r="G19" i="48"/>
  <c r="G20" i="48"/>
  <c r="G38" i="31"/>
  <c r="AB38" i="31"/>
  <c r="AB44" i="31"/>
  <c r="J12" i="35"/>
  <c r="N12" i="35"/>
  <c r="O12" i="35"/>
  <c r="P12" i="35"/>
  <c r="AI14" i="35"/>
  <c r="AQ13" i="35"/>
  <c r="J98" i="50"/>
  <c r="K98" i="50"/>
  <c r="N60" i="52"/>
  <c r="O59" i="40"/>
  <c r="F396" i="50"/>
  <c r="BB3" i="31"/>
  <c r="BA4" i="31"/>
  <c r="BA22" i="31"/>
  <c r="O117" i="40"/>
  <c r="P116" i="40"/>
  <c r="J235" i="53"/>
  <c r="J167" i="53"/>
  <c r="J287" i="53"/>
  <c r="J285" i="53"/>
  <c r="J213" i="53"/>
  <c r="P78" i="48"/>
  <c r="AI51" i="32"/>
  <c r="G29" i="32"/>
  <c r="H39" i="32"/>
  <c r="R29" i="32"/>
  <c r="H71" i="33"/>
  <c r="H26" i="48"/>
  <c r="AY38" i="43"/>
  <c r="G110" i="33"/>
  <c r="I54" i="50"/>
  <c r="I31" i="50"/>
  <c r="I75" i="50"/>
  <c r="I96" i="50"/>
  <c r="I117" i="50"/>
  <c r="I141" i="50"/>
  <c r="I165" i="50"/>
  <c r="O362" i="53"/>
  <c r="N374" i="53"/>
  <c r="Q33" i="31"/>
  <c r="Q48" i="31"/>
  <c r="Q26" i="31"/>
  <c r="Q78" i="31"/>
  <c r="Q73" i="31"/>
  <c r="Q66" i="31"/>
  <c r="H104" i="33"/>
  <c r="AY33" i="43"/>
  <c r="AY34" i="43"/>
  <c r="M8" i="53"/>
  <c r="M2" i="41"/>
  <c r="M6" i="41"/>
  <c r="N7" i="41"/>
  <c r="M8" i="41"/>
  <c r="M9" i="53"/>
  <c r="M3" i="41"/>
  <c r="M3" i="53"/>
  <c r="F329" i="40"/>
  <c r="F288" i="52"/>
  <c r="F288" i="53"/>
  <c r="F329" i="41"/>
  <c r="L7" i="53"/>
  <c r="L6" i="53"/>
  <c r="AK245" i="33"/>
  <c r="AJ245" i="33"/>
  <c r="AA245" i="33"/>
  <c r="H33" i="52"/>
  <c r="L47" i="42"/>
  <c r="M2" i="42"/>
  <c r="L1" i="42"/>
  <c r="R100" i="48"/>
  <c r="O43" i="33"/>
  <c r="J8" i="40"/>
  <c r="J9" i="52"/>
  <c r="I8" i="40"/>
  <c r="F245" i="52"/>
  <c r="F243" i="40"/>
  <c r="F246" i="52"/>
  <c r="AU35" i="31"/>
  <c r="AU44" i="31"/>
  <c r="H73" i="39"/>
  <c r="P14" i="31"/>
  <c r="G258" i="50"/>
  <c r="G237" i="50"/>
  <c r="H3" i="52"/>
  <c r="I3" i="40"/>
  <c r="H177" i="50"/>
  <c r="H177" i="38"/>
  <c r="F19" i="48"/>
  <c r="H32" i="40"/>
  <c r="H167" i="50"/>
  <c r="H235" i="50"/>
  <c r="H213" i="50"/>
  <c r="H287" i="50"/>
  <c r="H285" i="50"/>
  <c r="F92" i="33"/>
  <c r="F95" i="33"/>
  <c r="F16" i="48"/>
  <c r="K411" i="38"/>
  <c r="L399" i="38"/>
  <c r="AV34" i="43"/>
  <c r="R75" i="40"/>
  <c r="R76" i="52"/>
  <c r="R77" i="52"/>
  <c r="S74" i="40"/>
  <c r="Y55" i="32"/>
  <c r="G128" i="39"/>
  <c r="G136" i="39"/>
  <c r="S22" i="32"/>
  <c r="R71" i="48"/>
  <c r="Q27" i="54"/>
  <c r="I258" i="53"/>
  <c r="I237" i="53"/>
  <c r="P57" i="48"/>
  <c r="G7" i="32"/>
  <c r="F285" i="38"/>
  <c r="G111" i="33"/>
  <c r="O68" i="33"/>
  <c r="AJ35" i="31"/>
  <c r="AJ44" i="31"/>
  <c r="AE4" i="43"/>
  <c r="AF1" i="43"/>
  <c r="I173" i="38"/>
  <c r="I176" i="38"/>
  <c r="I172" i="50"/>
  <c r="I174" i="50"/>
  <c r="F170" i="52"/>
  <c r="F179" i="40"/>
  <c r="F180" i="40"/>
  <c r="F182" i="40"/>
  <c r="F67" i="33"/>
  <c r="F25" i="48"/>
  <c r="E25" i="48"/>
  <c r="AV39" i="43"/>
  <c r="E236" i="33"/>
  <c r="G15" i="31"/>
  <c r="H39" i="31"/>
  <c r="AC15" i="31"/>
  <c r="Z12" i="35"/>
  <c r="AD12" i="35"/>
  <c r="AE12" i="35"/>
  <c r="AF12" i="35"/>
  <c r="F396" i="52"/>
  <c r="T3" i="31"/>
  <c r="S4" i="31"/>
  <c r="H285" i="40"/>
  <c r="G285" i="40"/>
  <c r="H236" i="40"/>
  <c r="G247" i="40"/>
  <c r="G237" i="40"/>
  <c r="G242" i="40"/>
  <c r="G318" i="50"/>
  <c r="G341" i="50"/>
  <c r="G360" i="50"/>
  <c r="G400" i="50"/>
  <c r="G297" i="50"/>
  <c r="G78" i="33"/>
  <c r="G79" i="33"/>
  <c r="J121" i="53"/>
  <c r="F18" i="48"/>
  <c r="H10" i="52"/>
  <c r="Q24" i="32"/>
  <c r="P95" i="48"/>
  <c r="AC57" i="32"/>
  <c r="AB57" i="32"/>
  <c r="F128" i="28"/>
  <c r="H9" i="40"/>
  <c r="J177" i="53"/>
  <c r="G116" i="48"/>
  <c r="I318" i="53"/>
  <c r="I341" i="53"/>
  <c r="I360" i="53"/>
  <c r="I400" i="53"/>
  <c r="I297" i="53"/>
  <c r="K120" i="41"/>
  <c r="K326" i="38"/>
  <c r="K365" i="38"/>
  <c r="E18" i="48"/>
  <c r="K329" i="50"/>
  <c r="H393" i="38"/>
  <c r="H396" i="50"/>
  <c r="H378" i="38"/>
  <c r="H381" i="50"/>
  <c r="H368" i="50"/>
  <c r="H433" i="41"/>
  <c r="H329" i="53"/>
  <c r="R95" i="41"/>
  <c r="Q96" i="41"/>
  <c r="Q97" i="53"/>
  <c r="Q98" i="53"/>
  <c r="G379" i="41"/>
  <c r="G382" i="53"/>
  <c r="G369" i="53"/>
  <c r="H425" i="41"/>
  <c r="H428" i="53"/>
  <c r="H434" i="41"/>
  <c r="I375" i="41"/>
  <c r="I378" i="53"/>
  <c r="I397" i="41"/>
  <c r="I374" i="41"/>
  <c r="I377" i="53"/>
  <c r="I391" i="41"/>
  <c r="I385" i="41"/>
  <c r="I388" i="53"/>
  <c r="I394" i="41"/>
  <c r="F409" i="53"/>
  <c r="F419" i="41"/>
  <c r="F422" i="53"/>
  <c r="K338" i="41"/>
  <c r="J357" i="41"/>
  <c r="O60" i="50"/>
  <c r="P59" i="38"/>
  <c r="G437" i="53"/>
  <c r="G406" i="41"/>
  <c r="M124" i="40"/>
  <c r="L125" i="52"/>
  <c r="M12" i="35"/>
  <c r="H397" i="53"/>
  <c r="H366" i="41"/>
  <c r="L323" i="38"/>
  <c r="L328" i="38"/>
  <c r="M294" i="38"/>
  <c r="L317" i="38"/>
  <c r="H394" i="53"/>
  <c r="H431" i="41"/>
  <c r="H434" i="53"/>
  <c r="N117" i="38"/>
  <c r="N118" i="50"/>
  <c r="O116" i="38"/>
  <c r="J378" i="38"/>
  <c r="J381" i="50"/>
  <c r="J258" i="52"/>
  <c r="J237" i="52"/>
  <c r="I41" i="54"/>
  <c r="I60" i="54"/>
  <c r="I69" i="54"/>
  <c r="J393" i="38"/>
  <c r="J396" i="50"/>
  <c r="N8" i="52"/>
  <c r="O7" i="40"/>
  <c r="N6" i="40"/>
  <c r="N8" i="40"/>
  <c r="N9" i="52"/>
  <c r="M101" i="38"/>
  <c r="L102" i="50"/>
  <c r="L16" i="53"/>
  <c r="M15" i="41"/>
  <c r="G331" i="53"/>
  <c r="G326" i="53"/>
  <c r="G320" i="53"/>
  <c r="K235" i="52"/>
  <c r="K167" i="52"/>
  <c r="K287" i="52"/>
  <c r="K285" i="52"/>
  <c r="K213" i="52"/>
  <c r="N234" i="38"/>
  <c r="M235" i="38"/>
  <c r="M238" i="50"/>
  <c r="M239" i="50"/>
  <c r="L295" i="50"/>
  <c r="M7" i="52"/>
  <c r="M6" i="52"/>
  <c r="I228" i="41"/>
  <c r="H433" i="40"/>
  <c r="O101" i="41"/>
  <c r="N102" i="53"/>
  <c r="L236" i="38"/>
  <c r="K247" i="38"/>
  <c r="K250" i="50"/>
  <c r="O55" i="50"/>
  <c r="O56" i="50"/>
  <c r="K5" i="47"/>
  <c r="K29" i="47"/>
  <c r="K7" i="47"/>
  <c r="K31" i="47"/>
  <c r="K4" i="47"/>
  <c r="K28" i="47"/>
  <c r="L3" i="47"/>
  <c r="K6" i="47"/>
  <c r="K30" i="47"/>
  <c r="J21" i="54"/>
  <c r="J38" i="54"/>
  <c r="K27" i="47"/>
  <c r="J297" i="52"/>
  <c r="J318" i="52"/>
  <c r="J341" i="52"/>
  <c r="J360" i="52"/>
  <c r="J400" i="52"/>
  <c r="Q53" i="38"/>
  <c r="P54" i="38"/>
  <c r="P117" i="41"/>
  <c r="P118" i="53"/>
  <c r="Q116" i="41"/>
  <c r="G112" i="33"/>
  <c r="L169" i="53"/>
  <c r="L74" i="41"/>
  <c r="K75" i="41"/>
  <c r="K76" i="53"/>
  <c r="K77" i="53"/>
  <c r="I87" i="41"/>
  <c r="I88" i="53"/>
  <c r="J76" i="41"/>
  <c r="L54" i="52"/>
  <c r="L165" i="52"/>
  <c r="L75" i="52"/>
  <c r="L96" i="52"/>
  <c r="L117" i="52"/>
  <c r="L141" i="52"/>
  <c r="L31" i="52"/>
  <c r="B17" i="35"/>
  <c r="C16" i="35"/>
  <c r="M289" i="40"/>
  <c r="M292" i="52"/>
  <c r="M290" i="40"/>
  <c r="N284" i="40"/>
  <c r="M287" i="40"/>
  <c r="M291" i="40"/>
  <c r="M288" i="40"/>
  <c r="M285" i="40"/>
  <c r="M286" i="40"/>
  <c r="L160" i="50"/>
  <c r="M240" i="40"/>
  <c r="L243" i="52"/>
  <c r="M15" i="38"/>
  <c r="L16" i="50"/>
  <c r="J418" i="38"/>
  <c r="J421" i="50"/>
  <c r="J408" i="50"/>
  <c r="M331" i="41"/>
  <c r="M334" i="53"/>
  <c r="M290" i="53"/>
  <c r="M38" i="40"/>
  <c r="L39" i="52"/>
  <c r="I66" i="41"/>
  <c r="I67" i="53"/>
  <c r="J55" i="41"/>
  <c r="H326" i="40"/>
  <c r="H365" i="40"/>
  <c r="M80" i="40"/>
  <c r="L81" i="52"/>
  <c r="K270" i="40"/>
  <c r="K227" i="40"/>
  <c r="K230" i="52"/>
  <c r="K272" i="40"/>
  <c r="K275" i="52"/>
  <c r="K257" i="40"/>
  <c r="K225" i="40"/>
  <c r="L140" i="40"/>
  <c r="K155" i="40"/>
  <c r="K158" i="40"/>
  <c r="K159" i="52"/>
  <c r="K156" i="40"/>
  <c r="K157" i="52"/>
  <c r="K212" i="40"/>
  <c r="K142" i="40"/>
  <c r="M228" i="50"/>
  <c r="M226" i="38"/>
  <c r="M229" i="50"/>
  <c r="J425" i="38"/>
  <c r="J428" i="50"/>
  <c r="J434" i="38"/>
  <c r="J415" i="38"/>
  <c r="J418" i="50"/>
  <c r="J414" i="38"/>
  <c r="J417" i="50"/>
  <c r="M15" i="40"/>
  <c r="L16" i="52"/>
  <c r="L289" i="52"/>
  <c r="L330" i="40"/>
  <c r="L333" i="52"/>
  <c r="J56" i="53"/>
  <c r="M273" i="50"/>
  <c r="M271" i="38"/>
  <c r="M324" i="38"/>
  <c r="M39" i="53"/>
  <c r="N38" i="41"/>
  <c r="K336" i="40"/>
  <c r="K332" i="52"/>
  <c r="K339" i="52"/>
  <c r="M329" i="38"/>
  <c r="M292" i="38"/>
  <c r="M288" i="50"/>
  <c r="M332" i="41"/>
  <c r="M335" i="53"/>
  <c r="M291" i="53"/>
  <c r="M172" i="38"/>
  <c r="L173" i="50"/>
  <c r="J397" i="52"/>
  <c r="J366" i="40"/>
  <c r="H320" i="53"/>
  <c r="H331" i="53"/>
  <c r="H326" i="53"/>
  <c r="H329" i="52"/>
  <c r="J156" i="52"/>
  <c r="J157" i="40"/>
  <c r="J158" i="52"/>
  <c r="M243" i="53"/>
  <c r="N240" i="41"/>
  <c r="G393" i="41"/>
  <c r="G396" i="53"/>
  <c r="G368" i="53"/>
  <c r="G378" i="41"/>
  <c r="G381" i="53"/>
  <c r="L293" i="52"/>
  <c r="L334" i="40"/>
  <c r="L337" i="52"/>
  <c r="I379" i="38"/>
  <c r="I382" i="50"/>
  <c r="I369" i="50"/>
  <c r="J220" i="41"/>
  <c r="J223" i="53"/>
  <c r="J215" i="53"/>
  <c r="G368" i="52"/>
  <c r="G393" i="40"/>
  <c r="G396" i="52"/>
  <c r="G378" i="40"/>
  <c r="G381" i="52"/>
  <c r="L274" i="50"/>
  <c r="L276" i="50"/>
  <c r="L325" i="38"/>
  <c r="L328" i="50"/>
  <c r="J220" i="40"/>
  <c r="J223" i="52"/>
  <c r="J215" i="52"/>
  <c r="H110" i="33"/>
  <c r="T107" i="55"/>
  <c r="T112" i="55"/>
  <c r="Q112" i="55"/>
  <c r="H75" i="33"/>
  <c r="I327" i="53"/>
  <c r="L331" i="40"/>
  <c r="L334" i="52"/>
  <c r="L290" i="52"/>
  <c r="L294" i="40"/>
  <c r="K323" i="40"/>
  <c r="K328" i="40"/>
  <c r="K317" i="40"/>
  <c r="Q59" i="41"/>
  <c r="P60" i="53"/>
  <c r="J156" i="53"/>
  <c r="J157" i="41"/>
  <c r="J158" i="53"/>
  <c r="J265" i="41"/>
  <c r="J268" i="53"/>
  <c r="J260" i="53"/>
  <c r="K295" i="52"/>
  <c r="M330" i="38"/>
  <c r="M333" i="50"/>
  <c r="M289" i="50"/>
  <c r="N240" i="38"/>
  <c r="M243" i="50"/>
  <c r="M334" i="41"/>
  <c r="M337" i="53"/>
  <c r="M293" i="53"/>
  <c r="M166" i="38"/>
  <c r="L167" i="38"/>
  <c r="L168" i="50"/>
  <c r="I406" i="38"/>
  <c r="I437" i="50"/>
  <c r="M37" i="40"/>
  <c r="L38" i="52"/>
  <c r="O37" i="38"/>
  <c r="N38" i="50"/>
  <c r="J425" i="40"/>
  <c r="J428" i="52"/>
  <c r="J434" i="40"/>
  <c r="K375" i="40"/>
  <c r="K378" i="52"/>
  <c r="K394" i="40"/>
  <c r="K397" i="40"/>
  <c r="K374" i="40"/>
  <c r="K377" i="52"/>
  <c r="M125" i="50"/>
  <c r="N124" i="38"/>
  <c r="H264" i="52"/>
  <c r="H265" i="52"/>
  <c r="H262" i="40"/>
  <c r="K168" i="38"/>
  <c r="J143" i="52"/>
  <c r="J150" i="40"/>
  <c r="J151" i="52"/>
  <c r="J324" i="40"/>
  <c r="J271" i="40"/>
  <c r="J273" i="40"/>
  <c r="J273" i="52"/>
  <c r="H264" i="53"/>
  <c r="H265" i="53"/>
  <c r="H262" i="41"/>
  <c r="I228" i="40"/>
  <c r="L53" i="41"/>
  <c r="K54" i="41"/>
  <c r="J273" i="53"/>
  <c r="J271" i="41"/>
  <c r="J324" i="41"/>
  <c r="M123" i="40"/>
  <c r="L124" i="52"/>
  <c r="L125" i="53"/>
  <c r="M124" i="41"/>
  <c r="I274" i="52"/>
  <c r="I276" i="52"/>
  <c r="I325" i="40"/>
  <c r="I328" i="52"/>
  <c r="H405" i="40"/>
  <c r="H436" i="52"/>
  <c r="H217" i="40"/>
  <c r="H219" i="52"/>
  <c r="H220" i="52"/>
  <c r="L124" i="50"/>
  <c r="M123" i="38"/>
  <c r="I274" i="53"/>
  <c r="I276" i="53"/>
  <c r="I325" i="41"/>
  <c r="I328" i="53"/>
  <c r="L335" i="40"/>
  <c r="L338" i="52"/>
  <c r="L294" i="52"/>
  <c r="N75" i="38"/>
  <c r="O74" i="38"/>
  <c r="H409" i="50"/>
  <c r="H419" i="38"/>
  <c r="H422" i="50"/>
  <c r="M143" i="50"/>
  <c r="M150" i="38"/>
  <c r="M151" i="50"/>
  <c r="K156" i="41"/>
  <c r="K157" i="53"/>
  <c r="K272" i="41"/>
  <c r="K275" i="53"/>
  <c r="K270" i="41"/>
  <c r="K212" i="41"/>
  <c r="K225" i="41"/>
  <c r="K158" i="41"/>
  <c r="K159" i="53"/>
  <c r="L140" i="41"/>
  <c r="K155" i="41"/>
  <c r="K257" i="41"/>
  <c r="K227" i="41"/>
  <c r="K230" i="53"/>
  <c r="K142" i="41"/>
  <c r="J143" i="53"/>
  <c r="J150" i="41"/>
  <c r="J151" i="53"/>
  <c r="M331" i="38"/>
  <c r="M334" i="50"/>
  <c r="M290" i="50"/>
  <c r="L231" i="50"/>
  <c r="M289" i="53"/>
  <c r="M330" i="41"/>
  <c r="M333" i="53"/>
  <c r="H219" i="53"/>
  <c r="H220" i="53"/>
  <c r="H217" i="41"/>
  <c r="L38" i="53"/>
  <c r="M37" i="41"/>
  <c r="I379" i="40"/>
  <c r="I382" i="52"/>
  <c r="I369" i="52"/>
  <c r="M338" i="40"/>
  <c r="L357" i="40"/>
  <c r="H326" i="41"/>
  <c r="H365" i="41"/>
  <c r="J228" i="52"/>
  <c r="J226" i="40"/>
  <c r="J229" i="52"/>
  <c r="I231" i="52"/>
  <c r="M291" i="50"/>
  <c r="M332" i="38"/>
  <c r="M335" i="50"/>
  <c r="M80" i="38"/>
  <c r="L81" i="50"/>
  <c r="M76" i="50"/>
  <c r="M77" i="50"/>
  <c r="M14" i="41"/>
  <c r="L15" i="53"/>
  <c r="L332" i="50"/>
  <c r="L339" i="50"/>
  <c r="L336" i="38"/>
  <c r="O140" i="38"/>
  <c r="N158" i="38"/>
  <c r="N159" i="50"/>
  <c r="N270" i="38"/>
  <c r="N155" i="38"/>
  <c r="N225" i="38"/>
  <c r="N212" i="38"/>
  <c r="N142" i="38"/>
  <c r="N272" i="38"/>
  <c r="N275" i="50"/>
  <c r="N227" i="38"/>
  <c r="N230" i="50"/>
  <c r="N257" i="38"/>
  <c r="N156" i="38"/>
  <c r="N157" i="50"/>
  <c r="M335" i="38"/>
  <c r="M338" i="50"/>
  <c r="M294" i="50"/>
  <c r="L228" i="38"/>
  <c r="M329" i="41"/>
  <c r="M288" i="53"/>
  <c r="M292" i="41"/>
  <c r="I273" i="40"/>
  <c r="R116" i="55"/>
  <c r="R115" i="55"/>
  <c r="N166" i="41"/>
  <c r="M167" i="41"/>
  <c r="M168" i="53"/>
  <c r="M169" i="53"/>
  <c r="M14" i="38"/>
  <c r="L15" i="50"/>
  <c r="M14" i="40"/>
  <c r="L15" i="52"/>
  <c r="K433" i="38"/>
  <c r="L291" i="52"/>
  <c r="L332" i="40"/>
  <c r="L335" i="52"/>
  <c r="K368" i="50"/>
  <c r="K393" i="38"/>
  <c r="K396" i="50"/>
  <c r="K378" i="38"/>
  <c r="K381" i="50"/>
  <c r="H419" i="40"/>
  <c r="H422" i="52"/>
  <c r="H409" i="52"/>
  <c r="M220" i="38"/>
  <c r="M223" i="50"/>
  <c r="M215" i="50"/>
  <c r="M157" i="38"/>
  <c r="M158" i="50"/>
  <c r="M156" i="50"/>
  <c r="N172" i="41"/>
  <c r="M173" i="53"/>
  <c r="M334" i="38"/>
  <c r="M337" i="50"/>
  <c r="M293" i="50"/>
  <c r="N30" i="41"/>
  <c r="M31" i="41"/>
  <c r="M32" i="53"/>
  <c r="P38" i="38"/>
  <c r="O39" i="50"/>
  <c r="N287" i="41"/>
  <c r="N288" i="41"/>
  <c r="N290" i="41"/>
  <c r="N286" i="41"/>
  <c r="N289" i="41"/>
  <c r="N292" i="53"/>
  <c r="O284" i="41"/>
  <c r="N285" i="41"/>
  <c r="N291" i="41"/>
  <c r="I327" i="52"/>
  <c r="H405" i="41"/>
  <c r="H436" i="53"/>
  <c r="L332" i="53"/>
  <c r="L339" i="53"/>
  <c r="L336" i="41"/>
  <c r="L273" i="38"/>
  <c r="J260" i="52"/>
  <c r="J265" i="40"/>
  <c r="J268" i="52"/>
  <c r="J366" i="38"/>
  <c r="J397" i="50"/>
  <c r="L357" i="38"/>
  <c r="M338" i="38"/>
  <c r="L288" i="52"/>
  <c r="L329" i="40"/>
  <c r="L292" i="40"/>
  <c r="L159" i="38"/>
  <c r="I231" i="53"/>
  <c r="M260" i="50"/>
  <c r="M265" i="38"/>
  <c r="M268" i="50"/>
  <c r="J226" i="41"/>
  <c r="J229" i="53"/>
  <c r="J228" i="53"/>
  <c r="N287" i="38"/>
  <c r="N285" i="38"/>
  <c r="N291" i="38"/>
  <c r="O284" i="38"/>
  <c r="N286" i="38"/>
  <c r="N289" i="38"/>
  <c r="N292" i="50"/>
  <c r="N288" i="38"/>
  <c r="N290" i="38"/>
  <c r="N123" i="41"/>
  <c r="M124" i="53"/>
  <c r="S116" i="55"/>
  <c r="S115" i="55"/>
  <c r="M335" i="41"/>
  <c r="M338" i="53"/>
  <c r="M294" i="53"/>
  <c r="L169" i="50"/>
  <c r="I406" i="40"/>
  <c r="I437" i="52"/>
  <c r="N102" i="52"/>
  <c r="O101" i="40"/>
  <c r="L295" i="53"/>
  <c r="M172" i="40"/>
  <c r="L173" i="52"/>
  <c r="L327" i="50"/>
  <c r="L329" i="50"/>
  <c r="L326" i="38"/>
  <c r="L365" i="38"/>
  <c r="K397" i="38"/>
  <c r="K394" i="38"/>
  <c r="K375" i="38"/>
  <c r="K378" i="50"/>
  <c r="K374" i="38"/>
  <c r="K377" i="50"/>
  <c r="AR12" i="35"/>
  <c r="E16" i="48"/>
  <c r="I31" i="41"/>
  <c r="P44" i="33"/>
  <c r="J31" i="41"/>
  <c r="J32" i="53"/>
  <c r="F332" i="52"/>
  <c r="H329" i="41"/>
  <c r="H288" i="53"/>
  <c r="I168" i="40"/>
  <c r="H169" i="40"/>
  <c r="L120" i="41"/>
  <c r="S22" i="31"/>
  <c r="AC12" i="35"/>
  <c r="G39" i="31"/>
  <c r="AC39" i="31"/>
  <c r="AC44" i="31"/>
  <c r="R27" i="54"/>
  <c r="R93" i="48"/>
  <c r="AD55" i="32"/>
  <c r="G285" i="38"/>
  <c r="G39" i="32"/>
  <c r="H285" i="38"/>
  <c r="J40" i="31"/>
  <c r="AZ16" i="31"/>
  <c r="P38" i="31"/>
  <c r="P44" i="31"/>
  <c r="H76" i="33"/>
  <c r="H78" i="33"/>
  <c r="G109" i="52"/>
  <c r="K97" i="41"/>
  <c r="J108" i="41"/>
  <c r="I121" i="50"/>
  <c r="K7" i="50"/>
  <c r="K6" i="50"/>
  <c r="Q63" i="33"/>
  <c r="R50" i="33"/>
  <c r="S50" i="33"/>
  <c r="H109" i="33"/>
  <c r="J165" i="50"/>
  <c r="J31" i="50"/>
  <c r="J54" i="50"/>
  <c r="J75" i="50"/>
  <c r="J96" i="50"/>
  <c r="J117" i="50"/>
  <c r="J141" i="50"/>
  <c r="F20" i="48"/>
  <c r="E15" i="48"/>
  <c r="I55" i="40"/>
  <c r="H66" i="40"/>
  <c r="H56" i="40"/>
  <c r="G113" i="33"/>
  <c r="K239" i="53"/>
  <c r="I326" i="53"/>
  <c r="I320" i="53"/>
  <c r="I331" i="53"/>
  <c r="U3" i="31"/>
  <c r="U4" i="31"/>
  <c r="T4" i="31"/>
  <c r="F199" i="40"/>
  <c r="F183" i="52"/>
  <c r="F202" i="52"/>
  <c r="M2" i="53"/>
  <c r="M175" i="41"/>
  <c r="M176" i="53"/>
  <c r="M171" i="41"/>
  <c r="M79" i="41"/>
  <c r="M80" i="53"/>
  <c r="M58" i="41"/>
  <c r="M59" i="53"/>
  <c r="M239" i="41"/>
  <c r="M242" i="53"/>
  <c r="M100" i="41"/>
  <c r="M101" i="53"/>
  <c r="AH51" i="32"/>
  <c r="H27" i="48"/>
  <c r="H108" i="40"/>
  <c r="I97" i="40"/>
  <c r="I109" i="53"/>
  <c r="F187" i="52"/>
  <c r="K168" i="41"/>
  <c r="K177" i="41"/>
  <c r="O374" i="50"/>
  <c r="P362" i="50"/>
  <c r="J120" i="38"/>
  <c r="L8" i="50"/>
  <c r="L2" i="38"/>
  <c r="M7" i="38"/>
  <c r="L8" i="38"/>
  <c r="L9" i="50"/>
  <c r="L6" i="38"/>
  <c r="L3" i="38"/>
  <c r="L3" i="50"/>
  <c r="H111" i="33"/>
  <c r="P68" i="33"/>
  <c r="F77" i="33"/>
  <c r="F76" i="33"/>
  <c r="F22" i="48"/>
  <c r="F75" i="33"/>
  <c r="K177" i="53"/>
  <c r="R22" i="35"/>
  <c r="S21" i="35"/>
  <c r="N44" i="33"/>
  <c r="E110" i="33"/>
  <c r="I31" i="38"/>
  <c r="J31" i="38"/>
  <c r="T30" i="32"/>
  <c r="J40" i="32"/>
  <c r="AK52" i="32"/>
  <c r="T79" i="48"/>
  <c r="G67" i="52"/>
  <c r="I9" i="40"/>
  <c r="I178" i="53"/>
  <c r="I186" i="41"/>
  <c r="J178" i="53"/>
  <c r="J186" i="41"/>
  <c r="H74" i="39"/>
  <c r="I12" i="55"/>
  <c r="Q15" i="31"/>
  <c r="F180" i="52"/>
  <c r="F188" i="52"/>
  <c r="F187" i="40"/>
  <c r="E63" i="48"/>
  <c r="F94" i="33"/>
  <c r="I9" i="52"/>
  <c r="I10" i="52"/>
  <c r="F332" i="53"/>
  <c r="M7" i="53"/>
  <c r="M6" i="53"/>
  <c r="O44" i="33"/>
  <c r="O52" i="33"/>
  <c r="J31" i="40"/>
  <c r="J32" i="52"/>
  <c r="I31" i="40"/>
  <c r="I32" i="40"/>
  <c r="BA26" i="31"/>
  <c r="BA33" i="31"/>
  <c r="BA78" i="31"/>
  <c r="BA66" i="31"/>
  <c r="BA48" i="31"/>
  <c r="BA73" i="31"/>
  <c r="AI15" i="35"/>
  <c r="AQ14" i="35"/>
  <c r="H77" i="33"/>
  <c r="H79" i="33"/>
  <c r="J58" i="40"/>
  <c r="J59" i="52"/>
  <c r="J79" i="40"/>
  <c r="J80" i="52"/>
  <c r="J2" i="52"/>
  <c r="J171" i="40"/>
  <c r="J100" i="40"/>
  <c r="J101" i="52"/>
  <c r="K2" i="40"/>
  <c r="J175" i="40"/>
  <c r="J176" i="52"/>
  <c r="J239" i="40"/>
  <c r="J242" i="52"/>
  <c r="F286" i="38"/>
  <c r="P58" i="48"/>
  <c r="G8" i="32"/>
  <c r="K3" i="50"/>
  <c r="J41" i="31"/>
  <c r="BA41" i="31"/>
  <c r="BA44" i="31"/>
  <c r="BA17" i="31"/>
  <c r="M11" i="31"/>
  <c r="V411" i="41"/>
  <c r="W399" i="41"/>
  <c r="V419" i="41"/>
  <c r="V422" i="53"/>
  <c r="U359" i="38"/>
  <c r="T371" i="38"/>
  <c r="T379" i="38"/>
  <c r="T382" i="50"/>
  <c r="T399" i="40"/>
  <c r="S411" i="40"/>
  <c r="S419" i="40"/>
  <c r="S422" i="52"/>
  <c r="J33" i="54"/>
  <c r="AY39" i="43"/>
  <c r="T58" i="48"/>
  <c r="F286" i="41"/>
  <c r="L317" i="41"/>
  <c r="M294" i="41"/>
  <c r="L328" i="41"/>
  <c r="L323" i="41"/>
  <c r="G320" i="50"/>
  <c r="G331" i="50"/>
  <c r="G326" i="50"/>
  <c r="G288" i="52"/>
  <c r="G329" i="40"/>
  <c r="AF4" i="43"/>
  <c r="AG1" i="43"/>
  <c r="S75" i="40"/>
  <c r="S76" i="52"/>
  <c r="S77" i="52"/>
  <c r="T74" i="40"/>
  <c r="H318" i="50"/>
  <c r="H341" i="50"/>
  <c r="H360" i="50"/>
  <c r="H400" i="50"/>
  <c r="H297" i="50"/>
  <c r="L165" i="53"/>
  <c r="L54" i="53"/>
  <c r="L31" i="53"/>
  <c r="L75" i="53"/>
  <c r="L96" i="53"/>
  <c r="L117" i="53"/>
  <c r="L141" i="53"/>
  <c r="BC3" i="31"/>
  <c r="BC4" i="31"/>
  <c r="BC22" i="31"/>
  <c r="BB4" i="31"/>
  <c r="BB22" i="31"/>
  <c r="J173" i="38"/>
  <c r="J176" i="38"/>
  <c r="J172" i="50"/>
  <c r="J174" i="50"/>
  <c r="R48" i="31"/>
  <c r="R73" i="31"/>
  <c r="R66" i="31"/>
  <c r="R33" i="31"/>
  <c r="R78" i="31"/>
  <c r="R26" i="31"/>
  <c r="I76" i="40"/>
  <c r="H87" i="40"/>
  <c r="P79" i="48"/>
  <c r="R30" i="32"/>
  <c r="AI52" i="32"/>
  <c r="H40" i="32"/>
  <c r="G30" i="32"/>
  <c r="O374" i="52"/>
  <c r="P362" i="52"/>
  <c r="N30" i="38"/>
  <c r="M31" i="38"/>
  <c r="M32" i="50"/>
  <c r="M61" i="33"/>
  <c r="G35" i="31"/>
  <c r="Y35" i="31"/>
  <c r="Y44" i="31"/>
  <c r="I109" i="50"/>
  <c r="L22" i="54"/>
  <c r="K24" i="54"/>
  <c r="K32" i="54"/>
  <c r="E111" i="33"/>
  <c r="N68" i="33"/>
  <c r="M68" i="33"/>
  <c r="E26" i="48"/>
  <c r="M95" i="38"/>
  <c r="L96" i="38"/>
  <c r="P100" i="48"/>
  <c r="Q29" i="32"/>
  <c r="H177" i="40"/>
  <c r="H177" i="52"/>
  <c r="K20" i="33"/>
  <c r="AU4" i="43"/>
  <c r="F288" i="50"/>
  <c r="F329" i="38"/>
  <c r="M399" i="38"/>
  <c r="L411" i="38"/>
  <c r="N2" i="42"/>
  <c r="M47" i="42"/>
  <c r="M1" i="42"/>
  <c r="P362" i="53"/>
  <c r="O374" i="53"/>
  <c r="I287" i="50"/>
  <c r="I285" i="50"/>
  <c r="I235" i="50"/>
  <c r="I167" i="50"/>
  <c r="I213" i="50"/>
  <c r="P59" i="40"/>
  <c r="O60" i="52"/>
  <c r="N234" i="41"/>
  <c r="M235" i="41"/>
  <c r="G88" i="52"/>
  <c r="K167" i="53"/>
  <c r="K287" i="53"/>
  <c r="K285" i="53"/>
  <c r="K213" i="53"/>
  <c r="K235" i="53"/>
  <c r="L76" i="38"/>
  <c r="K87" i="38"/>
  <c r="J108" i="38"/>
  <c r="K97" i="38"/>
  <c r="L172" i="53"/>
  <c r="L174" i="53"/>
  <c r="L173" i="41"/>
  <c r="L176" i="41"/>
  <c r="F87" i="33"/>
  <c r="E62" i="48"/>
  <c r="L236" i="41"/>
  <c r="K247" i="41"/>
  <c r="I120" i="40"/>
  <c r="AB14" i="35"/>
  <c r="T15" i="35"/>
  <c r="G57" i="52"/>
  <c r="G61" i="40"/>
  <c r="H288" i="52"/>
  <c r="H329" i="40"/>
  <c r="G250" i="52"/>
  <c r="I177" i="50"/>
  <c r="I177" i="38"/>
  <c r="H258" i="50"/>
  <c r="H237" i="50"/>
  <c r="J318" i="53"/>
  <c r="J341" i="53"/>
  <c r="J360" i="53"/>
  <c r="J400" i="53"/>
  <c r="J297" i="53"/>
  <c r="P117" i="40"/>
  <c r="P118" i="52"/>
  <c r="Q116" i="40"/>
  <c r="L238" i="53"/>
  <c r="H40" i="31"/>
  <c r="G16" i="31"/>
  <c r="AD16" i="31"/>
  <c r="T95" i="40"/>
  <c r="S96" i="40"/>
  <c r="J88" i="50"/>
  <c r="K58" i="38"/>
  <c r="K59" i="50"/>
  <c r="K79" i="38"/>
  <c r="K80" i="50"/>
  <c r="K239" i="38"/>
  <c r="K242" i="50"/>
  <c r="K2" i="50"/>
  <c r="K175" i="38"/>
  <c r="K176" i="50"/>
  <c r="K171" i="38"/>
  <c r="K100" i="38"/>
  <c r="K101" i="50"/>
  <c r="M414" i="52"/>
  <c r="N402" i="52"/>
  <c r="M11" i="35"/>
  <c r="J66" i="38"/>
  <c r="K55" i="38"/>
  <c r="M414" i="50"/>
  <c r="N402" i="50"/>
  <c r="J250" i="53"/>
  <c r="M80" i="41"/>
  <c r="L81" i="53"/>
  <c r="O7" i="41"/>
  <c r="N8" i="41"/>
  <c r="N9" i="53"/>
  <c r="N2" i="41"/>
  <c r="N6" i="41"/>
  <c r="N8" i="53"/>
  <c r="N3" i="41"/>
  <c r="N3" i="53"/>
  <c r="J237" i="53"/>
  <c r="J258" i="53"/>
  <c r="F205" i="40"/>
  <c r="F189" i="40"/>
  <c r="F191" i="52"/>
  <c r="F197" i="40"/>
  <c r="F199" i="52"/>
  <c r="F193" i="40"/>
  <c r="F195" i="52"/>
  <c r="F190" i="40"/>
  <c r="F192" i="52"/>
  <c r="F195" i="40"/>
  <c r="F197" i="52"/>
  <c r="F192" i="40"/>
  <c r="F194" i="52"/>
  <c r="F183" i="40"/>
  <c r="F194" i="40"/>
  <c r="F196" i="52"/>
  <c r="F191" i="40"/>
  <c r="F193" i="52"/>
  <c r="G243" i="40"/>
  <c r="G246" i="52"/>
  <c r="G245" i="52"/>
  <c r="M126" i="28"/>
  <c r="K121" i="53"/>
  <c r="I236" i="40"/>
  <c r="H247" i="40"/>
  <c r="H237" i="40"/>
  <c r="H242" i="40"/>
  <c r="H178" i="50"/>
  <c r="H186" i="38"/>
  <c r="I3" i="52"/>
  <c r="J3" i="40"/>
  <c r="H19" i="48"/>
  <c r="E19" i="48"/>
  <c r="O118" i="52"/>
  <c r="I121" i="52"/>
  <c r="M402" i="53"/>
  <c r="L414" i="53"/>
  <c r="G178" i="52"/>
  <c r="G186" i="40"/>
  <c r="I172" i="52"/>
  <c r="I174" i="52"/>
  <c r="I173" i="40"/>
  <c r="I176" i="40"/>
  <c r="I239" i="52"/>
  <c r="H240" i="52"/>
  <c r="O28" i="54"/>
  <c r="N30" i="54"/>
  <c r="AH41" i="35"/>
  <c r="AG42" i="35"/>
  <c r="I67" i="50"/>
  <c r="E17" i="48"/>
  <c r="G288" i="53"/>
  <c r="G329" i="41"/>
  <c r="O359" i="40"/>
  <c r="N371" i="40"/>
  <c r="G170" i="52"/>
  <c r="G182" i="40"/>
  <c r="G179" i="40"/>
  <c r="F62" i="52"/>
  <c r="F62" i="40"/>
  <c r="F63" i="52"/>
  <c r="J231" i="53"/>
  <c r="S95" i="41"/>
  <c r="R96" i="41"/>
  <c r="R97" i="53"/>
  <c r="R98" i="53"/>
  <c r="P116" i="38"/>
  <c r="O117" i="38"/>
  <c r="O118" i="50"/>
  <c r="H379" i="41"/>
  <c r="H382" i="53"/>
  <c r="H369" i="53"/>
  <c r="Q59" i="38"/>
  <c r="P60" i="50"/>
  <c r="J385" i="41"/>
  <c r="J388" i="53"/>
  <c r="J397" i="41"/>
  <c r="J374" i="41"/>
  <c r="J377" i="53"/>
  <c r="J375" i="41"/>
  <c r="J378" i="53"/>
  <c r="J394" i="41"/>
  <c r="I425" i="41"/>
  <c r="I428" i="53"/>
  <c r="I434" i="41"/>
  <c r="I414" i="41"/>
  <c r="I417" i="53"/>
  <c r="I415" i="41"/>
  <c r="I418" i="53"/>
  <c r="I394" i="53"/>
  <c r="I431" i="41"/>
  <c r="I434" i="53"/>
  <c r="L168" i="38"/>
  <c r="L338" i="41"/>
  <c r="K357" i="41"/>
  <c r="H406" i="41"/>
  <c r="H437" i="53"/>
  <c r="N124" i="40"/>
  <c r="M125" i="52"/>
  <c r="N294" i="38"/>
  <c r="M328" i="38"/>
  <c r="M317" i="38"/>
  <c r="M323" i="38"/>
  <c r="G419" i="41"/>
  <c r="G422" i="53"/>
  <c r="G409" i="53"/>
  <c r="I366" i="41"/>
  <c r="I397" i="53"/>
  <c r="M74" i="41"/>
  <c r="L75" i="41"/>
  <c r="L76" i="53"/>
  <c r="L77" i="53"/>
  <c r="J320" i="52"/>
  <c r="J331" i="52"/>
  <c r="J326" i="52"/>
  <c r="K297" i="52"/>
  <c r="K318" i="52"/>
  <c r="K341" i="52"/>
  <c r="K360" i="52"/>
  <c r="K400" i="52"/>
  <c r="N15" i="41"/>
  <c r="M16" i="53"/>
  <c r="M159" i="38"/>
  <c r="I329" i="52"/>
  <c r="J159" i="40"/>
  <c r="N7" i="52"/>
  <c r="N6" i="52"/>
  <c r="J160" i="53"/>
  <c r="J41" i="54"/>
  <c r="J60" i="54"/>
  <c r="J69" i="54"/>
  <c r="M31" i="52"/>
  <c r="M54" i="52"/>
  <c r="M75" i="52"/>
  <c r="M96" i="52"/>
  <c r="M117" i="52"/>
  <c r="M141" i="52"/>
  <c r="M165" i="52"/>
  <c r="K258" i="52"/>
  <c r="K237" i="52"/>
  <c r="L235" i="52"/>
  <c r="L213" i="52"/>
  <c r="L167" i="52"/>
  <c r="L287" i="52"/>
  <c r="L285" i="52"/>
  <c r="Q117" i="41"/>
  <c r="Q118" i="53"/>
  <c r="R116" i="41"/>
  <c r="L247" i="38"/>
  <c r="L250" i="50"/>
  <c r="M236" i="38"/>
  <c r="N101" i="38"/>
  <c r="M102" i="50"/>
  <c r="I326" i="41"/>
  <c r="I365" i="41"/>
  <c r="I393" i="41"/>
  <c r="I396" i="53"/>
  <c r="L7" i="47"/>
  <c r="L31" i="47"/>
  <c r="L4" i="47"/>
  <c r="L28" i="47"/>
  <c r="M3" i="47"/>
  <c r="K21" i="54"/>
  <c r="K38" i="54"/>
  <c r="L6" i="47"/>
  <c r="L30" i="47"/>
  <c r="L5" i="47"/>
  <c r="L29" i="47"/>
  <c r="L27" i="47"/>
  <c r="L295" i="52"/>
  <c r="J87" i="41"/>
  <c r="J88" i="53"/>
  <c r="K76" i="41"/>
  <c r="P55" i="50"/>
  <c r="P56" i="50"/>
  <c r="O102" i="53"/>
  <c r="P101" i="41"/>
  <c r="R53" i="38"/>
  <c r="Q54" i="38"/>
  <c r="N235" i="38"/>
  <c r="N238" i="50"/>
  <c r="O234" i="38"/>
  <c r="O6" i="40"/>
  <c r="P7" i="40"/>
  <c r="O8" i="52"/>
  <c r="O8" i="40"/>
  <c r="O9" i="52"/>
  <c r="J369" i="50"/>
  <c r="J379" i="38"/>
  <c r="J382" i="50"/>
  <c r="J274" i="53"/>
  <c r="J276" i="53"/>
  <c r="J325" i="41"/>
  <c r="J328" i="53"/>
  <c r="I378" i="41"/>
  <c r="I381" i="53"/>
  <c r="I368" i="53"/>
  <c r="M334" i="40"/>
  <c r="M337" i="52"/>
  <c r="M293" i="52"/>
  <c r="H9" i="55"/>
  <c r="I9" i="55"/>
  <c r="L378" i="38"/>
  <c r="L381" i="50"/>
  <c r="L368" i="50"/>
  <c r="L393" i="38"/>
  <c r="L396" i="50"/>
  <c r="I409" i="52"/>
  <c r="I419" i="40"/>
  <c r="I422" i="52"/>
  <c r="O123" i="41"/>
  <c r="N124" i="53"/>
  <c r="N334" i="38"/>
  <c r="N337" i="50"/>
  <c r="N293" i="50"/>
  <c r="J228" i="41"/>
  <c r="L332" i="52"/>
  <c r="L339" i="52"/>
  <c r="L336" i="40"/>
  <c r="I326" i="40"/>
  <c r="I365" i="40"/>
  <c r="N332" i="41"/>
  <c r="N335" i="53"/>
  <c r="N291" i="53"/>
  <c r="M160" i="50"/>
  <c r="N143" i="50"/>
  <c r="N150" i="38"/>
  <c r="N151" i="50"/>
  <c r="J228" i="40"/>
  <c r="K143" i="53"/>
  <c r="K150" i="41"/>
  <c r="K151" i="53"/>
  <c r="K273" i="53"/>
  <c r="K271" i="41"/>
  <c r="K273" i="41"/>
  <c r="K324" i="41"/>
  <c r="J274" i="52"/>
  <c r="J276" i="52"/>
  <c r="J325" i="40"/>
  <c r="J328" i="52"/>
  <c r="O38" i="50"/>
  <c r="P37" i="38"/>
  <c r="J159" i="41"/>
  <c r="R59" i="41"/>
  <c r="Q60" i="53"/>
  <c r="I329" i="53"/>
  <c r="N243" i="53"/>
  <c r="O240" i="41"/>
  <c r="N15" i="40"/>
  <c r="M16" i="52"/>
  <c r="K226" i="40"/>
  <c r="K229" i="52"/>
  <c r="K228" i="52"/>
  <c r="H378" i="40"/>
  <c r="H381" i="52"/>
  <c r="H393" i="40"/>
  <c r="H396" i="52"/>
  <c r="H368" i="52"/>
  <c r="N334" i="41"/>
  <c r="N337" i="53"/>
  <c r="N293" i="53"/>
  <c r="N14" i="40"/>
  <c r="M15" i="52"/>
  <c r="M81" i="50"/>
  <c r="N80" i="38"/>
  <c r="O124" i="38"/>
  <c r="N125" i="50"/>
  <c r="M243" i="52"/>
  <c r="N240" i="40"/>
  <c r="N332" i="38"/>
  <c r="N335" i="50"/>
  <c r="N291" i="50"/>
  <c r="N331" i="41"/>
  <c r="N334" i="53"/>
  <c r="N290" i="53"/>
  <c r="N173" i="53"/>
  <c r="O172" i="41"/>
  <c r="M15" i="50"/>
  <c r="N14" i="38"/>
  <c r="N220" i="38"/>
  <c r="N223" i="50"/>
  <c r="N215" i="50"/>
  <c r="J231" i="52"/>
  <c r="M295" i="53"/>
  <c r="O75" i="38"/>
  <c r="P74" i="38"/>
  <c r="N123" i="38"/>
  <c r="M124" i="50"/>
  <c r="N124" i="41"/>
  <c r="M125" i="53"/>
  <c r="K55" i="53"/>
  <c r="J327" i="52"/>
  <c r="J369" i="52"/>
  <c r="J379" i="40"/>
  <c r="J382" i="52"/>
  <c r="K150" i="40"/>
  <c r="K151" i="52"/>
  <c r="K143" i="52"/>
  <c r="K265" i="40"/>
  <c r="K268" i="52"/>
  <c r="K260" i="52"/>
  <c r="K55" i="41"/>
  <c r="J66" i="41"/>
  <c r="J67" i="53"/>
  <c r="M289" i="52"/>
  <c r="M330" i="40"/>
  <c r="M333" i="52"/>
  <c r="H418" i="41"/>
  <c r="H421" i="53"/>
  <c r="H408" i="53"/>
  <c r="M357" i="38"/>
  <c r="N338" i="38"/>
  <c r="L433" i="38"/>
  <c r="N335" i="41"/>
  <c r="N338" i="53"/>
  <c r="N294" i="53"/>
  <c r="M332" i="53"/>
  <c r="M339" i="53"/>
  <c r="M336" i="41"/>
  <c r="N226" i="38"/>
  <c r="N229" i="50"/>
  <c r="N228" i="50"/>
  <c r="M15" i="53"/>
  <c r="N14" i="41"/>
  <c r="H378" i="41"/>
  <c r="H381" i="53"/>
  <c r="H368" i="53"/>
  <c r="H393" i="41"/>
  <c r="H396" i="53"/>
  <c r="N37" i="41"/>
  <c r="M38" i="53"/>
  <c r="K260" i="53"/>
  <c r="K265" i="41"/>
  <c r="K268" i="53"/>
  <c r="N76" i="50"/>
  <c r="M53" i="41"/>
  <c r="L54" i="41"/>
  <c r="K434" i="40"/>
  <c r="K415" i="40"/>
  <c r="K418" i="52"/>
  <c r="K414" i="40"/>
  <c r="K417" i="52"/>
  <c r="M38" i="52"/>
  <c r="N37" i="40"/>
  <c r="O240" i="38"/>
  <c r="N243" i="50"/>
  <c r="T114" i="55"/>
  <c r="Q114" i="55"/>
  <c r="T113" i="55"/>
  <c r="Q113" i="55"/>
  <c r="M16" i="50"/>
  <c r="N15" i="38"/>
  <c r="M292" i="40"/>
  <c r="M329" i="40"/>
  <c r="M288" i="52"/>
  <c r="B18" i="35"/>
  <c r="C17" i="35"/>
  <c r="K215" i="53"/>
  <c r="K220" i="41"/>
  <c r="K223" i="53"/>
  <c r="H20" i="48"/>
  <c r="N172" i="40"/>
  <c r="M173" i="52"/>
  <c r="N330" i="38"/>
  <c r="N333" i="50"/>
  <c r="N289" i="50"/>
  <c r="L394" i="38"/>
  <c r="L397" i="38"/>
  <c r="L434" i="38"/>
  <c r="L406" i="38"/>
  <c r="N288" i="53"/>
  <c r="N329" i="41"/>
  <c r="N292" i="41"/>
  <c r="P39" i="50"/>
  <c r="Q38" i="38"/>
  <c r="O166" i="41"/>
  <c r="N167" i="41"/>
  <c r="N168" i="53"/>
  <c r="N169" i="53"/>
  <c r="N157" i="38"/>
  <c r="N158" i="50"/>
  <c r="N156" i="50"/>
  <c r="L397" i="40"/>
  <c r="L374" i="40"/>
  <c r="L377" i="52"/>
  <c r="L394" i="40"/>
  <c r="L375" i="40"/>
  <c r="L378" i="52"/>
  <c r="K156" i="53"/>
  <c r="K157" i="41"/>
  <c r="K158" i="53"/>
  <c r="K366" i="40"/>
  <c r="K397" i="52"/>
  <c r="J160" i="52"/>
  <c r="M295" i="50"/>
  <c r="O38" i="41"/>
  <c r="N39" i="53"/>
  <c r="J437" i="50"/>
  <c r="J406" i="38"/>
  <c r="K220" i="40"/>
  <c r="K223" i="52"/>
  <c r="K215" i="52"/>
  <c r="M332" i="40"/>
  <c r="M335" i="52"/>
  <c r="M291" i="52"/>
  <c r="O291" i="38"/>
  <c r="O289" i="38"/>
  <c r="O292" i="50"/>
  <c r="O287" i="38"/>
  <c r="O288" i="38"/>
  <c r="P284" i="38"/>
  <c r="O286" i="38"/>
  <c r="O290" i="38"/>
  <c r="O285" i="38"/>
  <c r="O291" i="41"/>
  <c r="O285" i="41"/>
  <c r="O288" i="41"/>
  <c r="O290" i="41"/>
  <c r="P284" i="41"/>
  <c r="O286" i="41"/>
  <c r="O289" i="41"/>
  <c r="O292" i="53"/>
  <c r="O287" i="41"/>
  <c r="K436" i="50"/>
  <c r="K405" i="38"/>
  <c r="Q115" i="55"/>
  <c r="Q116" i="55"/>
  <c r="N324" i="38"/>
  <c r="N273" i="50"/>
  <c r="N271" i="38"/>
  <c r="M357" i="40"/>
  <c r="N338" i="40"/>
  <c r="M140" i="41"/>
  <c r="L156" i="41"/>
  <c r="L157" i="53"/>
  <c r="L142" i="41"/>
  <c r="L212" i="41"/>
  <c r="L257" i="41"/>
  <c r="M124" i="52"/>
  <c r="N123" i="40"/>
  <c r="I419" i="38"/>
  <c r="I422" i="50"/>
  <c r="I409" i="50"/>
  <c r="L328" i="40"/>
  <c r="L317" i="40"/>
  <c r="M294" i="40"/>
  <c r="L323" i="40"/>
  <c r="N172" i="38"/>
  <c r="M173" i="50"/>
  <c r="K56" i="53"/>
  <c r="K273" i="52"/>
  <c r="K324" i="40"/>
  <c r="K271" i="40"/>
  <c r="K273" i="40"/>
  <c r="M39" i="52"/>
  <c r="N38" i="40"/>
  <c r="M294" i="52"/>
  <c r="M335" i="40"/>
  <c r="M338" i="52"/>
  <c r="N331" i="38"/>
  <c r="N334" i="50"/>
  <c r="N290" i="50"/>
  <c r="M274" i="50"/>
  <c r="M276" i="50"/>
  <c r="M325" i="38"/>
  <c r="M328" i="50"/>
  <c r="K366" i="38"/>
  <c r="K397" i="50"/>
  <c r="P101" i="40"/>
  <c r="O102" i="52"/>
  <c r="N335" i="38"/>
  <c r="N338" i="50"/>
  <c r="N294" i="50"/>
  <c r="N31" i="41"/>
  <c r="N32" i="53"/>
  <c r="O30" i="41"/>
  <c r="N260" i="50"/>
  <c r="N265" i="38"/>
  <c r="N268" i="50"/>
  <c r="N77" i="50"/>
  <c r="J273" i="41"/>
  <c r="J406" i="40"/>
  <c r="J437" i="52"/>
  <c r="M336" i="38"/>
  <c r="M332" i="50"/>
  <c r="M339" i="50"/>
  <c r="M273" i="38"/>
  <c r="M231" i="50"/>
  <c r="M331" i="40"/>
  <c r="M334" i="52"/>
  <c r="M290" i="52"/>
  <c r="L155" i="40"/>
  <c r="L272" i="40"/>
  <c r="L275" i="52"/>
  <c r="M140" i="40"/>
  <c r="L257" i="40"/>
  <c r="L158" i="40"/>
  <c r="L159" i="52"/>
  <c r="L156" i="40"/>
  <c r="L157" i="52"/>
  <c r="L227" i="40"/>
  <c r="L230" i="52"/>
  <c r="L270" i="40"/>
  <c r="L225" i="40"/>
  <c r="L142" i="40"/>
  <c r="L212" i="40"/>
  <c r="K414" i="38"/>
  <c r="K417" i="50"/>
  <c r="K415" i="38"/>
  <c r="K418" i="50"/>
  <c r="K434" i="38"/>
  <c r="N288" i="50"/>
  <c r="N329" i="38"/>
  <c r="N292" i="38"/>
  <c r="N289" i="53"/>
  <c r="N330" i="41"/>
  <c r="N333" i="53"/>
  <c r="T116" i="55"/>
  <c r="T115" i="55"/>
  <c r="P140" i="38"/>
  <c r="O257" i="38"/>
  <c r="O270" i="38"/>
  <c r="O212" i="38"/>
  <c r="O158" i="38"/>
  <c r="O159" i="50"/>
  <c r="O156" i="38"/>
  <c r="O157" i="50"/>
  <c r="O272" i="38"/>
  <c r="O275" i="50"/>
  <c r="O225" i="38"/>
  <c r="O155" i="38"/>
  <c r="O142" i="38"/>
  <c r="O227" i="38"/>
  <c r="O230" i="50"/>
  <c r="K228" i="53"/>
  <c r="K226" i="41"/>
  <c r="K229" i="53"/>
  <c r="H408" i="52"/>
  <c r="H418" i="40"/>
  <c r="H421" i="52"/>
  <c r="J327" i="53"/>
  <c r="M167" i="38"/>
  <c r="M168" i="50"/>
  <c r="M169" i="50"/>
  <c r="N166" i="38"/>
  <c r="M327" i="50"/>
  <c r="M228" i="38"/>
  <c r="K157" i="40"/>
  <c r="K158" i="52"/>
  <c r="K156" i="52"/>
  <c r="N80" i="40"/>
  <c r="M81" i="52"/>
  <c r="N289" i="40"/>
  <c r="N292" i="52"/>
  <c r="N286" i="40"/>
  <c r="O284" i="40"/>
  <c r="N285" i="40"/>
  <c r="N291" i="40"/>
  <c r="N288" i="40"/>
  <c r="N290" i="40"/>
  <c r="N287" i="40"/>
  <c r="J32" i="40"/>
  <c r="I35" i="40"/>
  <c r="G332" i="53"/>
  <c r="J187" i="53"/>
  <c r="M3" i="38"/>
  <c r="M3" i="50"/>
  <c r="M8" i="50"/>
  <c r="M8" i="38"/>
  <c r="M9" i="50"/>
  <c r="M6" i="38"/>
  <c r="M2" i="38"/>
  <c r="N7" i="38"/>
  <c r="J3" i="52"/>
  <c r="K3" i="40"/>
  <c r="H245" i="52"/>
  <c r="H243" i="40"/>
  <c r="H246" i="52"/>
  <c r="N2" i="53"/>
  <c r="N100" i="41"/>
  <c r="N101" i="53"/>
  <c r="N58" i="41"/>
  <c r="N59" i="53"/>
  <c r="N171" i="41"/>
  <c r="N79" i="41"/>
  <c r="N80" i="53"/>
  <c r="N175" i="41"/>
  <c r="N176" i="53"/>
  <c r="N239" i="41"/>
  <c r="N242" i="53"/>
  <c r="N80" i="41"/>
  <c r="M81" i="53"/>
  <c r="J326" i="53"/>
  <c r="J320" i="53"/>
  <c r="J331" i="53"/>
  <c r="L177" i="53"/>
  <c r="K108" i="38"/>
  <c r="L97" i="38"/>
  <c r="K88" i="50"/>
  <c r="K297" i="53"/>
  <c r="K318" i="53"/>
  <c r="K341" i="53"/>
  <c r="K360" i="53"/>
  <c r="K400" i="53"/>
  <c r="Q362" i="53"/>
  <c r="P374" i="53"/>
  <c r="H286" i="38"/>
  <c r="G286" i="38"/>
  <c r="G40" i="32"/>
  <c r="X399" i="41"/>
  <c r="W411" i="41"/>
  <c r="W419" i="41"/>
  <c r="W422" i="53"/>
  <c r="P207" i="33"/>
  <c r="J20" i="32"/>
  <c r="P67" i="33"/>
  <c r="M165" i="53"/>
  <c r="M31" i="53"/>
  <c r="M54" i="53"/>
  <c r="M75" i="53"/>
  <c r="M96" i="53"/>
  <c r="M117" i="53"/>
  <c r="M141" i="53"/>
  <c r="E118" i="48"/>
  <c r="J32" i="50"/>
  <c r="L2" i="50"/>
  <c r="L171" i="38"/>
  <c r="L79" i="38"/>
  <c r="L80" i="50"/>
  <c r="L175" i="38"/>
  <c r="L176" i="50"/>
  <c r="L239" i="38"/>
  <c r="L242" i="50"/>
  <c r="L100" i="38"/>
  <c r="L101" i="50"/>
  <c r="L58" i="38"/>
  <c r="L59" i="50"/>
  <c r="L168" i="41"/>
  <c r="L177" i="41"/>
  <c r="R51" i="33"/>
  <c r="S51" i="33"/>
  <c r="G288" i="50"/>
  <c r="G329" i="38"/>
  <c r="P28" i="54"/>
  <c r="O30" i="54"/>
  <c r="AH52" i="32"/>
  <c r="H331" i="50"/>
  <c r="H326" i="50"/>
  <c r="H320" i="50"/>
  <c r="G180" i="52"/>
  <c r="G188" i="52"/>
  <c r="G187" i="40"/>
  <c r="J239" i="52"/>
  <c r="I240" i="52"/>
  <c r="G180" i="40"/>
  <c r="H250" i="52"/>
  <c r="H332" i="52"/>
  <c r="F109" i="33"/>
  <c r="F62" i="48"/>
  <c r="J109" i="50"/>
  <c r="L87" i="38"/>
  <c r="M76" i="38"/>
  <c r="K33" i="54"/>
  <c r="M35" i="31"/>
  <c r="M44" i="31"/>
  <c r="U74" i="40"/>
  <c r="T75" i="40"/>
  <c r="G332" i="52"/>
  <c r="F63" i="48"/>
  <c r="I32" i="50"/>
  <c r="I32" i="38"/>
  <c r="R23" i="35"/>
  <c r="S22" i="35"/>
  <c r="E75" i="33"/>
  <c r="F78" i="33"/>
  <c r="F74" i="48"/>
  <c r="F79" i="33"/>
  <c r="E74" i="48"/>
  <c r="L7" i="50"/>
  <c r="L6" i="50"/>
  <c r="I42" i="31"/>
  <c r="AQ42" i="31"/>
  <c r="AQ44" i="31"/>
  <c r="AQ18" i="31"/>
  <c r="T96" i="40"/>
  <c r="U95" i="40"/>
  <c r="N1" i="42"/>
  <c r="N47" i="42"/>
  <c r="O2" i="42"/>
  <c r="N31" i="38"/>
  <c r="N32" i="50"/>
  <c r="O30" i="38"/>
  <c r="G199" i="40"/>
  <c r="G183" i="52"/>
  <c r="G202" i="52"/>
  <c r="I177" i="52"/>
  <c r="I177" i="40"/>
  <c r="I247" i="40"/>
  <c r="J236" i="40"/>
  <c r="I237" i="40"/>
  <c r="I242" i="40"/>
  <c r="O8" i="53"/>
  <c r="P7" i="41"/>
  <c r="O8" i="41"/>
  <c r="O9" i="53"/>
  <c r="O2" i="41"/>
  <c r="O6" i="41"/>
  <c r="O3" i="41"/>
  <c r="O3" i="53"/>
  <c r="M22" i="54"/>
  <c r="L24" i="54"/>
  <c r="L32" i="54"/>
  <c r="P101" i="48"/>
  <c r="Q30" i="32"/>
  <c r="H88" i="52"/>
  <c r="E22" i="48"/>
  <c r="E27" i="48"/>
  <c r="F27" i="48"/>
  <c r="F181" i="52"/>
  <c r="H35" i="40"/>
  <c r="J213" i="50"/>
  <c r="J287" i="50"/>
  <c r="J285" i="50"/>
  <c r="J235" i="50"/>
  <c r="J167" i="50"/>
  <c r="M62" i="33"/>
  <c r="J109" i="53"/>
  <c r="AZ40" i="31"/>
  <c r="AZ44" i="31"/>
  <c r="S27" i="54"/>
  <c r="Q39" i="31"/>
  <c r="Q44" i="31"/>
  <c r="H332" i="53"/>
  <c r="L247" i="41"/>
  <c r="M236" i="41"/>
  <c r="L437" i="50"/>
  <c r="J168" i="40"/>
  <c r="I169" i="40"/>
  <c r="G187" i="52"/>
  <c r="G62" i="52"/>
  <c r="G62" i="40"/>
  <c r="G63" i="52"/>
  <c r="M238" i="53"/>
  <c r="P374" i="52"/>
  <c r="Q362" i="52"/>
  <c r="I87" i="40"/>
  <c r="J76" i="40"/>
  <c r="J177" i="38"/>
  <c r="J177" i="50"/>
  <c r="F330" i="41"/>
  <c r="F289" i="53"/>
  <c r="V359" i="38"/>
  <c r="U371" i="38"/>
  <c r="U379" i="38"/>
  <c r="U382" i="50"/>
  <c r="K100" i="40"/>
  <c r="K101" i="52"/>
  <c r="K171" i="40"/>
  <c r="K2" i="52"/>
  <c r="K79" i="40"/>
  <c r="K80" i="52"/>
  <c r="K58" i="40"/>
  <c r="K59" i="52"/>
  <c r="L2" i="40"/>
  <c r="K239" i="40"/>
  <c r="K242" i="52"/>
  <c r="K175" i="40"/>
  <c r="K176" i="52"/>
  <c r="M44" i="33"/>
  <c r="S44" i="33"/>
  <c r="E76" i="33"/>
  <c r="N43" i="33"/>
  <c r="I8" i="38"/>
  <c r="J8" i="38"/>
  <c r="I41" i="31"/>
  <c r="AP17" i="31"/>
  <c r="K120" i="38"/>
  <c r="F189" i="52"/>
  <c r="K75" i="50"/>
  <c r="K96" i="50"/>
  <c r="K117" i="50"/>
  <c r="K141" i="50"/>
  <c r="K31" i="50"/>
  <c r="K165" i="50"/>
  <c r="K54" i="50"/>
  <c r="K108" i="41"/>
  <c r="L97" i="41"/>
  <c r="I32" i="53"/>
  <c r="I32" i="41"/>
  <c r="U399" i="40"/>
  <c r="T419" i="40"/>
  <c r="T422" i="52"/>
  <c r="T411" i="40"/>
  <c r="H187" i="50"/>
  <c r="O402" i="50"/>
  <c r="N414" i="50"/>
  <c r="K66" i="38"/>
  <c r="L55" i="38"/>
  <c r="J120" i="40"/>
  <c r="N235" i="41"/>
  <c r="O234" i="41"/>
  <c r="L97" i="50"/>
  <c r="L98" i="50"/>
  <c r="H41" i="31"/>
  <c r="G17" i="31"/>
  <c r="AE17" i="31"/>
  <c r="BB48" i="31"/>
  <c r="BB26" i="31"/>
  <c r="BB66" i="31"/>
  <c r="BB33" i="31"/>
  <c r="BB73" i="31"/>
  <c r="BB78" i="31"/>
  <c r="AG4" i="43"/>
  <c r="AH1" i="43"/>
  <c r="M317" i="41"/>
  <c r="M328" i="41"/>
  <c r="M323" i="41"/>
  <c r="N294" i="41"/>
  <c r="AQ15" i="35"/>
  <c r="AI16" i="35"/>
  <c r="J9" i="40"/>
  <c r="H286" i="41"/>
  <c r="G286" i="41"/>
  <c r="K178" i="53"/>
  <c r="K186" i="41"/>
  <c r="E77" i="33"/>
  <c r="H8" i="55"/>
  <c r="I8" i="55"/>
  <c r="N67" i="33"/>
  <c r="N207" i="33"/>
  <c r="H20" i="32"/>
  <c r="Q362" i="50"/>
  <c r="P374" i="50"/>
  <c r="J97" i="40"/>
  <c r="I108" i="40"/>
  <c r="L239" i="53"/>
  <c r="H57" i="52"/>
  <c r="H61" i="40"/>
  <c r="AH42" i="35"/>
  <c r="AG43" i="35"/>
  <c r="M414" i="53"/>
  <c r="N402" i="53"/>
  <c r="L121" i="53"/>
  <c r="J67" i="50"/>
  <c r="K172" i="50"/>
  <c r="K174" i="50"/>
  <c r="K173" i="38"/>
  <c r="K176" i="38"/>
  <c r="H75" i="39"/>
  <c r="I6" i="55"/>
  <c r="R16" i="31"/>
  <c r="I237" i="50"/>
  <c r="I258" i="50"/>
  <c r="N399" i="38"/>
  <c r="M411" i="38"/>
  <c r="H186" i="40"/>
  <c r="H178" i="52"/>
  <c r="M96" i="38"/>
  <c r="N95" i="38"/>
  <c r="BC66" i="31"/>
  <c r="BC48" i="31"/>
  <c r="BC33" i="31"/>
  <c r="BC73" i="31"/>
  <c r="BC78" i="31"/>
  <c r="BC26" i="31"/>
  <c r="L287" i="53"/>
  <c r="L285" i="53"/>
  <c r="L235" i="53"/>
  <c r="L213" i="53"/>
  <c r="L167" i="53"/>
  <c r="L20" i="33"/>
  <c r="AV4" i="43"/>
  <c r="J10" i="52"/>
  <c r="J173" i="40"/>
  <c r="J176" i="40"/>
  <c r="J172" i="52"/>
  <c r="J174" i="52"/>
  <c r="I32" i="52"/>
  <c r="F35" i="40"/>
  <c r="G35" i="40"/>
  <c r="T101" i="48"/>
  <c r="H109" i="52"/>
  <c r="T22" i="31"/>
  <c r="H67" i="52"/>
  <c r="E20" i="48"/>
  <c r="H112" i="33"/>
  <c r="H113" i="33"/>
  <c r="J121" i="50"/>
  <c r="M120" i="41"/>
  <c r="J121" i="52"/>
  <c r="N414" i="52"/>
  <c r="O402" i="52"/>
  <c r="F332" i="50"/>
  <c r="S33" i="31"/>
  <c r="S48" i="31"/>
  <c r="S66" i="31"/>
  <c r="S78" i="31"/>
  <c r="S73" i="31"/>
  <c r="S26" i="31"/>
  <c r="P359" i="40"/>
  <c r="O371" i="40"/>
  <c r="N6" i="53"/>
  <c r="N7" i="53"/>
  <c r="S97" i="52"/>
  <c r="S98" i="52"/>
  <c r="G40" i="31"/>
  <c r="AD40" i="31"/>
  <c r="AD44" i="31"/>
  <c r="Q117" i="40"/>
  <c r="Q118" i="52"/>
  <c r="R116" i="40"/>
  <c r="I186" i="38"/>
  <c r="I178" i="50"/>
  <c r="T16" i="35"/>
  <c r="AB15" i="35"/>
  <c r="K250" i="53"/>
  <c r="K258" i="53"/>
  <c r="K237" i="53"/>
  <c r="Q59" i="40"/>
  <c r="P60" i="52"/>
  <c r="I297" i="50"/>
  <c r="I318" i="50"/>
  <c r="I341" i="50"/>
  <c r="I360" i="50"/>
  <c r="I400" i="50"/>
  <c r="F289" i="50"/>
  <c r="F330" i="38"/>
  <c r="I187" i="53"/>
  <c r="N239" i="50"/>
  <c r="M173" i="41"/>
  <c r="M176" i="41"/>
  <c r="M172" i="53"/>
  <c r="M174" i="53"/>
  <c r="U22" i="31"/>
  <c r="I66" i="40"/>
  <c r="J55" i="40"/>
  <c r="I56" i="40"/>
  <c r="P43" i="33"/>
  <c r="P52" i="33"/>
  <c r="I8" i="41"/>
  <c r="J8" i="41"/>
  <c r="J9" i="53"/>
  <c r="H288" i="50"/>
  <c r="H329" i="38"/>
  <c r="H170" i="52"/>
  <c r="H182" i="40"/>
  <c r="H179" i="40"/>
  <c r="H180" i="40"/>
  <c r="J326" i="41"/>
  <c r="J365" i="41"/>
  <c r="G189" i="52"/>
  <c r="J433" i="40"/>
  <c r="J433" i="41"/>
  <c r="S96" i="41"/>
  <c r="S97" i="53"/>
  <c r="S98" i="53"/>
  <c r="T95" i="41"/>
  <c r="J326" i="40"/>
  <c r="J365" i="40"/>
  <c r="J393" i="40"/>
  <c r="J396" i="52"/>
  <c r="I379" i="41"/>
  <c r="I382" i="53"/>
  <c r="I369" i="53"/>
  <c r="N125" i="52"/>
  <c r="O124" i="40"/>
  <c r="J414" i="41"/>
  <c r="J417" i="53"/>
  <c r="J425" i="41"/>
  <c r="J428" i="53"/>
  <c r="J434" i="41"/>
  <c r="J415" i="41"/>
  <c r="J418" i="53"/>
  <c r="N231" i="50"/>
  <c r="H409" i="53"/>
  <c r="H419" i="41"/>
  <c r="H422" i="53"/>
  <c r="I437" i="53"/>
  <c r="I406" i="41"/>
  <c r="R59" i="38"/>
  <c r="Q60" i="50"/>
  <c r="K375" i="41"/>
  <c r="K378" i="53"/>
  <c r="K394" i="41"/>
  <c r="K397" i="41"/>
  <c r="K374" i="41"/>
  <c r="K377" i="53"/>
  <c r="M326" i="38"/>
  <c r="M365" i="38"/>
  <c r="L357" i="41"/>
  <c r="M338" i="41"/>
  <c r="J366" i="41"/>
  <c r="J397" i="53"/>
  <c r="K231" i="53"/>
  <c r="O294" i="38"/>
  <c r="N317" i="38"/>
  <c r="N323" i="38"/>
  <c r="N328" i="38"/>
  <c r="Q116" i="38"/>
  <c r="P117" i="38"/>
  <c r="P118" i="50"/>
  <c r="P6" i="40"/>
  <c r="P8" i="52"/>
  <c r="P8" i="40"/>
  <c r="P9" i="52"/>
  <c r="Q7" i="40"/>
  <c r="P102" i="53"/>
  <c r="Q101" i="41"/>
  <c r="K231" i="52"/>
  <c r="N295" i="50"/>
  <c r="O101" i="38"/>
  <c r="N102" i="50"/>
  <c r="L258" i="52"/>
  <c r="L237" i="52"/>
  <c r="M247" i="38"/>
  <c r="M250" i="50"/>
  <c r="N236" i="38"/>
  <c r="O235" i="38"/>
  <c r="O238" i="50"/>
  <c r="O239" i="50"/>
  <c r="P234" i="38"/>
  <c r="K69" i="54"/>
  <c r="K41" i="54"/>
  <c r="K60" i="54"/>
  <c r="N31" i="52"/>
  <c r="N54" i="52"/>
  <c r="N165" i="52"/>
  <c r="N75" i="52"/>
  <c r="N96" i="52"/>
  <c r="N117" i="52"/>
  <c r="N141" i="52"/>
  <c r="N74" i="41"/>
  <c r="M75" i="41"/>
  <c r="M76" i="53"/>
  <c r="M77" i="53"/>
  <c r="N160" i="50"/>
  <c r="N228" i="38"/>
  <c r="M7" i="47"/>
  <c r="M31" i="47"/>
  <c r="M6" i="47"/>
  <c r="M30" i="47"/>
  <c r="M4" i="47"/>
  <c r="M28" i="47"/>
  <c r="N3" i="47"/>
  <c r="M27" i="47"/>
  <c r="M5" i="47"/>
  <c r="M29" i="47"/>
  <c r="L21" i="54"/>
  <c r="L41" i="54"/>
  <c r="L60" i="54"/>
  <c r="R117" i="41"/>
  <c r="R118" i="53"/>
  <c r="S116" i="41"/>
  <c r="M287" i="52"/>
  <c r="M285" i="52"/>
  <c r="M213" i="52"/>
  <c r="M235" i="52"/>
  <c r="M167" i="52"/>
  <c r="N16" i="53"/>
  <c r="O15" i="41"/>
  <c r="Q55" i="50"/>
  <c r="Q56" i="50"/>
  <c r="K87" i="41"/>
  <c r="K88" i="53"/>
  <c r="L76" i="41"/>
  <c r="O6" i="52"/>
  <c r="O7" i="52"/>
  <c r="S53" i="38"/>
  <c r="R54" i="38"/>
  <c r="L318" i="52"/>
  <c r="L341" i="52"/>
  <c r="L360" i="52"/>
  <c r="L400" i="52"/>
  <c r="L297" i="52"/>
  <c r="K331" i="52"/>
  <c r="K320" i="52"/>
  <c r="K326" i="52"/>
  <c r="L220" i="40"/>
  <c r="L223" i="52"/>
  <c r="L215" i="52"/>
  <c r="O123" i="40"/>
  <c r="N124" i="52"/>
  <c r="O14" i="40"/>
  <c r="N15" i="52"/>
  <c r="G181" i="52"/>
  <c r="G184" i="52"/>
  <c r="M329" i="50"/>
  <c r="L150" i="40"/>
  <c r="L151" i="52"/>
  <c r="L143" i="52"/>
  <c r="K274" i="52"/>
  <c r="K276" i="52"/>
  <c r="K325" i="40"/>
  <c r="K328" i="52"/>
  <c r="M323" i="40"/>
  <c r="M317" i="40"/>
  <c r="M328" i="40"/>
  <c r="N294" i="40"/>
  <c r="N357" i="40"/>
  <c r="O338" i="40"/>
  <c r="O292" i="41"/>
  <c r="O289" i="53"/>
  <c r="O330" i="41"/>
  <c r="O333" i="53"/>
  <c r="O330" i="38"/>
  <c r="O333" i="50"/>
  <c r="O289" i="50"/>
  <c r="L366" i="40"/>
  <c r="L397" i="52"/>
  <c r="L397" i="50"/>
  <c r="L366" i="38"/>
  <c r="K406" i="40"/>
  <c r="K437" i="52"/>
  <c r="O37" i="41"/>
  <c r="N38" i="53"/>
  <c r="O338" i="38"/>
  <c r="N357" i="38"/>
  <c r="K66" i="41"/>
  <c r="K67" i="53"/>
  <c r="L55" i="41"/>
  <c r="O123" i="38"/>
  <c r="N124" i="50"/>
  <c r="T24" i="55"/>
  <c r="N167" i="38"/>
  <c r="N168" i="50"/>
  <c r="N169" i="50"/>
  <c r="O166" i="38"/>
  <c r="N140" i="40"/>
  <c r="M225" i="40"/>
  <c r="M158" i="40"/>
  <c r="M159" i="52"/>
  <c r="M155" i="40"/>
  <c r="M156" i="40"/>
  <c r="M157" i="52"/>
  <c r="M227" i="40"/>
  <c r="M230" i="52"/>
  <c r="M270" i="40"/>
  <c r="M142" i="40"/>
  <c r="M212" i="40"/>
  <c r="M257" i="40"/>
  <c r="M272" i="40"/>
  <c r="M275" i="52"/>
  <c r="M142" i="41"/>
  <c r="M350" i="41"/>
  <c r="M353" i="53"/>
  <c r="M230" i="41"/>
  <c r="M233" i="53"/>
  <c r="M404" i="41"/>
  <c r="M275" i="41"/>
  <c r="M225" i="41"/>
  <c r="M227" i="41"/>
  <c r="M230" i="53"/>
  <c r="M365" i="41"/>
  <c r="M257" i="41"/>
  <c r="M364" i="41"/>
  <c r="M156" i="41"/>
  <c r="M157" i="53"/>
  <c r="M405" i="41"/>
  <c r="N140" i="41"/>
  <c r="M212" i="41"/>
  <c r="M270" i="41"/>
  <c r="M158" i="41"/>
  <c r="M159" i="53"/>
  <c r="M162" i="41"/>
  <c r="M163" i="53"/>
  <c r="M155" i="41"/>
  <c r="M272" i="41"/>
  <c r="M275" i="53"/>
  <c r="N290" i="52"/>
  <c r="N331" i="40"/>
  <c r="N334" i="52"/>
  <c r="J436" i="52"/>
  <c r="J405" i="40"/>
  <c r="O220" i="38"/>
  <c r="O223" i="50"/>
  <c r="O215" i="50"/>
  <c r="L228" i="52"/>
  <c r="L226" i="40"/>
  <c r="L229" i="52"/>
  <c r="L231" i="52"/>
  <c r="L157" i="40"/>
  <c r="L158" i="52"/>
  <c r="L156" i="52"/>
  <c r="L159" i="40"/>
  <c r="M394" i="40"/>
  <c r="M397" i="40"/>
  <c r="M374" i="40"/>
  <c r="M377" i="52"/>
  <c r="M375" i="40"/>
  <c r="M378" i="52"/>
  <c r="N327" i="50"/>
  <c r="P290" i="41"/>
  <c r="P285" i="41"/>
  <c r="P287" i="41"/>
  <c r="P289" i="41"/>
  <c r="P292" i="53"/>
  <c r="P288" i="41"/>
  <c r="Q284" i="41"/>
  <c r="P286" i="41"/>
  <c r="P291" i="41"/>
  <c r="P291" i="38"/>
  <c r="P288" i="38"/>
  <c r="P287" i="38"/>
  <c r="Q284" i="38"/>
  <c r="P289" i="38"/>
  <c r="P292" i="50"/>
  <c r="P290" i="38"/>
  <c r="P286" i="38"/>
  <c r="P285" i="38"/>
  <c r="K369" i="52"/>
  <c r="K379" i="40"/>
  <c r="K382" i="52"/>
  <c r="L55" i="53"/>
  <c r="L56" i="53"/>
  <c r="M397" i="38"/>
  <c r="M375" i="38"/>
  <c r="M378" i="50"/>
  <c r="M374" i="38"/>
  <c r="M377" i="50"/>
  <c r="M394" i="38"/>
  <c r="Q74" i="38"/>
  <c r="P75" i="38"/>
  <c r="N16" i="52"/>
  <c r="O15" i="40"/>
  <c r="S59" i="41"/>
  <c r="R60" i="53"/>
  <c r="O124" i="53"/>
  <c r="P123" i="41"/>
  <c r="N274" i="50"/>
  <c r="N276" i="50"/>
  <c r="N325" i="38"/>
  <c r="N328" i="50"/>
  <c r="L436" i="50"/>
  <c r="L405" i="38"/>
  <c r="O173" i="53"/>
  <c r="P172" i="41"/>
  <c r="N293" i="52"/>
  <c r="N334" i="40"/>
  <c r="N337" i="52"/>
  <c r="O80" i="40"/>
  <c r="N81" i="52"/>
  <c r="J368" i="53"/>
  <c r="J378" i="41"/>
  <c r="J381" i="53"/>
  <c r="J393" i="41"/>
  <c r="J396" i="53"/>
  <c r="O143" i="50"/>
  <c r="O150" i="38"/>
  <c r="O151" i="50"/>
  <c r="O324" i="38"/>
  <c r="O273" i="50"/>
  <c r="O271" i="38"/>
  <c r="O273" i="38"/>
  <c r="N332" i="50"/>
  <c r="N339" i="50"/>
  <c r="N336" i="38"/>
  <c r="L273" i="52"/>
  <c r="L324" i="40"/>
  <c r="L271" i="40"/>
  <c r="L273" i="40"/>
  <c r="J409" i="52"/>
  <c r="J419" i="40"/>
  <c r="J422" i="52"/>
  <c r="K327" i="52"/>
  <c r="K326" i="40"/>
  <c r="K365" i="40"/>
  <c r="O293" i="53"/>
  <c r="O334" i="41"/>
  <c r="O337" i="53"/>
  <c r="O291" i="50"/>
  <c r="O332" i="38"/>
  <c r="O335" i="50"/>
  <c r="J419" i="38"/>
  <c r="J422" i="50"/>
  <c r="J409" i="50"/>
  <c r="L434" i="40"/>
  <c r="L414" i="40"/>
  <c r="L417" i="52"/>
  <c r="L415" i="40"/>
  <c r="L418" i="52"/>
  <c r="R38" i="38"/>
  <c r="Q39" i="50"/>
  <c r="B19" i="35"/>
  <c r="C18" i="35"/>
  <c r="N53" i="41"/>
  <c r="M54" i="41"/>
  <c r="J378" i="40"/>
  <c r="J381" i="52"/>
  <c r="J368" i="52"/>
  <c r="O76" i="50"/>
  <c r="I378" i="40"/>
  <c r="I381" i="52"/>
  <c r="I368" i="52"/>
  <c r="I393" i="40"/>
  <c r="I396" i="52"/>
  <c r="N330" i="40"/>
  <c r="N333" i="52"/>
  <c r="N289" i="52"/>
  <c r="N332" i="40"/>
  <c r="N335" i="52"/>
  <c r="N291" i="52"/>
  <c r="K159" i="40"/>
  <c r="O260" i="50"/>
  <c r="O265" i="38"/>
  <c r="O268" i="50"/>
  <c r="K437" i="50"/>
  <c r="K406" i="38"/>
  <c r="J436" i="53"/>
  <c r="J405" i="41"/>
  <c r="L265" i="41"/>
  <c r="L268" i="53"/>
  <c r="L260" i="53"/>
  <c r="O332" i="41"/>
  <c r="O335" i="53"/>
  <c r="O291" i="53"/>
  <c r="O331" i="38"/>
  <c r="O334" i="50"/>
  <c r="O290" i="50"/>
  <c r="N159" i="38"/>
  <c r="M295" i="52"/>
  <c r="P240" i="38"/>
  <c r="O243" i="50"/>
  <c r="O125" i="50"/>
  <c r="P124" i="38"/>
  <c r="P240" i="41"/>
  <c r="O243" i="53"/>
  <c r="Q37" i="38"/>
  <c r="P38" i="50"/>
  <c r="K327" i="53"/>
  <c r="N335" i="40"/>
  <c r="N338" i="52"/>
  <c r="N294" i="52"/>
  <c r="O156" i="50"/>
  <c r="O157" i="38"/>
  <c r="O158" i="50"/>
  <c r="O160" i="50"/>
  <c r="O159" i="38"/>
  <c r="P257" i="38"/>
  <c r="Q140" i="38"/>
  <c r="P142" i="38"/>
  <c r="P156" i="38"/>
  <c r="P157" i="50"/>
  <c r="P212" i="38"/>
  <c r="Q101" i="40"/>
  <c r="P102" i="52"/>
  <c r="L220" i="41"/>
  <c r="L223" i="53"/>
  <c r="L215" i="53"/>
  <c r="K408" i="50"/>
  <c r="K418" i="38"/>
  <c r="K421" i="50"/>
  <c r="O329" i="41"/>
  <c r="O288" i="53"/>
  <c r="O172" i="40"/>
  <c r="N173" i="52"/>
  <c r="M332" i="52"/>
  <c r="M339" i="52"/>
  <c r="M336" i="40"/>
  <c r="O37" i="40"/>
  <c r="N38" i="52"/>
  <c r="O14" i="41"/>
  <c r="N15" i="53"/>
  <c r="O80" i="38"/>
  <c r="N81" i="50"/>
  <c r="K325" i="41"/>
  <c r="K328" i="53"/>
  <c r="K274" i="53"/>
  <c r="O334" i="38"/>
  <c r="O337" i="50"/>
  <c r="O293" i="50"/>
  <c r="N288" i="52"/>
  <c r="N329" i="40"/>
  <c r="N292" i="40"/>
  <c r="K160" i="52"/>
  <c r="O226" i="38"/>
  <c r="O229" i="50"/>
  <c r="O228" i="50"/>
  <c r="M433" i="38"/>
  <c r="O31" i="41"/>
  <c r="O32" i="53"/>
  <c r="P30" i="41"/>
  <c r="L150" i="41"/>
  <c r="L151" i="53"/>
  <c r="L143" i="53"/>
  <c r="O335" i="41"/>
  <c r="O338" i="53"/>
  <c r="O294" i="53"/>
  <c r="O294" i="50"/>
  <c r="O335" i="38"/>
  <c r="O338" i="50"/>
  <c r="O39" i="53"/>
  <c r="P38" i="41"/>
  <c r="K159" i="41"/>
  <c r="N332" i="53"/>
  <c r="N339" i="53"/>
  <c r="N336" i="41"/>
  <c r="N295" i="53"/>
  <c r="O14" i="38"/>
  <c r="N15" i="50"/>
  <c r="K228" i="40"/>
  <c r="K433" i="40"/>
  <c r="J329" i="52"/>
  <c r="K276" i="53"/>
  <c r="M368" i="50"/>
  <c r="M378" i="38"/>
  <c r="M381" i="50"/>
  <c r="M393" i="38"/>
  <c r="M396" i="50"/>
  <c r="O167" i="41"/>
  <c r="O168" i="53"/>
  <c r="O169" i="53"/>
  <c r="P166" i="41"/>
  <c r="M67" i="33"/>
  <c r="F14" i="54"/>
  <c r="Q43" i="54"/>
  <c r="Q46" i="54"/>
  <c r="O285" i="40"/>
  <c r="O291" i="40"/>
  <c r="P284" i="40"/>
  <c r="O290" i="40"/>
  <c r="O288" i="40"/>
  <c r="O289" i="40"/>
  <c r="O292" i="52"/>
  <c r="O287" i="40"/>
  <c r="O286" i="40"/>
  <c r="K228" i="41"/>
  <c r="L265" i="40"/>
  <c r="L268" i="52"/>
  <c r="L260" i="52"/>
  <c r="O77" i="50"/>
  <c r="K379" i="38"/>
  <c r="K382" i="50"/>
  <c r="K369" i="50"/>
  <c r="O38" i="40"/>
  <c r="N39" i="52"/>
  <c r="N173" i="50"/>
  <c r="O172" i="38"/>
  <c r="M168" i="38"/>
  <c r="N168" i="38"/>
  <c r="N273" i="38"/>
  <c r="O290" i="53"/>
  <c r="O331" i="41"/>
  <c r="O334" i="53"/>
  <c r="O288" i="50"/>
  <c r="O329" i="38"/>
  <c r="O292" i="38"/>
  <c r="K160" i="53"/>
  <c r="O15" i="38"/>
  <c r="N16" i="50"/>
  <c r="O124" i="41"/>
  <c r="N125" i="53"/>
  <c r="O240" i="40"/>
  <c r="N243" i="52"/>
  <c r="J329" i="53"/>
  <c r="P64" i="33"/>
  <c r="H205" i="40"/>
  <c r="H192" i="40"/>
  <c r="H194" i="52"/>
  <c r="H183" i="40"/>
  <c r="H191" i="40"/>
  <c r="H193" i="52"/>
  <c r="H197" i="40"/>
  <c r="H199" i="52"/>
  <c r="H194" i="40"/>
  <c r="H196" i="52"/>
  <c r="H189" i="40"/>
  <c r="H191" i="52"/>
  <c r="H193" i="40"/>
  <c r="H195" i="52"/>
  <c r="H190" i="40"/>
  <c r="H192" i="52"/>
  <c r="H195" i="40"/>
  <c r="H197" i="52"/>
  <c r="L186" i="41"/>
  <c r="L178" i="53"/>
  <c r="M97" i="50"/>
  <c r="M98" i="50"/>
  <c r="K177" i="38"/>
  <c r="K177" i="50"/>
  <c r="P42" i="54"/>
  <c r="P45" i="54"/>
  <c r="AQ43" i="54"/>
  <c r="AQ46" i="54"/>
  <c r="R42" i="54"/>
  <c r="R45" i="54"/>
  <c r="K42" i="54"/>
  <c r="K45" i="54"/>
  <c r="AO43" i="54"/>
  <c r="AO46" i="54"/>
  <c r="AC43" i="54"/>
  <c r="AC46" i="54"/>
  <c r="J43" i="54"/>
  <c r="J46" i="54"/>
  <c r="O42" i="54"/>
  <c r="O45" i="54"/>
  <c r="AE42" i="54"/>
  <c r="AE45" i="54"/>
  <c r="H76" i="39"/>
  <c r="I7" i="55"/>
  <c r="S17" i="31"/>
  <c r="I9" i="53"/>
  <c r="I9" i="41"/>
  <c r="M20" i="33"/>
  <c r="AW4" i="43"/>
  <c r="I9" i="50"/>
  <c r="I9" i="38"/>
  <c r="W359" i="38"/>
  <c r="V379" i="38"/>
  <c r="V382" i="50"/>
  <c r="V371" i="38"/>
  <c r="I170" i="52"/>
  <c r="I182" i="40"/>
  <c r="I179" i="40"/>
  <c r="I180" i="40"/>
  <c r="I245" i="52"/>
  <c r="I243" i="40"/>
  <c r="I246" i="52"/>
  <c r="I178" i="52"/>
  <c r="I186" i="40"/>
  <c r="L88" i="50"/>
  <c r="E109" i="33"/>
  <c r="F113" i="33"/>
  <c r="E67" i="48"/>
  <c r="F112" i="33"/>
  <c r="N120" i="41"/>
  <c r="I109" i="52"/>
  <c r="N144" i="33"/>
  <c r="N143" i="33"/>
  <c r="P144" i="33"/>
  <c r="O143" i="33"/>
  <c r="O144" i="33"/>
  <c r="P143" i="33"/>
  <c r="K9" i="40"/>
  <c r="O235" i="41"/>
  <c r="P234" i="41"/>
  <c r="P402" i="50"/>
  <c r="O414" i="50"/>
  <c r="L108" i="41"/>
  <c r="M97" i="41"/>
  <c r="K76" i="40"/>
  <c r="J87" i="40"/>
  <c r="K168" i="40"/>
  <c r="J169" i="40"/>
  <c r="H40" i="40"/>
  <c r="H34" i="40"/>
  <c r="K236" i="40"/>
  <c r="J247" i="40"/>
  <c r="J237" i="40"/>
  <c r="J242" i="40"/>
  <c r="J32" i="38"/>
  <c r="M6" i="50"/>
  <c r="M7" i="50"/>
  <c r="K3" i="52"/>
  <c r="L3" i="40"/>
  <c r="I57" i="52"/>
  <c r="I61" i="40"/>
  <c r="R59" i="40"/>
  <c r="Q60" i="52"/>
  <c r="Q359" i="40"/>
  <c r="P379" i="40"/>
  <c r="P382" i="52"/>
  <c r="P371" i="40"/>
  <c r="O414" i="52"/>
  <c r="P402" i="52"/>
  <c r="M177" i="53"/>
  <c r="R40" i="31"/>
  <c r="R44" i="31"/>
  <c r="H187" i="52"/>
  <c r="AG44" i="35"/>
  <c r="AH43" i="35"/>
  <c r="H62" i="52"/>
  <c r="H62" i="40"/>
  <c r="H63" i="52"/>
  <c r="K97" i="40"/>
  <c r="J108" i="40"/>
  <c r="G41" i="31"/>
  <c r="AE41" i="31"/>
  <c r="AE44" i="31"/>
  <c r="N238" i="53"/>
  <c r="J32" i="41"/>
  <c r="K109" i="53"/>
  <c r="L120" i="38"/>
  <c r="I88" i="52"/>
  <c r="I250" i="52"/>
  <c r="G192" i="40"/>
  <c r="G194" i="52"/>
  <c r="G191" i="40"/>
  <c r="G193" i="52"/>
  <c r="G205" i="40"/>
  <c r="G190" i="40"/>
  <c r="G192" i="52"/>
  <c r="G189" i="40"/>
  <c r="G191" i="52"/>
  <c r="G194" i="40"/>
  <c r="G196" i="52"/>
  <c r="G183" i="40"/>
  <c r="G197" i="40"/>
  <c r="G199" i="52"/>
  <c r="G193" i="40"/>
  <c r="G195" i="52"/>
  <c r="G195" i="40"/>
  <c r="G197" i="52"/>
  <c r="Q28" i="54"/>
  <c r="P30" i="54"/>
  <c r="K320" i="53"/>
  <c r="K326" i="53"/>
  <c r="K331" i="53"/>
  <c r="J42" i="31"/>
  <c r="BB18" i="31"/>
  <c r="J10" i="31"/>
  <c r="T73" i="31"/>
  <c r="T48" i="31"/>
  <c r="T33" i="31"/>
  <c r="T26" i="31"/>
  <c r="T66" i="31"/>
  <c r="T78" i="31"/>
  <c r="G40" i="40"/>
  <c r="G34" i="40"/>
  <c r="U419" i="40"/>
  <c r="U422" i="52"/>
  <c r="V399" i="40"/>
  <c r="U411" i="40"/>
  <c r="I33" i="53"/>
  <c r="K173" i="40"/>
  <c r="K176" i="40"/>
  <c r="K172" i="52"/>
  <c r="K174" i="52"/>
  <c r="L409" i="50"/>
  <c r="L419" i="38"/>
  <c r="L422" i="50"/>
  <c r="F184" i="52"/>
  <c r="F208" i="52"/>
  <c r="O47" i="42"/>
  <c r="P2" i="42"/>
  <c r="O1" i="42"/>
  <c r="E79" i="33"/>
  <c r="E8" i="55"/>
  <c r="E78" i="33"/>
  <c r="F115" i="48"/>
  <c r="E115" i="48"/>
  <c r="O80" i="41"/>
  <c r="N81" i="53"/>
  <c r="N173" i="41"/>
  <c r="N176" i="41"/>
  <c r="N172" i="53"/>
  <c r="N174" i="53"/>
  <c r="I40" i="40"/>
  <c r="I34" i="40"/>
  <c r="N75" i="53"/>
  <c r="N96" i="53"/>
  <c r="N117" i="53"/>
  <c r="N141" i="53"/>
  <c r="N165" i="53"/>
  <c r="N54" i="53"/>
  <c r="N31" i="53"/>
  <c r="F34" i="40"/>
  <c r="F40" i="40"/>
  <c r="F333" i="53"/>
  <c r="L33" i="54"/>
  <c r="O2" i="53"/>
  <c r="O171" i="41"/>
  <c r="O79" i="41"/>
  <c r="O80" i="53"/>
  <c r="O175" i="41"/>
  <c r="O176" i="53"/>
  <c r="O239" i="41"/>
  <c r="O242" i="53"/>
  <c r="O100" i="41"/>
  <c r="O101" i="53"/>
  <c r="O58" i="41"/>
  <c r="O59" i="53"/>
  <c r="K32" i="40"/>
  <c r="J35" i="40"/>
  <c r="K121" i="52"/>
  <c r="N8" i="50"/>
  <c r="N3" i="38"/>
  <c r="N3" i="50"/>
  <c r="N6" i="38"/>
  <c r="N2" i="38"/>
  <c r="N8" i="38"/>
  <c r="N9" i="50"/>
  <c r="O7" i="38"/>
  <c r="K187" i="53"/>
  <c r="N52" i="33"/>
  <c r="M52" i="33"/>
  <c r="M43" i="33"/>
  <c r="S43" i="33"/>
  <c r="S52" i="33"/>
  <c r="I33" i="50"/>
  <c r="K239" i="52"/>
  <c r="J240" i="52"/>
  <c r="M63" i="33"/>
  <c r="N64" i="33"/>
  <c r="M168" i="41"/>
  <c r="Y399" i="41"/>
  <c r="X411" i="41"/>
  <c r="X419" i="41"/>
  <c r="X422" i="53"/>
  <c r="R362" i="53"/>
  <c r="Q374" i="53"/>
  <c r="H180" i="52"/>
  <c r="H188" i="52"/>
  <c r="H187" i="40"/>
  <c r="K55" i="40"/>
  <c r="J66" i="40"/>
  <c r="J56" i="40"/>
  <c r="U48" i="31"/>
  <c r="U66" i="31"/>
  <c r="U73" i="31"/>
  <c r="U33" i="31"/>
  <c r="U78" i="31"/>
  <c r="U26" i="31"/>
  <c r="F36" i="52"/>
  <c r="G36" i="52"/>
  <c r="I33" i="52"/>
  <c r="H36" i="52"/>
  <c r="M239" i="53"/>
  <c r="K213" i="50"/>
  <c r="K167" i="50"/>
  <c r="K287" i="50"/>
  <c r="K285" i="50"/>
  <c r="K235" i="50"/>
  <c r="AP41" i="31"/>
  <c r="AP44" i="31"/>
  <c r="R362" i="52"/>
  <c r="Q374" i="52"/>
  <c r="N236" i="41"/>
  <c r="M247" i="41"/>
  <c r="N22" i="54"/>
  <c r="M24" i="54"/>
  <c r="M32" i="54"/>
  <c r="M33" i="54"/>
  <c r="O64" i="33"/>
  <c r="M235" i="53"/>
  <c r="M167" i="53"/>
  <c r="M213" i="53"/>
  <c r="M287" i="53"/>
  <c r="M285" i="53"/>
  <c r="G330" i="38"/>
  <c r="G333" i="50"/>
  <c r="G289" i="50"/>
  <c r="H199" i="40"/>
  <c r="H183" i="52"/>
  <c r="H202" i="52"/>
  <c r="I67" i="52"/>
  <c r="I326" i="50"/>
  <c r="I320" i="50"/>
  <c r="I331" i="50"/>
  <c r="T17" i="35"/>
  <c r="AB16" i="35"/>
  <c r="L297" i="53"/>
  <c r="L318" i="53"/>
  <c r="L341" i="53"/>
  <c r="L360" i="53"/>
  <c r="L400" i="53"/>
  <c r="Q374" i="50"/>
  <c r="R362" i="50"/>
  <c r="G289" i="53"/>
  <c r="G330" i="41"/>
  <c r="AQ16" i="35"/>
  <c r="AI17" i="35"/>
  <c r="L66" i="38"/>
  <c r="M55" i="38"/>
  <c r="L250" i="53"/>
  <c r="J237" i="50"/>
  <c r="J258" i="50"/>
  <c r="P8" i="53"/>
  <c r="Q7" i="41"/>
  <c r="P2" i="41"/>
  <c r="P6" i="41"/>
  <c r="P8" i="41"/>
  <c r="P9" i="53"/>
  <c r="P3" i="41"/>
  <c r="P3" i="53"/>
  <c r="V95" i="40"/>
  <c r="U96" i="40"/>
  <c r="R24" i="35"/>
  <c r="S23" i="35"/>
  <c r="T76" i="52"/>
  <c r="T77" i="52"/>
  <c r="J43" i="31"/>
  <c r="BC43" i="31"/>
  <c r="BC44" i="31"/>
  <c r="BC19" i="31"/>
  <c r="G115" i="48"/>
  <c r="H289" i="50"/>
  <c r="H330" i="38"/>
  <c r="H333" i="50"/>
  <c r="L108" i="38"/>
  <c r="M97" i="38"/>
  <c r="M100" i="38"/>
  <c r="M101" i="50"/>
  <c r="M58" i="38"/>
  <c r="M59" i="50"/>
  <c r="M79" i="38"/>
  <c r="M80" i="50"/>
  <c r="M2" i="50"/>
  <c r="M171" i="38"/>
  <c r="M175" i="38"/>
  <c r="M176" i="50"/>
  <c r="M239" i="38"/>
  <c r="M242" i="50"/>
  <c r="I187" i="50"/>
  <c r="H42" i="31"/>
  <c r="G18" i="31"/>
  <c r="AF18" i="31"/>
  <c r="L172" i="50"/>
  <c r="L174" i="50"/>
  <c r="L173" i="38"/>
  <c r="L176" i="38"/>
  <c r="H332" i="50"/>
  <c r="F333" i="50"/>
  <c r="L258" i="53"/>
  <c r="L237" i="53"/>
  <c r="T27" i="54"/>
  <c r="P30" i="38"/>
  <c r="O31" i="38"/>
  <c r="R117" i="40"/>
  <c r="R118" i="52"/>
  <c r="S116" i="40"/>
  <c r="K121" i="50"/>
  <c r="J177" i="40"/>
  <c r="J177" i="52"/>
  <c r="K10" i="52"/>
  <c r="N96" i="38"/>
  <c r="O95" i="38"/>
  <c r="O399" i="38"/>
  <c r="N411" i="38"/>
  <c r="E112" i="48"/>
  <c r="F112" i="48"/>
  <c r="M121" i="53"/>
  <c r="N414" i="53"/>
  <c r="O402" i="53"/>
  <c r="G99" i="39"/>
  <c r="G107" i="39"/>
  <c r="R22" i="32"/>
  <c r="P71" i="48"/>
  <c r="G20" i="32"/>
  <c r="X55" i="32"/>
  <c r="H289" i="53"/>
  <c r="H330" i="41"/>
  <c r="N317" i="41"/>
  <c r="O294" i="41"/>
  <c r="N323" i="41"/>
  <c r="N328" i="41"/>
  <c r="AH4" i="43"/>
  <c r="AI1" i="43"/>
  <c r="K120" i="40"/>
  <c r="K67" i="50"/>
  <c r="J9" i="50"/>
  <c r="L79" i="40"/>
  <c r="L80" i="52"/>
  <c r="L58" i="40"/>
  <c r="L59" i="52"/>
  <c r="L239" i="40"/>
  <c r="L242" i="52"/>
  <c r="M2" i="40"/>
  <c r="L171" i="40"/>
  <c r="L100" i="40"/>
  <c r="L101" i="52"/>
  <c r="L175" i="40"/>
  <c r="L176" i="52"/>
  <c r="L2" i="52"/>
  <c r="J186" i="38"/>
  <c r="J178" i="50"/>
  <c r="J297" i="50"/>
  <c r="J318" i="50"/>
  <c r="J341" i="50"/>
  <c r="J360" i="50"/>
  <c r="J400" i="50"/>
  <c r="O7" i="53"/>
  <c r="O6" i="53"/>
  <c r="T97" i="52"/>
  <c r="T98" i="52"/>
  <c r="L75" i="50"/>
  <c r="L96" i="50"/>
  <c r="L117" i="50"/>
  <c r="L141" i="50"/>
  <c r="L31" i="50"/>
  <c r="L165" i="50"/>
  <c r="L54" i="50"/>
  <c r="U75" i="40"/>
  <c r="V74" i="40"/>
  <c r="M87" i="38"/>
  <c r="N76" i="38"/>
  <c r="G332" i="50"/>
  <c r="G157" i="39"/>
  <c r="G165" i="39"/>
  <c r="T22" i="32"/>
  <c r="Z55" i="32"/>
  <c r="T71" i="48"/>
  <c r="K109" i="50"/>
  <c r="T43" i="54"/>
  <c r="T46" i="54"/>
  <c r="U95" i="41"/>
  <c r="T96" i="41"/>
  <c r="T97" i="53"/>
  <c r="T98" i="53"/>
  <c r="V42" i="54"/>
  <c r="V45" i="54"/>
  <c r="AA42" i="54"/>
  <c r="AA45" i="54"/>
  <c r="J379" i="41"/>
  <c r="J382" i="53"/>
  <c r="J369" i="53"/>
  <c r="AR42" i="54"/>
  <c r="AR45" i="54"/>
  <c r="O43" i="54"/>
  <c r="O46" i="54"/>
  <c r="AU42" i="54"/>
  <c r="AU45" i="54"/>
  <c r="G43" i="54"/>
  <c r="G46" i="54"/>
  <c r="Q117" i="38"/>
  <c r="Q118" i="50"/>
  <c r="R116" i="38"/>
  <c r="M357" i="41"/>
  <c r="N338" i="41"/>
  <c r="S59" i="38"/>
  <c r="R60" i="50"/>
  <c r="AM42" i="54"/>
  <c r="AM45" i="54"/>
  <c r="X43" i="54"/>
  <c r="X46" i="54"/>
  <c r="T42" i="54"/>
  <c r="T45" i="54"/>
  <c r="T47" i="54"/>
  <c r="AF42" i="54"/>
  <c r="AF45" i="54"/>
  <c r="L375" i="41"/>
  <c r="L378" i="53"/>
  <c r="L397" i="41"/>
  <c r="L374" i="41"/>
  <c r="L377" i="53"/>
  <c r="I419" i="41"/>
  <c r="I422" i="53"/>
  <c r="I409" i="53"/>
  <c r="J406" i="41"/>
  <c r="J437" i="53"/>
  <c r="V43" i="54"/>
  <c r="V46" i="54"/>
  <c r="AL43" i="54"/>
  <c r="AL46" i="54"/>
  <c r="AI42" i="54"/>
  <c r="AI45" i="54"/>
  <c r="Y43" i="54"/>
  <c r="Y46" i="54"/>
  <c r="N433" i="38"/>
  <c r="O125" i="52"/>
  <c r="P124" i="40"/>
  <c r="AD43" i="54"/>
  <c r="AD46" i="54"/>
  <c r="AP43" i="54"/>
  <c r="AP46" i="54"/>
  <c r="AO42" i="54"/>
  <c r="AO45" i="54"/>
  <c r="L160" i="52"/>
  <c r="P294" i="38"/>
  <c r="O328" i="38"/>
  <c r="O323" i="38"/>
  <c r="O317" i="38"/>
  <c r="K414" i="41"/>
  <c r="K417" i="53"/>
  <c r="K415" i="41"/>
  <c r="K418" i="53"/>
  <c r="K434" i="41"/>
  <c r="G208" i="52"/>
  <c r="AP42" i="54"/>
  <c r="AP45" i="54"/>
  <c r="AP47" i="54"/>
  <c r="AP50" i="54"/>
  <c r="AP52" i="54"/>
  <c r="AP53" i="54"/>
  <c r="W43" i="54"/>
  <c r="W46" i="54"/>
  <c r="S43" i="54"/>
  <c r="S46" i="54"/>
  <c r="AI43" i="54"/>
  <c r="AI46" i="54"/>
  <c r="K397" i="53"/>
  <c r="K366" i="41"/>
  <c r="R55" i="50"/>
  <c r="R56" i="50"/>
  <c r="O16" i="53"/>
  <c r="P15" i="41"/>
  <c r="Z43" i="54"/>
  <c r="Z46" i="54"/>
  <c r="R43" i="54"/>
  <c r="R46" i="54"/>
  <c r="AK42" i="54"/>
  <c r="AK45" i="54"/>
  <c r="I42" i="54"/>
  <c r="I45" i="54"/>
  <c r="W42" i="54"/>
  <c r="W45" i="54"/>
  <c r="AL42" i="54"/>
  <c r="AL45" i="54"/>
  <c r="AD42" i="54"/>
  <c r="AD45" i="54"/>
  <c r="AD47" i="54"/>
  <c r="AU43" i="54"/>
  <c r="AU46" i="54"/>
  <c r="AJ42" i="54"/>
  <c r="AJ45" i="54"/>
  <c r="AG43" i="54"/>
  <c r="AG46" i="54"/>
  <c r="AS42" i="54"/>
  <c r="AS45" i="54"/>
  <c r="T53" i="38"/>
  <c r="S54" i="38"/>
  <c r="Q234" i="38"/>
  <c r="P235" i="38"/>
  <c r="P238" i="50"/>
  <c r="P239" i="50"/>
  <c r="Q8" i="52"/>
  <c r="Q8" i="40"/>
  <c r="Q9" i="52"/>
  <c r="R7" i="40"/>
  <c r="Q6" i="40"/>
  <c r="N42" i="54"/>
  <c r="N45" i="54"/>
  <c r="J42" i="54"/>
  <c r="J45" i="54"/>
  <c r="J47" i="54"/>
  <c r="U42" i="54"/>
  <c r="U45" i="54"/>
  <c r="AC42" i="54"/>
  <c r="AC45" i="54"/>
  <c r="AC47" i="54"/>
  <c r="AG42" i="54"/>
  <c r="AG45" i="54"/>
  <c r="Y42" i="54"/>
  <c r="Y45" i="54"/>
  <c r="AN43" i="54"/>
  <c r="AN46" i="54"/>
  <c r="AM43" i="54"/>
  <c r="AM46" i="54"/>
  <c r="AM47" i="54"/>
  <c r="AM50" i="54"/>
  <c r="AM52" i="54"/>
  <c r="AM53" i="54"/>
  <c r="L42" i="54"/>
  <c r="L45" i="54"/>
  <c r="AB43" i="54"/>
  <c r="AB46" i="54"/>
  <c r="AB42" i="54"/>
  <c r="AB45" i="54"/>
  <c r="AB47" i="54"/>
  <c r="K433" i="41"/>
  <c r="K436" i="53"/>
  <c r="O228" i="38"/>
  <c r="O433" i="38"/>
  <c r="O165" i="52"/>
  <c r="O75" i="52"/>
  <c r="O96" i="52"/>
  <c r="O117" i="52"/>
  <c r="O141" i="52"/>
  <c r="O54" i="52"/>
  <c r="O31" i="52"/>
  <c r="M258" i="52"/>
  <c r="M237" i="52"/>
  <c r="M21" i="54"/>
  <c r="O3" i="47"/>
  <c r="N5" i="47"/>
  <c r="N29" i="47"/>
  <c r="N7" i="47"/>
  <c r="N31" i="47"/>
  <c r="N4" i="47"/>
  <c r="N28" i="47"/>
  <c r="N6" i="47"/>
  <c r="N30" i="47"/>
  <c r="N27" i="47"/>
  <c r="O236" i="38"/>
  <c r="N247" i="38"/>
  <c r="N250" i="50"/>
  <c r="O102" i="50"/>
  <c r="P101" i="38"/>
  <c r="P7" i="52"/>
  <c r="P6" i="52"/>
  <c r="N75" i="41"/>
  <c r="N76" i="53"/>
  <c r="N77" i="53"/>
  <c r="O74" i="41"/>
  <c r="H189" i="52"/>
  <c r="AF43" i="54"/>
  <c r="AF46" i="54"/>
  <c r="AF47" i="54"/>
  <c r="AF50" i="54"/>
  <c r="AF52" i="54"/>
  <c r="AF53" i="54"/>
  <c r="AT43" i="54"/>
  <c r="AT46" i="54"/>
  <c r="AT42" i="54"/>
  <c r="AT45" i="54"/>
  <c r="AT47" i="54"/>
  <c r="H42" i="54"/>
  <c r="H45" i="54"/>
  <c r="N43" i="54"/>
  <c r="N46" i="54"/>
  <c r="P43" i="54"/>
  <c r="P46" i="54"/>
  <c r="P47" i="54"/>
  <c r="Q42" i="54"/>
  <c r="Q45" i="54"/>
  <c r="Q47" i="54"/>
  <c r="AQ42" i="54"/>
  <c r="AQ45" i="54"/>
  <c r="AQ47" i="54"/>
  <c r="I43" i="54"/>
  <c r="I46" i="54"/>
  <c r="S42" i="54"/>
  <c r="S45" i="54"/>
  <c r="S47" i="54"/>
  <c r="N329" i="50"/>
  <c r="M76" i="41"/>
  <c r="L87" i="41"/>
  <c r="L88" i="53"/>
  <c r="N235" i="52"/>
  <c r="N213" i="52"/>
  <c r="N167" i="52"/>
  <c r="N287" i="52"/>
  <c r="N285" i="52"/>
  <c r="M318" i="52"/>
  <c r="M341" i="52"/>
  <c r="M360" i="52"/>
  <c r="M400" i="52"/>
  <c r="M297" i="52"/>
  <c r="AE43" i="54"/>
  <c r="AE46" i="54"/>
  <c r="AJ43" i="54"/>
  <c r="AJ46" i="54"/>
  <c r="AH42" i="54"/>
  <c r="AH45" i="54"/>
  <c r="H43" i="54"/>
  <c r="H46" i="54"/>
  <c r="AN42" i="54"/>
  <c r="AN45" i="54"/>
  <c r="AN47" i="54"/>
  <c r="AN50" i="54"/>
  <c r="AN52" i="54"/>
  <c r="AN53" i="54"/>
  <c r="U43" i="54"/>
  <c r="U46" i="54"/>
  <c r="AH43" i="54"/>
  <c r="AH46" i="54"/>
  <c r="AA43" i="54"/>
  <c r="AA46" i="54"/>
  <c r="AA47" i="54"/>
  <c r="AA50" i="54"/>
  <c r="AA52" i="54"/>
  <c r="AA53" i="54"/>
  <c r="X42" i="54"/>
  <c r="X45" i="54"/>
  <c r="L326" i="52"/>
  <c r="L320" i="52"/>
  <c r="L331" i="52"/>
  <c r="T116" i="41"/>
  <c r="S117" i="41"/>
  <c r="S118" i="53"/>
  <c r="L38" i="54"/>
  <c r="M42" i="54"/>
  <c r="M45" i="54"/>
  <c r="L43" i="54"/>
  <c r="L46" i="54"/>
  <c r="Z42" i="54"/>
  <c r="Z45" i="54"/>
  <c r="Z47" i="54"/>
  <c r="AK43" i="54"/>
  <c r="AK46" i="54"/>
  <c r="G42" i="54"/>
  <c r="G45" i="54"/>
  <c r="G47" i="54"/>
  <c r="G50" i="54"/>
  <c r="G52" i="54"/>
  <c r="AR43" i="54"/>
  <c r="AR46" i="54"/>
  <c r="M43" i="54"/>
  <c r="M46" i="54"/>
  <c r="K43" i="54"/>
  <c r="K46" i="54"/>
  <c r="K47" i="54"/>
  <c r="K50" i="54"/>
  <c r="K52" i="54"/>
  <c r="AS43" i="54"/>
  <c r="AS46" i="54"/>
  <c r="K329" i="53"/>
  <c r="R101" i="41"/>
  <c r="Q102" i="53"/>
  <c r="K436" i="52"/>
  <c r="K405" i="40"/>
  <c r="O39" i="52"/>
  <c r="P38" i="40"/>
  <c r="O330" i="40"/>
  <c r="O333" i="52"/>
  <c r="O289" i="52"/>
  <c r="P14" i="38"/>
  <c r="O15" i="50"/>
  <c r="O295" i="50"/>
  <c r="O295" i="53"/>
  <c r="Q227" i="38"/>
  <c r="Q230" i="50"/>
  <c r="Q404" i="38"/>
  <c r="Q155" i="38"/>
  <c r="Q272" i="38"/>
  <c r="Q275" i="50"/>
  <c r="Q275" i="38"/>
  <c r="R140" i="38"/>
  <c r="Q158" i="38"/>
  <c r="Q159" i="50"/>
  <c r="Q270" i="38"/>
  <c r="Q350" i="38"/>
  <c r="Q353" i="50"/>
  <c r="Q365" i="38"/>
  <c r="Q225" i="38"/>
  <c r="Q257" i="38"/>
  <c r="Q212" i="38"/>
  <c r="Q230" i="38"/>
  <c r="Q233" i="50"/>
  <c r="Q156" i="38"/>
  <c r="Q157" i="50"/>
  <c r="Q364" i="38"/>
  <c r="Q162" i="38"/>
  <c r="Q163" i="50"/>
  <c r="Q405" i="38"/>
  <c r="Q142" i="38"/>
  <c r="P125" i="50"/>
  <c r="Q124" i="38"/>
  <c r="R39" i="50"/>
  <c r="S38" i="38"/>
  <c r="M397" i="50"/>
  <c r="M366" i="38"/>
  <c r="P291" i="50"/>
  <c r="P332" i="38"/>
  <c r="P335" i="50"/>
  <c r="P288" i="53"/>
  <c r="P329" i="41"/>
  <c r="P292" i="41"/>
  <c r="M215" i="53"/>
  <c r="M220" i="41"/>
  <c r="M223" i="53"/>
  <c r="M228" i="53"/>
  <c r="M226" i="41"/>
  <c r="M229" i="53"/>
  <c r="M265" i="40"/>
  <c r="M268" i="52"/>
  <c r="M260" i="52"/>
  <c r="M228" i="52"/>
  <c r="M226" i="40"/>
  <c r="M229" i="52"/>
  <c r="P338" i="38"/>
  <c r="O357" i="38"/>
  <c r="O125" i="53"/>
  <c r="P124" i="41"/>
  <c r="O331" i="40"/>
  <c r="O334" i="52"/>
  <c r="O290" i="52"/>
  <c r="O231" i="50"/>
  <c r="P14" i="41"/>
  <c r="O15" i="53"/>
  <c r="O332" i="53"/>
  <c r="O336" i="41"/>
  <c r="P265" i="38"/>
  <c r="P268" i="50"/>
  <c r="P260" i="50"/>
  <c r="Q240" i="38"/>
  <c r="P243" i="50"/>
  <c r="P173" i="53"/>
  <c r="Q172" i="41"/>
  <c r="P294" i="50"/>
  <c r="P335" i="38"/>
  <c r="P338" i="50"/>
  <c r="P334" i="41"/>
  <c r="P337" i="53"/>
  <c r="P293" i="53"/>
  <c r="L228" i="40"/>
  <c r="L433" i="40"/>
  <c r="O140" i="41"/>
  <c r="N275" i="41"/>
  <c r="N405" i="41"/>
  <c r="N270" i="41"/>
  <c r="N365" i="41"/>
  <c r="N257" i="41"/>
  <c r="N156" i="41"/>
  <c r="N157" i="53"/>
  <c r="N227" i="41"/>
  <c r="N230" i="53"/>
  <c r="N158" i="41"/>
  <c r="N159" i="53"/>
  <c r="N272" i="41"/>
  <c r="N275" i="53"/>
  <c r="N212" i="41"/>
  <c r="N404" i="41"/>
  <c r="N225" i="41"/>
  <c r="N364" i="41"/>
  <c r="N142" i="41"/>
  <c r="N162" i="41"/>
  <c r="N163" i="53"/>
  <c r="N155" i="41"/>
  <c r="N350" i="41"/>
  <c r="N353" i="53"/>
  <c r="N230" i="41"/>
  <c r="N233" i="53"/>
  <c r="M278" i="53"/>
  <c r="M280" i="53"/>
  <c r="M311" i="53"/>
  <c r="M277" i="41"/>
  <c r="M308" i="41"/>
  <c r="M220" i="40"/>
  <c r="M223" i="52"/>
  <c r="M215" i="52"/>
  <c r="N142" i="40"/>
  <c r="N156" i="40"/>
  <c r="N157" i="52"/>
  <c r="O140" i="40"/>
  <c r="N257" i="40"/>
  <c r="N212" i="40"/>
  <c r="K329" i="52"/>
  <c r="Q166" i="41"/>
  <c r="P167" i="41"/>
  <c r="P168" i="53"/>
  <c r="P169" i="53"/>
  <c r="Q38" i="41"/>
  <c r="P39" i="53"/>
  <c r="Q30" i="41"/>
  <c r="P31" i="41"/>
  <c r="P32" i="53"/>
  <c r="R101" i="40"/>
  <c r="Q102" i="52"/>
  <c r="K326" i="41"/>
  <c r="K365" i="41"/>
  <c r="K393" i="40"/>
  <c r="K396" i="52"/>
  <c r="K368" i="52"/>
  <c r="K378" i="40"/>
  <c r="K381" i="52"/>
  <c r="P292" i="38"/>
  <c r="P329" i="38"/>
  <c r="P288" i="50"/>
  <c r="P294" i="53"/>
  <c r="P335" i="41"/>
  <c r="P338" i="53"/>
  <c r="N326" i="38"/>
  <c r="N365" i="38"/>
  <c r="M418" i="41"/>
  <c r="M421" i="53"/>
  <c r="M408" i="53"/>
  <c r="M432" i="41"/>
  <c r="M435" i="53"/>
  <c r="M417" i="41"/>
  <c r="M420" i="53"/>
  <c r="M407" i="53"/>
  <c r="M143" i="52"/>
  <c r="M150" i="40"/>
  <c r="M151" i="52"/>
  <c r="P166" i="38"/>
  <c r="O167" i="38"/>
  <c r="O168" i="50"/>
  <c r="O169" i="50"/>
  <c r="P37" i="41"/>
  <c r="O38" i="53"/>
  <c r="N436" i="50"/>
  <c r="N405" i="38"/>
  <c r="O332" i="40"/>
  <c r="O335" i="52"/>
  <c r="O291" i="52"/>
  <c r="O38" i="52"/>
  <c r="P37" i="40"/>
  <c r="M55" i="53"/>
  <c r="M56" i="53"/>
  <c r="L406" i="40"/>
  <c r="L437" i="52"/>
  <c r="L418" i="38"/>
  <c r="L421" i="50"/>
  <c r="L408" i="50"/>
  <c r="T59" i="41"/>
  <c r="S60" i="53"/>
  <c r="M415" i="38"/>
  <c r="M418" i="50"/>
  <c r="M414" i="38"/>
  <c r="M417" i="50"/>
  <c r="M434" i="38"/>
  <c r="P289" i="50"/>
  <c r="P330" i="38"/>
  <c r="P333" i="50"/>
  <c r="P330" i="41"/>
  <c r="P333" i="53"/>
  <c r="P289" i="53"/>
  <c r="M273" i="52"/>
  <c r="M271" i="40"/>
  <c r="M273" i="40"/>
  <c r="M324" i="40"/>
  <c r="P123" i="38"/>
  <c r="O124" i="50"/>
  <c r="P338" i="40"/>
  <c r="O357" i="40"/>
  <c r="P14" i="40"/>
  <c r="O15" i="52"/>
  <c r="O16" i="50"/>
  <c r="P15" i="38"/>
  <c r="O334" i="40"/>
  <c r="O337" i="52"/>
  <c r="O293" i="52"/>
  <c r="J418" i="41"/>
  <c r="J421" i="53"/>
  <c r="J408" i="53"/>
  <c r="N54" i="41"/>
  <c r="O53" i="41"/>
  <c r="P15" i="40"/>
  <c r="O16" i="52"/>
  <c r="P334" i="38"/>
  <c r="P337" i="50"/>
  <c r="P293" i="50"/>
  <c r="Q289" i="41"/>
  <c r="Q292" i="53"/>
  <c r="R284" i="41"/>
  <c r="Q286" i="41"/>
  <c r="Q290" i="41"/>
  <c r="Q291" i="41"/>
  <c r="Q288" i="41"/>
  <c r="Q285" i="41"/>
  <c r="Q287" i="41"/>
  <c r="M156" i="53"/>
  <c r="M157" i="41"/>
  <c r="M158" i="53"/>
  <c r="M160" i="53"/>
  <c r="M377" i="41"/>
  <c r="M380" i="53"/>
  <c r="M392" i="41"/>
  <c r="M395" i="53"/>
  <c r="M367" i="53"/>
  <c r="K409" i="52"/>
  <c r="K419" i="40"/>
  <c r="K422" i="52"/>
  <c r="L369" i="52"/>
  <c r="L379" i="40"/>
  <c r="L382" i="52"/>
  <c r="N374" i="40"/>
  <c r="N377" i="52"/>
  <c r="N375" i="40"/>
  <c r="N378" i="52"/>
  <c r="N397" i="40"/>
  <c r="V47" i="54"/>
  <c r="V50" i="54"/>
  <c r="V52" i="54"/>
  <c r="V53" i="54"/>
  <c r="AU47" i="54"/>
  <c r="R47" i="54"/>
  <c r="R50" i="54"/>
  <c r="R52" i="54"/>
  <c r="R53" i="54"/>
  <c r="O173" i="50"/>
  <c r="P172" i="38"/>
  <c r="P285" i="40"/>
  <c r="P289" i="40"/>
  <c r="P292" i="52"/>
  <c r="P291" i="40"/>
  <c r="P287" i="40"/>
  <c r="P288" i="40"/>
  <c r="P290" i="40"/>
  <c r="P286" i="40"/>
  <c r="Q284" i="40"/>
  <c r="O81" i="50"/>
  <c r="P80" i="38"/>
  <c r="P220" i="38"/>
  <c r="P223" i="50"/>
  <c r="P215" i="50"/>
  <c r="R37" i="38"/>
  <c r="Q38" i="50"/>
  <c r="O274" i="50"/>
  <c r="O276" i="50"/>
  <c r="O325" i="38"/>
  <c r="O328" i="50"/>
  <c r="P332" i="41"/>
  <c r="P335" i="53"/>
  <c r="P291" i="53"/>
  <c r="M265" i="41"/>
  <c r="M268" i="53"/>
  <c r="M260" i="53"/>
  <c r="M143" i="53"/>
  <c r="M150" i="41"/>
  <c r="M151" i="53"/>
  <c r="L66" i="41"/>
  <c r="L67" i="53"/>
  <c r="M55" i="41"/>
  <c r="L369" i="50"/>
  <c r="L379" i="38"/>
  <c r="L382" i="50"/>
  <c r="N317" i="40"/>
  <c r="N328" i="40"/>
  <c r="O294" i="40"/>
  <c r="N323" i="40"/>
  <c r="P123" i="40"/>
  <c r="O124" i="52"/>
  <c r="O294" i="52"/>
  <c r="O335" i="40"/>
  <c r="O338" i="52"/>
  <c r="M436" i="50"/>
  <c r="M405" i="38"/>
  <c r="N336" i="40"/>
  <c r="N332" i="52"/>
  <c r="N339" i="52"/>
  <c r="K409" i="50"/>
  <c r="K419" i="38"/>
  <c r="K422" i="50"/>
  <c r="B20" i="35"/>
  <c r="C19" i="35"/>
  <c r="L325" i="40"/>
  <c r="L328" i="52"/>
  <c r="L274" i="52"/>
  <c r="L276" i="52"/>
  <c r="O81" i="52"/>
  <c r="P80" i="40"/>
  <c r="P76" i="50"/>
  <c r="P77" i="50"/>
  <c r="Q285" i="38"/>
  <c r="Q291" i="38"/>
  <c r="R284" i="38"/>
  <c r="Q290" i="38"/>
  <c r="Q287" i="38"/>
  <c r="Q288" i="38"/>
  <c r="Q286" i="38"/>
  <c r="Q289" i="38"/>
  <c r="Q292" i="50"/>
  <c r="M415" i="40"/>
  <c r="M418" i="52"/>
  <c r="M414" i="40"/>
  <c r="M417" i="52"/>
  <c r="M434" i="40"/>
  <c r="J408" i="52"/>
  <c r="J418" i="40"/>
  <c r="J421" i="52"/>
  <c r="M393" i="41"/>
  <c r="M396" i="53"/>
  <c r="M368" i="53"/>
  <c r="M378" i="41"/>
  <c r="M381" i="53"/>
  <c r="M157" i="40"/>
  <c r="M158" i="52"/>
  <c r="M156" i="52"/>
  <c r="P240" i="40"/>
  <c r="O243" i="52"/>
  <c r="O336" i="38"/>
  <c r="O332" i="50"/>
  <c r="O339" i="50"/>
  <c r="O288" i="52"/>
  <c r="O329" i="40"/>
  <c r="O292" i="40"/>
  <c r="N295" i="52"/>
  <c r="O173" i="52"/>
  <c r="P172" i="40"/>
  <c r="P150" i="38"/>
  <c r="P151" i="50"/>
  <c r="P143" i="50"/>
  <c r="Q240" i="41"/>
  <c r="P243" i="53"/>
  <c r="L327" i="52"/>
  <c r="O327" i="50"/>
  <c r="Q123" i="41"/>
  <c r="P124" i="53"/>
  <c r="Q75" i="38"/>
  <c r="R74" i="38"/>
  <c r="P290" i="50"/>
  <c r="P331" i="38"/>
  <c r="P334" i="50"/>
  <c r="P331" i="41"/>
  <c r="P334" i="53"/>
  <c r="P290" i="53"/>
  <c r="M397" i="52"/>
  <c r="M366" i="40"/>
  <c r="M273" i="53"/>
  <c r="M271" i="41"/>
  <c r="M273" i="41"/>
  <c r="M324" i="41"/>
  <c r="N374" i="38"/>
  <c r="N377" i="50"/>
  <c r="N375" i="38"/>
  <c r="N378" i="50"/>
  <c r="N397" i="38"/>
  <c r="N394" i="38"/>
  <c r="O339" i="53"/>
  <c r="P93" i="48"/>
  <c r="AC55" i="32"/>
  <c r="Q22" i="32"/>
  <c r="L10" i="52"/>
  <c r="L320" i="53"/>
  <c r="L326" i="53"/>
  <c r="L331" i="53"/>
  <c r="I43" i="31"/>
  <c r="AR19" i="31"/>
  <c r="I10" i="31"/>
  <c r="N24" i="54"/>
  <c r="N32" i="54"/>
  <c r="N33" i="54"/>
  <c r="O22" i="54"/>
  <c r="O236" i="41"/>
  <c r="N247" i="41"/>
  <c r="N6" i="50"/>
  <c r="N7" i="50"/>
  <c r="I62" i="52"/>
  <c r="I62" i="40"/>
  <c r="I63" i="52"/>
  <c r="L168" i="40"/>
  <c r="K169" i="40"/>
  <c r="O238" i="53"/>
  <c r="J9" i="38"/>
  <c r="N47" i="54"/>
  <c r="J50" i="54"/>
  <c r="J52" i="54"/>
  <c r="L47" i="54"/>
  <c r="K178" i="50"/>
  <c r="K186" i="38"/>
  <c r="U27" i="54"/>
  <c r="K318" i="50"/>
  <c r="K341" i="50"/>
  <c r="K360" i="50"/>
  <c r="K400" i="50"/>
  <c r="K297" i="50"/>
  <c r="J33" i="53"/>
  <c r="H333" i="53"/>
  <c r="O32" i="50"/>
  <c r="G42" i="31"/>
  <c r="AF42" i="31"/>
  <c r="AF44" i="31"/>
  <c r="N168" i="41"/>
  <c r="N177" i="41"/>
  <c r="J33" i="50"/>
  <c r="P80" i="41"/>
  <c r="O81" i="53"/>
  <c r="K177" i="40"/>
  <c r="K177" i="52"/>
  <c r="V411" i="40"/>
  <c r="W399" i="40"/>
  <c r="V419" i="40"/>
  <c r="V422" i="52"/>
  <c r="K32" i="41"/>
  <c r="S41" i="31"/>
  <c r="S44" i="31"/>
  <c r="Q402" i="52"/>
  <c r="P414" i="52"/>
  <c r="F114" i="48"/>
  <c r="E114" i="48"/>
  <c r="O120" i="41"/>
  <c r="I193" i="40"/>
  <c r="I195" i="52"/>
  <c r="I195" i="40"/>
  <c r="I197" i="52"/>
  <c r="I205" i="40"/>
  <c r="I192" i="40"/>
  <c r="I194" i="52"/>
  <c r="I194" i="40"/>
  <c r="I196" i="52"/>
  <c r="I191" i="40"/>
  <c r="I193" i="52"/>
  <c r="I189" i="40"/>
  <c r="I191" i="52"/>
  <c r="I197" i="40"/>
  <c r="I199" i="52"/>
  <c r="I183" i="40"/>
  <c r="I190" i="40"/>
  <c r="I192" i="52"/>
  <c r="Q50" i="54"/>
  <c r="Q52" i="54"/>
  <c r="Q53" i="54"/>
  <c r="AQ50" i="54"/>
  <c r="AQ52" i="54"/>
  <c r="AQ53" i="54"/>
  <c r="L121" i="50"/>
  <c r="T18" i="31"/>
  <c r="N177" i="53"/>
  <c r="S59" i="40"/>
  <c r="R60" i="52"/>
  <c r="J170" i="52"/>
  <c r="J179" i="40"/>
  <c r="J182" i="40"/>
  <c r="O31" i="53"/>
  <c r="O54" i="53"/>
  <c r="O75" i="53"/>
  <c r="O96" i="53"/>
  <c r="O117" i="53"/>
  <c r="O141" i="53"/>
  <c r="O165" i="53"/>
  <c r="N20" i="33"/>
  <c r="AX4" i="43"/>
  <c r="P402" i="53"/>
  <c r="O414" i="53"/>
  <c r="J186" i="40"/>
  <c r="J178" i="52"/>
  <c r="T116" i="40"/>
  <c r="S117" i="40"/>
  <c r="S118" i="52"/>
  <c r="P31" i="38"/>
  <c r="P32" i="50"/>
  <c r="Q30" i="38"/>
  <c r="P100" i="41"/>
  <c r="P101" i="53"/>
  <c r="P58" i="41"/>
  <c r="P59" i="53"/>
  <c r="P2" i="53"/>
  <c r="P79" i="41"/>
  <c r="P80" i="53"/>
  <c r="P239" i="41"/>
  <c r="P242" i="53"/>
  <c r="P171" i="41"/>
  <c r="P175" i="41"/>
  <c r="P176" i="53"/>
  <c r="N55" i="38"/>
  <c r="M66" i="38"/>
  <c r="M64" i="33"/>
  <c r="L121" i="52"/>
  <c r="I45" i="40"/>
  <c r="I35" i="52"/>
  <c r="I42" i="40"/>
  <c r="I43" i="52"/>
  <c r="I33" i="40"/>
  <c r="G35" i="52"/>
  <c r="G45" i="40"/>
  <c r="G42" i="40"/>
  <c r="G43" i="52"/>
  <c r="G33" i="40"/>
  <c r="O7" i="31"/>
  <c r="AW7" i="31"/>
  <c r="N7" i="31"/>
  <c r="AV7" i="31"/>
  <c r="P7" i="31"/>
  <c r="AX7" i="31"/>
  <c r="Q7" i="31"/>
  <c r="AY7" i="31"/>
  <c r="M7" i="31"/>
  <c r="R7" i="31"/>
  <c r="AZ7" i="31"/>
  <c r="S7" i="31"/>
  <c r="BA7" i="31"/>
  <c r="U7" i="31"/>
  <c r="BC7" i="31"/>
  <c r="T7" i="31"/>
  <c r="BB7" i="31"/>
  <c r="R28" i="54"/>
  <c r="Q30" i="54"/>
  <c r="K32" i="38"/>
  <c r="M108" i="41"/>
  <c r="N97" i="41"/>
  <c r="L9" i="40"/>
  <c r="AB305" i="33"/>
  <c r="F67" i="48"/>
  <c r="J9" i="41"/>
  <c r="F113" i="48"/>
  <c r="E113" i="48"/>
  <c r="AE47" i="54"/>
  <c r="AO47" i="54"/>
  <c r="L120" i="40"/>
  <c r="AU50" i="54"/>
  <c r="AU52" i="54"/>
  <c r="J187" i="50"/>
  <c r="R25" i="35"/>
  <c r="S24" i="35"/>
  <c r="Q8" i="53"/>
  <c r="Q8" i="41"/>
  <c r="Q2" i="41"/>
  <c r="Q6" i="41"/>
  <c r="R7" i="41"/>
  <c r="Q3" i="41"/>
  <c r="Q3" i="53"/>
  <c r="L67" i="50"/>
  <c r="G333" i="53"/>
  <c r="M297" i="53"/>
  <c r="M318" i="53"/>
  <c r="M341" i="53"/>
  <c r="M360" i="53"/>
  <c r="M400" i="53"/>
  <c r="N239" i="53"/>
  <c r="S362" i="53"/>
  <c r="R374" i="53"/>
  <c r="O8" i="50"/>
  <c r="O6" i="38"/>
  <c r="O3" i="38"/>
  <c r="O3" i="50"/>
  <c r="O2" i="38"/>
  <c r="P7" i="38"/>
  <c r="O8" i="38"/>
  <c r="O173" i="41"/>
  <c r="O176" i="41"/>
  <c r="O172" i="53"/>
  <c r="O174" i="53"/>
  <c r="F41" i="52"/>
  <c r="F41" i="40"/>
  <c r="F42" i="52"/>
  <c r="I41" i="52"/>
  <c r="I41" i="40"/>
  <c r="I42" i="52"/>
  <c r="G41" i="40"/>
  <c r="G42" i="52"/>
  <c r="G41" i="52"/>
  <c r="J109" i="52"/>
  <c r="L3" i="52"/>
  <c r="M3" i="40"/>
  <c r="M75" i="50"/>
  <c r="M96" i="50"/>
  <c r="M117" i="50"/>
  <c r="M141" i="50"/>
  <c r="M165" i="50"/>
  <c r="M54" i="50"/>
  <c r="M31" i="50"/>
  <c r="J243" i="40"/>
  <c r="J246" i="52"/>
  <c r="J245" i="52"/>
  <c r="L109" i="53"/>
  <c r="I187" i="52"/>
  <c r="I10" i="53"/>
  <c r="X47" i="54"/>
  <c r="I199" i="40"/>
  <c r="I183" i="52"/>
  <c r="I202" i="52"/>
  <c r="O76" i="38"/>
  <c r="N87" i="38"/>
  <c r="J331" i="50"/>
  <c r="J326" i="50"/>
  <c r="J320" i="50"/>
  <c r="L172" i="52"/>
  <c r="L174" i="52"/>
  <c r="L173" i="40"/>
  <c r="L176" i="40"/>
  <c r="P399" i="38"/>
  <c r="O411" i="38"/>
  <c r="U97" i="52"/>
  <c r="U98" i="52"/>
  <c r="P6" i="53"/>
  <c r="P7" i="53"/>
  <c r="T18" i="35"/>
  <c r="AB17" i="35"/>
  <c r="H43" i="31"/>
  <c r="H44" i="31"/>
  <c r="G19" i="31"/>
  <c r="U19" i="31"/>
  <c r="AG19" i="31"/>
  <c r="H10" i="31"/>
  <c r="U5" i="31"/>
  <c r="J40" i="40"/>
  <c r="J34" i="40"/>
  <c r="F35" i="52"/>
  <c r="F34" i="52"/>
  <c r="F42" i="40"/>
  <c r="F43" i="52"/>
  <c r="F33" i="40"/>
  <c r="F45" i="40"/>
  <c r="P47" i="42"/>
  <c r="P1" i="42"/>
  <c r="Q2" i="42"/>
  <c r="L97" i="40"/>
  <c r="K108" i="40"/>
  <c r="M177" i="41"/>
  <c r="J250" i="52"/>
  <c r="H35" i="52"/>
  <c r="H33" i="40"/>
  <c r="H45" i="40"/>
  <c r="H42" i="40"/>
  <c r="H43" i="52"/>
  <c r="E113" i="33"/>
  <c r="E112" i="33"/>
  <c r="X359" i="38"/>
  <c r="W371" i="38"/>
  <c r="W379" i="38"/>
  <c r="W382" i="50"/>
  <c r="I10" i="50"/>
  <c r="R374" i="52"/>
  <c r="S362" i="52"/>
  <c r="J33" i="52"/>
  <c r="I36" i="52"/>
  <c r="Y411" i="41"/>
  <c r="Y419" i="41"/>
  <c r="Y422" i="53"/>
  <c r="Z399" i="41"/>
  <c r="T93" i="48"/>
  <c r="AE55" i="32"/>
  <c r="M88" i="50"/>
  <c r="L167" i="50"/>
  <c r="L235" i="50"/>
  <c r="L213" i="50"/>
  <c r="L287" i="50"/>
  <c r="L285" i="50"/>
  <c r="N2" i="40"/>
  <c r="M58" i="40"/>
  <c r="M59" i="52"/>
  <c r="M2" i="52"/>
  <c r="M239" i="40"/>
  <c r="M242" i="52"/>
  <c r="M171" i="40"/>
  <c r="M100" i="40"/>
  <c r="M101" i="52"/>
  <c r="M175" i="40"/>
  <c r="M176" i="52"/>
  <c r="M79" i="40"/>
  <c r="M80" i="52"/>
  <c r="P294" i="41"/>
  <c r="O323" i="41"/>
  <c r="O328" i="41"/>
  <c r="O317" i="41"/>
  <c r="W55" i="32"/>
  <c r="N121" i="53"/>
  <c r="O96" i="38"/>
  <c r="P95" i="38"/>
  <c r="M173" i="38"/>
  <c r="M176" i="38"/>
  <c r="M172" i="50"/>
  <c r="M174" i="50"/>
  <c r="N97" i="38"/>
  <c r="M108" i="38"/>
  <c r="V96" i="40"/>
  <c r="W95" i="40"/>
  <c r="R374" i="50"/>
  <c r="S362" i="50"/>
  <c r="J57" i="52"/>
  <c r="J61" i="40"/>
  <c r="N2" i="50"/>
  <c r="N79" i="38"/>
  <c r="N80" i="50"/>
  <c r="N239" i="38"/>
  <c r="N242" i="50"/>
  <c r="N175" i="38"/>
  <c r="N176" i="50"/>
  <c r="N171" i="38"/>
  <c r="N58" i="38"/>
  <c r="N59" i="50"/>
  <c r="N100" i="38"/>
  <c r="N101" i="50"/>
  <c r="L32" i="40"/>
  <c r="K35" i="40"/>
  <c r="BB42" i="31"/>
  <c r="BB44" i="31"/>
  <c r="J44" i="31"/>
  <c r="J45" i="31"/>
  <c r="M120" i="38"/>
  <c r="AH44" i="35"/>
  <c r="AG45" i="35"/>
  <c r="Q379" i="40"/>
  <c r="Q382" i="52"/>
  <c r="R359" i="40"/>
  <c r="Q371" i="40"/>
  <c r="K247" i="40"/>
  <c r="L236" i="40"/>
  <c r="K237" i="40"/>
  <c r="K242" i="40"/>
  <c r="H41" i="52"/>
  <c r="H41" i="40"/>
  <c r="H42" i="52"/>
  <c r="J88" i="52"/>
  <c r="O47" i="54"/>
  <c r="U76" i="52"/>
  <c r="U77" i="52"/>
  <c r="M250" i="53"/>
  <c r="K66" i="40"/>
  <c r="L55" i="40"/>
  <c r="K56" i="40"/>
  <c r="N167" i="53"/>
  <c r="N287" i="53"/>
  <c r="N285" i="53"/>
  <c r="N213" i="53"/>
  <c r="N235" i="53"/>
  <c r="Q234" i="41"/>
  <c r="P235" i="41"/>
  <c r="V75" i="40"/>
  <c r="V76" i="52"/>
  <c r="W74" i="40"/>
  <c r="G70" i="39"/>
  <c r="G78" i="39"/>
  <c r="K124" i="28"/>
  <c r="N97" i="50"/>
  <c r="N98" i="50"/>
  <c r="L177" i="38"/>
  <c r="L177" i="50"/>
  <c r="L109" i="50"/>
  <c r="AQ17" i="35"/>
  <c r="AI18" i="35"/>
  <c r="M258" i="53"/>
  <c r="M237" i="53"/>
  <c r="K258" i="50"/>
  <c r="K237" i="50"/>
  <c r="J67" i="52"/>
  <c r="L239" i="52"/>
  <c r="K240" i="52"/>
  <c r="H114" i="48"/>
  <c r="G114" i="48"/>
  <c r="H181" i="52"/>
  <c r="L76" i="40"/>
  <c r="K87" i="40"/>
  <c r="Q402" i="50"/>
  <c r="P414" i="50"/>
  <c r="I180" i="52"/>
  <c r="I188" i="52"/>
  <c r="I187" i="40"/>
  <c r="W47" i="54"/>
  <c r="AL47" i="54"/>
  <c r="AJ47" i="54"/>
  <c r="L187" i="53"/>
  <c r="AB50" i="54"/>
  <c r="AB52" i="54"/>
  <c r="AB53" i="54"/>
  <c r="L329" i="52"/>
  <c r="AR47" i="54"/>
  <c r="AR50" i="54"/>
  <c r="AR52" i="54"/>
  <c r="AR53" i="54"/>
  <c r="L326" i="40"/>
  <c r="L365" i="40"/>
  <c r="AS47" i="54"/>
  <c r="K405" i="41"/>
  <c r="AG47" i="54"/>
  <c r="AG50" i="54"/>
  <c r="AG52" i="54"/>
  <c r="AG53" i="54"/>
  <c r="O168" i="38"/>
  <c r="H34" i="52"/>
  <c r="O295" i="52"/>
  <c r="Y47" i="54"/>
  <c r="Y50" i="54"/>
  <c r="Y52" i="54"/>
  <c r="Y53" i="54"/>
  <c r="U96" i="41"/>
  <c r="U97" i="53"/>
  <c r="U98" i="53"/>
  <c r="V95" i="41"/>
  <c r="K379" i="41"/>
  <c r="K382" i="53"/>
  <c r="K369" i="53"/>
  <c r="S116" i="38"/>
  <c r="R117" i="38"/>
  <c r="R118" i="50"/>
  <c r="Q124" i="40"/>
  <c r="P125" i="52"/>
  <c r="J419" i="41"/>
  <c r="J422" i="53"/>
  <c r="J409" i="53"/>
  <c r="O326" i="38"/>
  <c r="O365" i="38"/>
  <c r="O378" i="38"/>
  <c r="O381" i="50"/>
  <c r="M47" i="54"/>
  <c r="M50" i="54"/>
  <c r="M52" i="54"/>
  <c r="M53" i="54"/>
  <c r="P323" i="38"/>
  <c r="P317" i="38"/>
  <c r="Q294" i="38"/>
  <c r="P328" i="38"/>
  <c r="T59" i="38"/>
  <c r="S60" i="50"/>
  <c r="AI47" i="54"/>
  <c r="L415" i="41"/>
  <c r="L418" i="53"/>
  <c r="L414" i="41"/>
  <c r="L417" i="53"/>
  <c r="O338" i="41"/>
  <c r="N357" i="41"/>
  <c r="K406" i="41"/>
  <c r="K437" i="53"/>
  <c r="M391" i="41"/>
  <c r="M385" i="41"/>
  <c r="M388" i="53"/>
  <c r="M390" i="41"/>
  <c r="M394" i="41"/>
  <c r="M397" i="41"/>
  <c r="M374" i="41"/>
  <c r="M377" i="53"/>
  <c r="M375" i="41"/>
  <c r="M378" i="53"/>
  <c r="M231" i="53"/>
  <c r="S101" i="41"/>
  <c r="R102" i="53"/>
  <c r="P31" i="52"/>
  <c r="P75" i="52"/>
  <c r="P96" i="52"/>
  <c r="P117" i="52"/>
  <c r="P141" i="52"/>
  <c r="P165" i="52"/>
  <c r="P54" i="52"/>
  <c r="AK47" i="54"/>
  <c r="AK50" i="54"/>
  <c r="AK52" i="54"/>
  <c r="AK53" i="54"/>
  <c r="M228" i="41"/>
  <c r="AH47" i="54"/>
  <c r="AH50" i="54"/>
  <c r="AH52" i="54"/>
  <c r="AH53" i="54"/>
  <c r="N297" i="52"/>
  <c r="N318" i="52"/>
  <c r="N341" i="52"/>
  <c r="N360" i="52"/>
  <c r="N400" i="52"/>
  <c r="H47" i="54"/>
  <c r="H50" i="54"/>
  <c r="H52" i="54"/>
  <c r="H53" i="54"/>
  <c r="S7" i="40"/>
  <c r="R8" i="52"/>
  <c r="R6" i="40"/>
  <c r="R8" i="40"/>
  <c r="R9" i="52"/>
  <c r="Q101" i="38"/>
  <c r="P102" i="50"/>
  <c r="O235" i="52"/>
  <c r="O287" i="52"/>
  <c r="O285" i="52"/>
  <c r="O167" i="52"/>
  <c r="O213" i="52"/>
  <c r="O5" i="47"/>
  <c r="O29" i="47"/>
  <c r="O6" i="47"/>
  <c r="O30" i="47"/>
  <c r="O27" i="47"/>
  <c r="P3" i="47"/>
  <c r="N21" i="54"/>
  <c r="O7" i="47"/>
  <c r="O31" i="47"/>
  <c r="O4" i="47"/>
  <c r="O28" i="47"/>
  <c r="Q7" i="52"/>
  <c r="Q6" i="52"/>
  <c r="Q15" i="41"/>
  <c r="P16" i="53"/>
  <c r="N237" i="52"/>
  <c r="N258" i="52"/>
  <c r="M38" i="54"/>
  <c r="M41" i="54"/>
  <c r="M69" i="54"/>
  <c r="U47" i="54"/>
  <c r="U116" i="41"/>
  <c r="T117" i="41"/>
  <c r="T118" i="53"/>
  <c r="P74" i="41"/>
  <c r="O75" i="41"/>
  <c r="O76" i="53"/>
  <c r="O77" i="53"/>
  <c r="O247" i="38"/>
  <c r="O250" i="50"/>
  <c r="P236" i="38"/>
  <c r="Q235" i="38"/>
  <c r="Q238" i="50"/>
  <c r="Q239" i="50"/>
  <c r="R234" i="38"/>
  <c r="M320" i="52"/>
  <c r="M331" i="52"/>
  <c r="M326" i="52"/>
  <c r="M87" i="41"/>
  <c r="M88" i="53"/>
  <c r="N76" i="41"/>
  <c r="S55" i="50"/>
  <c r="S56" i="50"/>
  <c r="V77" i="52"/>
  <c r="T54" i="38"/>
  <c r="U53" i="38"/>
  <c r="I47" i="54"/>
  <c r="I50" i="54"/>
  <c r="I52" i="54"/>
  <c r="L436" i="52"/>
  <c r="L405" i="40"/>
  <c r="M274" i="53"/>
  <c r="M276" i="53"/>
  <c r="M325" i="41"/>
  <c r="M328" i="53"/>
  <c r="R75" i="38"/>
  <c r="S74" i="38"/>
  <c r="M408" i="50"/>
  <c r="M418" i="38"/>
  <c r="M421" i="50"/>
  <c r="Q288" i="53"/>
  <c r="Q292" i="41"/>
  <c r="Q329" i="41"/>
  <c r="M327" i="52"/>
  <c r="M437" i="50"/>
  <c r="M406" i="38"/>
  <c r="L419" i="40"/>
  <c r="L422" i="52"/>
  <c r="L409" i="52"/>
  <c r="R102" i="52"/>
  <c r="S101" i="40"/>
  <c r="R166" i="41"/>
  <c r="Q167" i="41"/>
  <c r="Q168" i="53"/>
  <c r="O158" i="40"/>
  <c r="O159" i="52"/>
  <c r="O142" i="40"/>
  <c r="O162" i="40"/>
  <c r="O163" i="52"/>
  <c r="O227" i="40"/>
  <c r="O230" i="52"/>
  <c r="O405" i="40"/>
  <c r="O156" i="40"/>
  <c r="O157" i="52"/>
  <c r="O212" i="40"/>
  <c r="O365" i="40"/>
  <c r="O404" i="40"/>
  <c r="O270" i="40"/>
  <c r="O257" i="40"/>
  <c r="P140" i="40"/>
  <c r="O155" i="40"/>
  <c r="O272" i="40"/>
  <c r="O275" i="52"/>
  <c r="O364" i="40"/>
  <c r="O350" i="40"/>
  <c r="O353" i="52"/>
  <c r="O225" i="40"/>
  <c r="O230" i="40"/>
  <c r="O233" i="52"/>
  <c r="O275" i="40"/>
  <c r="N278" i="53"/>
  <c r="N277" i="41"/>
  <c r="N308" i="41"/>
  <c r="Q265" i="38"/>
  <c r="Q268" i="50"/>
  <c r="Q260" i="50"/>
  <c r="Q76" i="50"/>
  <c r="Q77" i="50"/>
  <c r="Q240" i="40"/>
  <c r="P243" i="52"/>
  <c r="Q292" i="38"/>
  <c r="Q330" i="38"/>
  <c r="Q289" i="50"/>
  <c r="N55" i="41"/>
  <c r="M66" i="41"/>
  <c r="M67" i="53"/>
  <c r="P288" i="52"/>
  <c r="P329" i="40"/>
  <c r="P292" i="40"/>
  <c r="N415" i="40"/>
  <c r="N418" i="52"/>
  <c r="N414" i="40"/>
  <c r="N417" i="52"/>
  <c r="Q332" i="41"/>
  <c r="Q335" i="53"/>
  <c r="Q291" i="53"/>
  <c r="Q14" i="40"/>
  <c r="P15" i="52"/>
  <c r="Q37" i="41"/>
  <c r="P38" i="53"/>
  <c r="N157" i="41"/>
  <c r="N158" i="53"/>
  <c r="N156" i="53"/>
  <c r="N160" i="53"/>
  <c r="O225" i="41"/>
  <c r="O155" i="41"/>
  <c r="O158" i="41"/>
  <c r="O159" i="53"/>
  <c r="O364" i="41"/>
  <c r="O162" i="41"/>
  <c r="O163" i="53"/>
  <c r="O365" i="41"/>
  <c r="O350" i="41"/>
  <c r="O353" i="53"/>
  <c r="O212" i="41"/>
  <c r="O227" i="41"/>
  <c r="O230" i="53"/>
  <c r="O270" i="41"/>
  <c r="O257" i="41"/>
  <c r="O230" i="41"/>
  <c r="O233" i="53"/>
  <c r="O275" i="41"/>
  <c r="O404" i="41"/>
  <c r="O142" i="41"/>
  <c r="P140" i="41"/>
  <c r="O272" i="41"/>
  <c r="O275" i="53"/>
  <c r="O156" i="41"/>
  <c r="O157" i="53"/>
  <c r="O405" i="41"/>
  <c r="P125" i="53"/>
  <c r="Q124" i="41"/>
  <c r="M231" i="52"/>
  <c r="S39" i="50"/>
  <c r="T38" i="38"/>
  <c r="Q150" i="38"/>
  <c r="Q151" i="50"/>
  <c r="Q143" i="50"/>
  <c r="Q228" i="50"/>
  <c r="Q226" i="38"/>
  <c r="Q229" i="50"/>
  <c r="Q157" i="38"/>
  <c r="Q158" i="50"/>
  <c r="Q156" i="50"/>
  <c r="N397" i="50"/>
  <c r="N366" i="38"/>
  <c r="M369" i="52"/>
  <c r="M379" i="40"/>
  <c r="M382" i="52"/>
  <c r="Q332" i="38"/>
  <c r="Q335" i="50"/>
  <c r="Q291" i="50"/>
  <c r="Q288" i="40"/>
  <c r="Q290" i="40"/>
  <c r="Q289" i="40"/>
  <c r="Q292" i="52"/>
  <c r="Q286" i="40"/>
  <c r="R284" i="40"/>
  <c r="Q291" i="40"/>
  <c r="Q287" i="40"/>
  <c r="Q285" i="40"/>
  <c r="Q172" i="38"/>
  <c r="P173" i="50"/>
  <c r="Q335" i="41"/>
  <c r="Q338" i="53"/>
  <c r="Q294" i="53"/>
  <c r="M325" i="40"/>
  <c r="M328" i="52"/>
  <c r="M274" i="52"/>
  <c r="M276" i="52"/>
  <c r="N418" i="38"/>
  <c r="N421" i="50"/>
  <c r="N408" i="50"/>
  <c r="R30" i="41"/>
  <c r="Q31" i="41"/>
  <c r="Q32" i="53"/>
  <c r="N143" i="52"/>
  <c r="N150" i="40"/>
  <c r="N151" i="52"/>
  <c r="R172" i="41"/>
  <c r="Q173" i="53"/>
  <c r="P332" i="53"/>
  <c r="P339" i="53"/>
  <c r="P336" i="41"/>
  <c r="Q418" i="38"/>
  <c r="Q421" i="50"/>
  <c r="Q408" i="50"/>
  <c r="Q378" i="38"/>
  <c r="Q381" i="50"/>
  <c r="Q393" i="38"/>
  <c r="Q396" i="50"/>
  <c r="Q368" i="50"/>
  <c r="Q407" i="50"/>
  <c r="Q432" i="38"/>
  <c r="Q435" i="50"/>
  <c r="Q417" i="38"/>
  <c r="Q420" i="50"/>
  <c r="Q38" i="40"/>
  <c r="P39" i="52"/>
  <c r="K408" i="53"/>
  <c r="K418" i="41"/>
  <c r="K421" i="53"/>
  <c r="I43" i="40"/>
  <c r="N434" i="38"/>
  <c r="N414" i="38"/>
  <c r="N417" i="50"/>
  <c r="N415" i="38"/>
  <c r="N418" i="50"/>
  <c r="Q124" i="53"/>
  <c r="R123" i="41"/>
  <c r="R240" i="41"/>
  <c r="Q243" i="53"/>
  <c r="Q290" i="50"/>
  <c r="Q331" i="38"/>
  <c r="Q334" i="50"/>
  <c r="B21" i="35"/>
  <c r="C20" i="35"/>
  <c r="O317" i="40"/>
  <c r="P294" i="40"/>
  <c r="O323" i="40"/>
  <c r="O328" i="40"/>
  <c r="S37" i="38"/>
  <c r="R38" i="50"/>
  <c r="P330" i="40"/>
  <c r="P333" i="52"/>
  <c r="P289" i="52"/>
  <c r="Q293" i="53"/>
  <c r="Q334" i="41"/>
  <c r="Q337" i="53"/>
  <c r="Q15" i="40"/>
  <c r="P16" i="52"/>
  <c r="Q37" i="40"/>
  <c r="P38" i="52"/>
  <c r="Q166" i="38"/>
  <c r="P167" i="38"/>
  <c r="P168" i="38"/>
  <c r="N378" i="38"/>
  <c r="N381" i="50"/>
  <c r="N368" i="50"/>
  <c r="N393" i="38"/>
  <c r="N396" i="50"/>
  <c r="N150" i="41"/>
  <c r="N151" i="53"/>
  <c r="N143" i="53"/>
  <c r="P15" i="53"/>
  <c r="Q14" i="41"/>
  <c r="P295" i="53"/>
  <c r="O368" i="50"/>
  <c r="O332" i="52"/>
  <c r="O339" i="52"/>
  <c r="O336" i="40"/>
  <c r="M159" i="40"/>
  <c r="Q334" i="38"/>
  <c r="Q337" i="50"/>
  <c r="Q293" i="50"/>
  <c r="P293" i="52"/>
  <c r="P334" i="40"/>
  <c r="P337" i="52"/>
  <c r="M159" i="41"/>
  <c r="M433" i="41"/>
  <c r="M436" i="53"/>
  <c r="Q330" i="41"/>
  <c r="Q333" i="53"/>
  <c r="Q289" i="53"/>
  <c r="O436" i="50"/>
  <c r="O405" i="38"/>
  <c r="O375" i="40"/>
  <c r="O378" i="52"/>
  <c r="O385" i="40"/>
  <c r="O388" i="52"/>
  <c r="O374" i="40"/>
  <c r="O377" i="52"/>
  <c r="O394" i="40"/>
  <c r="O390" i="40"/>
  <c r="O397" i="40"/>
  <c r="O391" i="40"/>
  <c r="U59" i="41"/>
  <c r="T60" i="53"/>
  <c r="R38" i="41"/>
  <c r="Q39" i="53"/>
  <c r="N367" i="53"/>
  <c r="N377" i="41"/>
  <c r="N380" i="53"/>
  <c r="N392" i="41"/>
  <c r="N395" i="53"/>
  <c r="N265" i="41"/>
  <c r="N268" i="53"/>
  <c r="N260" i="53"/>
  <c r="Q377" i="38"/>
  <c r="Q380" i="50"/>
  <c r="Q367" i="50"/>
  <c r="Q392" i="38"/>
  <c r="Q395" i="50"/>
  <c r="Q273" i="50"/>
  <c r="Q271" i="38"/>
  <c r="Q273" i="38"/>
  <c r="Q324" i="38"/>
  <c r="H115" i="48"/>
  <c r="M160" i="52"/>
  <c r="M406" i="40"/>
  <c r="M437" i="52"/>
  <c r="R287" i="38"/>
  <c r="S284" i="38"/>
  <c r="R290" i="38"/>
  <c r="R288" i="38"/>
  <c r="R285" i="38"/>
  <c r="R291" i="38"/>
  <c r="R289" i="38"/>
  <c r="R292" i="50"/>
  <c r="R286" i="38"/>
  <c r="Q80" i="40"/>
  <c r="P81" i="52"/>
  <c r="P291" i="52"/>
  <c r="P332" i="40"/>
  <c r="P335" i="52"/>
  <c r="R287" i="41"/>
  <c r="R286" i="41"/>
  <c r="R288" i="41"/>
  <c r="R285" i="41"/>
  <c r="R289" i="41"/>
  <c r="R292" i="53"/>
  <c r="R290" i="41"/>
  <c r="R291" i="41"/>
  <c r="S284" i="41"/>
  <c r="O54" i="41"/>
  <c r="P53" i="41"/>
  <c r="P357" i="40"/>
  <c r="Q338" i="40"/>
  <c r="N228" i="53"/>
  <c r="N226" i="41"/>
  <c r="N229" i="53"/>
  <c r="N368" i="53"/>
  <c r="N378" i="41"/>
  <c r="N381" i="53"/>
  <c r="N393" i="41"/>
  <c r="N396" i="53"/>
  <c r="Q243" i="50"/>
  <c r="R240" i="38"/>
  <c r="O375" i="38"/>
  <c r="O378" i="50"/>
  <c r="O394" i="38"/>
  <c r="O374" i="38"/>
  <c r="O377" i="50"/>
  <c r="O397" i="38"/>
  <c r="K418" i="40"/>
  <c r="K421" i="52"/>
  <c r="K408" i="52"/>
  <c r="Q335" i="38"/>
  <c r="Q338" i="50"/>
  <c r="Q294" i="50"/>
  <c r="P124" i="52"/>
  <c r="Q123" i="40"/>
  <c r="O329" i="50"/>
  <c r="Q80" i="38"/>
  <c r="P81" i="50"/>
  <c r="P331" i="40"/>
  <c r="P334" i="52"/>
  <c r="P290" i="52"/>
  <c r="N55" i="53"/>
  <c r="N56" i="53"/>
  <c r="Q15" i="38"/>
  <c r="P16" i="50"/>
  <c r="P295" i="50"/>
  <c r="K393" i="41"/>
  <c r="K396" i="53"/>
  <c r="K368" i="53"/>
  <c r="K378" i="41"/>
  <c r="K381" i="53"/>
  <c r="N220" i="40"/>
  <c r="N223" i="52"/>
  <c r="N215" i="52"/>
  <c r="N407" i="53"/>
  <c r="N432" i="41"/>
  <c r="N435" i="53"/>
  <c r="N417" i="41"/>
  <c r="N420" i="53"/>
  <c r="N273" i="53"/>
  <c r="N271" i="41"/>
  <c r="N324" i="41"/>
  <c r="P357" i="38"/>
  <c r="Q338" i="38"/>
  <c r="M369" i="50"/>
  <c r="M379" i="38"/>
  <c r="M382" i="50"/>
  <c r="Q125" i="50"/>
  <c r="R124" i="38"/>
  <c r="R405" i="38"/>
  <c r="R212" i="38"/>
  <c r="R364" i="38"/>
  <c r="R227" i="38"/>
  <c r="R230" i="50"/>
  <c r="R156" i="38"/>
  <c r="R157" i="50"/>
  <c r="R225" i="38"/>
  <c r="R404" i="38"/>
  <c r="R270" i="38"/>
  <c r="R365" i="38"/>
  <c r="R275" i="38"/>
  <c r="R142" i="38"/>
  <c r="S140" i="38"/>
  <c r="R350" i="38"/>
  <c r="R353" i="50"/>
  <c r="R158" i="38"/>
  <c r="R159" i="50"/>
  <c r="R257" i="38"/>
  <c r="R162" i="38"/>
  <c r="R163" i="50"/>
  <c r="R272" i="38"/>
  <c r="R275" i="50"/>
  <c r="R155" i="38"/>
  <c r="R230" i="38"/>
  <c r="R233" i="50"/>
  <c r="M327" i="53"/>
  <c r="M329" i="53"/>
  <c r="M326" i="41"/>
  <c r="L368" i="52"/>
  <c r="L393" i="40"/>
  <c r="L396" i="52"/>
  <c r="L378" i="40"/>
  <c r="L381" i="52"/>
  <c r="Q172" i="40"/>
  <c r="P173" i="52"/>
  <c r="Q288" i="50"/>
  <c r="Q329" i="38"/>
  <c r="P335" i="40"/>
  <c r="P338" i="52"/>
  <c r="P294" i="52"/>
  <c r="Q331" i="41"/>
  <c r="Q334" i="53"/>
  <c r="Q290" i="53"/>
  <c r="Q123" i="38"/>
  <c r="P124" i="50"/>
  <c r="P332" i="50"/>
  <c r="P336" i="38"/>
  <c r="Q169" i="53"/>
  <c r="N260" i="52"/>
  <c r="N265" i="40"/>
  <c r="N268" i="52"/>
  <c r="N280" i="53"/>
  <c r="N311" i="53"/>
  <c r="N215" i="53"/>
  <c r="N220" i="41"/>
  <c r="N223" i="53"/>
  <c r="N408" i="53"/>
  <c r="N418" i="41"/>
  <c r="N421" i="53"/>
  <c r="M228" i="40"/>
  <c r="Q220" i="38"/>
  <c r="Q223" i="50"/>
  <c r="Q215" i="50"/>
  <c r="Q277" i="38"/>
  <c r="Q308" i="38"/>
  <c r="Q278" i="50"/>
  <c r="Q280" i="50"/>
  <c r="Q311" i="50"/>
  <c r="Q14" i="38"/>
  <c r="P15" i="50"/>
  <c r="AU57" i="54"/>
  <c r="AU53" i="54"/>
  <c r="H57" i="54"/>
  <c r="H62" i="54"/>
  <c r="H63" i="54"/>
  <c r="I57" i="54"/>
  <c r="I62" i="54"/>
  <c r="I63" i="54"/>
  <c r="I53" i="54"/>
  <c r="J31" i="32"/>
  <c r="M168" i="40"/>
  <c r="L169" i="40"/>
  <c r="N258" i="53"/>
  <c r="N237" i="53"/>
  <c r="H43" i="40"/>
  <c r="R379" i="40"/>
  <c r="R382" i="52"/>
  <c r="S359" i="40"/>
  <c r="R371" i="40"/>
  <c r="Z411" i="41"/>
  <c r="Z419" i="41"/>
  <c r="Z422" i="53"/>
  <c r="J10" i="50"/>
  <c r="Q47" i="42"/>
  <c r="Q1" i="42"/>
  <c r="R2" i="42"/>
  <c r="J35" i="52"/>
  <c r="J34" i="52"/>
  <c r="J42" i="40"/>
  <c r="J43" i="52"/>
  <c r="J33" i="40"/>
  <c r="J45" i="40"/>
  <c r="M287" i="50"/>
  <c r="M285" i="50"/>
  <c r="M213" i="50"/>
  <c r="M235" i="50"/>
  <c r="M167" i="50"/>
  <c r="Q7" i="38"/>
  <c r="P6" i="38"/>
  <c r="P8" i="38"/>
  <c r="P9" i="50"/>
  <c r="P8" i="50"/>
  <c r="P3" i="38"/>
  <c r="P3" i="50"/>
  <c r="P2" i="38"/>
  <c r="O239" i="53"/>
  <c r="Q175" i="41"/>
  <c r="Q176" i="53"/>
  <c r="Q100" i="41"/>
  <c r="Q101" i="53"/>
  <c r="Q2" i="53"/>
  <c r="Q58" i="41"/>
  <c r="Q59" i="53"/>
  <c r="Q239" i="41"/>
  <c r="Q242" i="53"/>
  <c r="Q79" i="41"/>
  <c r="Q80" i="53"/>
  <c r="Q171" i="41"/>
  <c r="M120" i="40"/>
  <c r="N108" i="41"/>
  <c r="O97" i="41"/>
  <c r="BB34" i="31"/>
  <c r="BB45" i="31"/>
  <c r="BB28" i="31"/>
  <c r="BB27" i="31"/>
  <c r="BB30" i="31"/>
  <c r="BB23" i="31"/>
  <c r="BB24" i="31"/>
  <c r="BB29" i="31"/>
  <c r="AW34" i="31"/>
  <c r="AW45" i="31"/>
  <c r="AW28" i="31"/>
  <c r="AW27" i="31"/>
  <c r="AW30" i="31"/>
  <c r="AW23" i="31"/>
  <c r="AW24" i="31"/>
  <c r="AW29" i="31"/>
  <c r="N186" i="41"/>
  <c r="N178" i="53"/>
  <c r="M121" i="50"/>
  <c r="P120" i="41"/>
  <c r="L32" i="41"/>
  <c r="K186" i="40"/>
  <c r="K178" i="52"/>
  <c r="K33" i="50"/>
  <c r="K33" i="53"/>
  <c r="AC50" i="54"/>
  <c r="AC52" i="54"/>
  <c r="AC53" i="54"/>
  <c r="N6" i="31"/>
  <c r="AK6" i="31"/>
  <c r="O6" i="31"/>
  <c r="AL6" i="31"/>
  <c r="P6" i="31"/>
  <c r="AM6" i="31"/>
  <c r="M6" i="31"/>
  <c r="Q6" i="31"/>
  <c r="AN6" i="31"/>
  <c r="R6" i="31"/>
  <c r="AO6" i="31"/>
  <c r="T6" i="31"/>
  <c r="AQ6" i="31"/>
  <c r="S6" i="31"/>
  <c r="AP6" i="31"/>
  <c r="M10" i="52"/>
  <c r="AJ50" i="54"/>
  <c r="AJ52" i="54"/>
  <c r="AJ53" i="54"/>
  <c r="M239" i="52"/>
  <c r="L240" i="52"/>
  <c r="N172" i="50"/>
  <c r="N174" i="50"/>
  <c r="N173" i="38"/>
  <c r="N176" i="38"/>
  <c r="L237" i="50"/>
  <c r="L258" i="50"/>
  <c r="T111" i="48"/>
  <c r="O111" i="48"/>
  <c r="O112" i="48"/>
  <c r="F68" i="54"/>
  <c r="G57" i="54"/>
  <c r="G53" i="54"/>
  <c r="H46" i="52"/>
  <c r="J41" i="52"/>
  <c r="J41" i="40"/>
  <c r="J42" i="52"/>
  <c r="O239" i="38"/>
  <c r="O242" i="50"/>
  <c r="O171" i="38"/>
  <c r="O2" i="50"/>
  <c r="O58" i="38"/>
  <c r="O59" i="50"/>
  <c r="O100" i="38"/>
  <c r="O101" i="50"/>
  <c r="O175" i="38"/>
  <c r="O176" i="50"/>
  <c r="O79" i="38"/>
  <c r="O80" i="50"/>
  <c r="Q9" i="53"/>
  <c r="AO50" i="54"/>
  <c r="AO52" i="54"/>
  <c r="AO53" i="54"/>
  <c r="M109" i="53"/>
  <c r="BC27" i="31"/>
  <c r="BC28" i="31"/>
  <c r="BC34" i="31"/>
  <c r="BC45" i="31"/>
  <c r="BC30" i="31"/>
  <c r="BC23" i="31"/>
  <c r="BC24" i="31"/>
  <c r="BC29" i="31"/>
  <c r="S50" i="54"/>
  <c r="S52" i="54"/>
  <c r="S53" i="54"/>
  <c r="H45" i="31"/>
  <c r="K331" i="50"/>
  <c r="K326" i="50"/>
  <c r="K320" i="50"/>
  <c r="M124" i="28"/>
  <c r="R234" i="41"/>
  <c r="Q235" i="41"/>
  <c r="J62" i="52"/>
  <c r="J62" i="40"/>
  <c r="J63" i="52"/>
  <c r="AV28" i="31"/>
  <c r="AV34" i="31"/>
  <c r="AV45" i="31"/>
  <c r="AV27" i="31"/>
  <c r="AV30" i="31"/>
  <c r="AV23" i="31"/>
  <c r="AV24" i="31"/>
  <c r="AV29" i="31"/>
  <c r="J187" i="52"/>
  <c r="L186" i="38"/>
  <c r="L178" i="50"/>
  <c r="N318" i="53"/>
  <c r="N341" i="53"/>
  <c r="N360" i="53"/>
  <c r="N400" i="53"/>
  <c r="N297" i="53"/>
  <c r="H44" i="52"/>
  <c r="T362" i="50"/>
  <c r="S374" i="50"/>
  <c r="N108" i="38"/>
  <c r="O97" i="38"/>
  <c r="M172" i="52"/>
  <c r="M174" i="52"/>
  <c r="M173" i="40"/>
  <c r="M176" i="40"/>
  <c r="Z50" i="54"/>
  <c r="Z52" i="54"/>
  <c r="Z53" i="54"/>
  <c r="K109" i="52"/>
  <c r="G43" i="31"/>
  <c r="G49" i="31"/>
  <c r="AG43" i="31"/>
  <c r="AG44" i="31"/>
  <c r="M3" i="52"/>
  <c r="N3" i="40"/>
  <c r="I44" i="52"/>
  <c r="Q7" i="53"/>
  <c r="Q6" i="53"/>
  <c r="T50" i="54"/>
  <c r="T52" i="54"/>
  <c r="T53" i="54"/>
  <c r="BA34" i="31"/>
  <c r="BA45" i="31"/>
  <c r="BA27" i="31"/>
  <c r="BA28" i="31"/>
  <c r="BA30" i="31"/>
  <c r="BA23" i="31"/>
  <c r="BA24" i="31"/>
  <c r="BA29" i="31"/>
  <c r="P172" i="53"/>
  <c r="P174" i="53"/>
  <c r="P173" i="41"/>
  <c r="P176" i="41"/>
  <c r="Q31" i="38"/>
  <c r="R30" i="38"/>
  <c r="Q402" i="53"/>
  <c r="P414" i="53"/>
  <c r="T59" i="40"/>
  <c r="S60" i="52"/>
  <c r="AT50" i="54"/>
  <c r="AT52" i="54"/>
  <c r="AT53" i="54"/>
  <c r="Q80" i="41"/>
  <c r="P81" i="53"/>
  <c r="O168" i="41"/>
  <c r="O177" i="41"/>
  <c r="K187" i="50"/>
  <c r="N250" i="53"/>
  <c r="AR43" i="31"/>
  <c r="AR44" i="31"/>
  <c r="I44" i="31"/>
  <c r="I45" i="31"/>
  <c r="AB55" i="32"/>
  <c r="M76" i="40"/>
  <c r="L87" i="40"/>
  <c r="P50" i="54"/>
  <c r="P52" i="54"/>
  <c r="P53" i="54"/>
  <c r="AD50" i="54"/>
  <c r="AD52" i="54"/>
  <c r="AD53" i="54"/>
  <c r="AL50" i="54"/>
  <c r="AL52" i="54"/>
  <c r="AL53" i="54"/>
  <c r="W75" i="40"/>
  <c r="X74" i="40"/>
  <c r="K245" i="52"/>
  <c r="K243" i="40"/>
  <c r="K246" i="52"/>
  <c r="Q95" i="38"/>
  <c r="P96" i="38"/>
  <c r="P323" i="41"/>
  <c r="Q294" i="41"/>
  <c r="P328" i="41"/>
  <c r="P317" i="41"/>
  <c r="L108" i="40"/>
  <c r="M97" i="40"/>
  <c r="AB18" i="35"/>
  <c r="T19" i="35"/>
  <c r="I181" i="52"/>
  <c r="G43" i="40"/>
  <c r="AE50" i="54"/>
  <c r="AE52" i="54"/>
  <c r="AE53" i="54"/>
  <c r="AZ27" i="31"/>
  <c r="AZ34" i="31"/>
  <c r="AZ45" i="31"/>
  <c r="AZ28" i="31"/>
  <c r="AZ30" i="31"/>
  <c r="AZ23" i="31"/>
  <c r="AZ24" i="31"/>
  <c r="AZ29" i="31"/>
  <c r="I34" i="52"/>
  <c r="H77" i="39"/>
  <c r="T42" i="31"/>
  <c r="T44" i="31"/>
  <c r="L50" i="54"/>
  <c r="L52" i="54"/>
  <c r="K9" i="38"/>
  <c r="P236" i="41"/>
  <c r="O247" i="41"/>
  <c r="AG5" i="31"/>
  <c r="S28" i="54"/>
  <c r="R30" i="54"/>
  <c r="J180" i="52"/>
  <c r="J188" i="52"/>
  <c r="J187" i="40"/>
  <c r="AS50" i="54"/>
  <c r="AS52" i="54"/>
  <c r="AS53" i="54"/>
  <c r="K88" i="52"/>
  <c r="W50" i="54"/>
  <c r="W52" i="54"/>
  <c r="W53" i="54"/>
  <c r="H184" i="52"/>
  <c r="H208" i="52"/>
  <c r="K61" i="40"/>
  <c r="K57" i="52"/>
  <c r="M236" i="40"/>
  <c r="L247" i="40"/>
  <c r="L237" i="40"/>
  <c r="L242" i="40"/>
  <c r="M177" i="38"/>
  <c r="M177" i="50"/>
  <c r="O97" i="50"/>
  <c r="O98" i="50"/>
  <c r="K33" i="52"/>
  <c r="J36" i="52"/>
  <c r="F46" i="52"/>
  <c r="J10" i="53"/>
  <c r="I189" i="52"/>
  <c r="G44" i="52"/>
  <c r="F43" i="40"/>
  <c r="O6" i="50"/>
  <c r="O7" i="50"/>
  <c r="V7" i="31"/>
  <c r="AU7" i="31"/>
  <c r="G46" i="52"/>
  <c r="I46" i="52"/>
  <c r="Q414" i="52"/>
  <c r="R402" i="52"/>
  <c r="V27" i="54"/>
  <c r="J53" i="54"/>
  <c r="J57" i="54"/>
  <c r="J62" i="54"/>
  <c r="J63" i="54"/>
  <c r="N54" i="50"/>
  <c r="N75" i="50"/>
  <c r="N96" i="50"/>
  <c r="N117" i="50"/>
  <c r="N141" i="50"/>
  <c r="N31" i="50"/>
  <c r="N165" i="50"/>
  <c r="P22" i="54"/>
  <c r="O24" i="54"/>
  <c r="O32" i="54"/>
  <c r="O33" i="54"/>
  <c r="O177" i="53"/>
  <c r="K9" i="41"/>
  <c r="O235" i="53"/>
  <c r="O213" i="53"/>
  <c r="O167" i="53"/>
  <c r="O287" i="53"/>
  <c r="O285" i="53"/>
  <c r="M109" i="50"/>
  <c r="R402" i="50"/>
  <c r="Q414" i="50"/>
  <c r="L66" i="40"/>
  <c r="M55" i="40"/>
  <c r="L56" i="40"/>
  <c r="K53" i="54"/>
  <c r="K57" i="54"/>
  <c r="K62" i="54"/>
  <c r="K63" i="54"/>
  <c r="K250" i="52"/>
  <c r="N120" i="38"/>
  <c r="K34" i="40"/>
  <c r="K40" i="40"/>
  <c r="S374" i="52"/>
  <c r="T362" i="52"/>
  <c r="Q399" i="38"/>
  <c r="P419" i="38"/>
  <c r="P422" i="50"/>
  <c r="P411" i="38"/>
  <c r="N88" i="50"/>
  <c r="F44" i="52"/>
  <c r="R26" i="35"/>
  <c r="S25" i="35"/>
  <c r="AY34" i="31"/>
  <c r="AY45" i="31"/>
  <c r="AY27" i="31"/>
  <c r="AY28" i="31"/>
  <c r="AY30" i="31"/>
  <c r="AY23" i="31"/>
  <c r="AY24" i="31"/>
  <c r="AY29" i="31"/>
  <c r="G34" i="52"/>
  <c r="M67" i="50"/>
  <c r="T117" i="40"/>
  <c r="U116" i="40"/>
  <c r="W419" i="40"/>
  <c r="W422" i="52"/>
  <c r="W411" i="40"/>
  <c r="X399" i="40"/>
  <c r="N50" i="54"/>
  <c r="N52" i="54"/>
  <c r="N53" i="54"/>
  <c r="AH45" i="35"/>
  <c r="J55" i="31"/>
  <c r="V97" i="52"/>
  <c r="V98" i="52"/>
  <c r="L297" i="50"/>
  <c r="L318" i="50"/>
  <c r="L341" i="50"/>
  <c r="L360" i="50"/>
  <c r="L400" i="50"/>
  <c r="O9" i="50"/>
  <c r="AQ18" i="35"/>
  <c r="AI19" i="35"/>
  <c r="P238" i="53"/>
  <c r="K67" i="52"/>
  <c r="O50" i="54"/>
  <c r="O52" i="54"/>
  <c r="O53" i="54"/>
  <c r="M32" i="40"/>
  <c r="L35" i="40"/>
  <c r="W96" i="40"/>
  <c r="W97" i="52"/>
  <c r="X95" i="40"/>
  <c r="O121" i="53"/>
  <c r="N58" i="40"/>
  <c r="N59" i="52"/>
  <c r="N171" i="40"/>
  <c r="N175" i="40"/>
  <c r="N176" i="52"/>
  <c r="N2" i="52"/>
  <c r="N239" i="40"/>
  <c r="N242" i="52"/>
  <c r="N79" i="40"/>
  <c r="N80" i="52"/>
  <c r="N100" i="40"/>
  <c r="N101" i="52"/>
  <c r="O2" i="40"/>
  <c r="X379" i="38"/>
  <c r="X382" i="50"/>
  <c r="X371" i="38"/>
  <c r="Y359" i="38"/>
  <c r="M178" i="53"/>
  <c r="M186" i="41"/>
  <c r="G10" i="31"/>
  <c r="H20" i="31"/>
  <c r="O5" i="31"/>
  <c r="P5" i="31"/>
  <c r="N5" i="31"/>
  <c r="M5" i="31"/>
  <c r="Q5" i="31"/>
  <c r="R5" i="31"/>
  <c r="S5" i="31"/>
  <c r="T5" i="31"/>
  <c r="P165" i="53"/>
  <c r="P54" i="53"/>
  <c r="P75" i="53"/>
  <c r="P96" i="53"/>
  <c r="P117" i="53"/>
  <c r="P141" i="53"/>
  <c r="P31" i="53"/>
  <c r="L177" i="40"/>
  <c r="L177" i="52"/>
  <c r="P76" i="38"/>
  <c r="O87" i="38"/>
  <c r="X50" i="54"/>
  <c r="X52" i="54"/>
  <c r="X53" i="54"/>
  <c r="S374" i="53"/>
  <c r="T362" i="53"/>
  <c r="M331" i="53"/>
  <c r="M320" i="53"/>
  <c r="M326" i="53"/>
  <c r="R6" i="41"/>
  <c r="R8" i="41"/>
  <c r="S7" i="41"/>
  <c r="R2" i="41"/>
  <c r="R8" i="53"/>
  <c r="R3" i="41"/>
  <c r="R3" i="53"/>
  <c r="M9" i="40"/>
  <c r="L32" i="38"/>
  <c r="AX34" i="31"/>
  <c r="AX45" i="31"/>
  <c r="AX27" i="31"/>
  <c r="AX28" i="31"/>
  <c r="AX30" i="31"/>
  <c r="AX23" i="31"/>
  <c r="AX24" i="31"/>
  <c r="AX29" i="31"/>
  <c r="M121" i="52"/>
  <c r="O55" i="38"/>
  <c r="N66" i="38"/>
  <c r="J180" i="40"/>
  <c r="J183" i="52"/>
  <c r="J202" i="52"/>
  <c r="J199" i="40"/>
  <c r="K179" i="40"/>
  <c r="K180" i="40"/>
  <c r="K170" i="52"/>
  <c r="K182" i="40"/>
  <c r="U6" i="31"/>
  <c r="AR6" i="31"/>
  <c r="O393" i="38"/>
  <c r="O396" i="50"/>
  <c r="W95" i="41"/>
  <c r="V96" i="41"/>
  <c r="V97" i="53"/>
  <c r="V98" i="53"/>
  <c r="M394" i="53"/>
  <c r="M431" i="41"/>
  <c r="M434" i="53"/>
  <c r="T60" i="50"/>
  <c r="U59" i="38"/>
  <c r="K409" i="53"/>
  <c r="K419" i="41"/>
  <c r="K422" i="53"/>
  <c r="N391" i="41"/>
  <c r="N374" i="41"/>
  <c r="N377" i="53"/>
  <c r="N375" i="41"/>
  <c r="N378" i="53"/>
  <c r="N390" i="41"/>
  <c r="N385" i="41"/>
  <c r="N388" i="53"/>
  <c r="N394" i="41"/>
  <c r="N397" i="41"/>
  <c r="R294" i="38"/>
  <c r="Q328" i="38"/>
  <c r="Q317" i="38"/>
  <c r="Q323" i="38"/>
  <c r="R124" i="40"/>
  <c r="Q125" i="52"/>
  <c r="M425" i="41"/>
  <c r="M428" i="53"/>
  <c r="M414" i="41"/>
  <c r="M417" i="53"/>
  <c r="M430" i="41"/>
  <c r="M415" i="41"/>
  <c r="M418" i="53"/>
  <c r="M434" i="41"/>
  <c r="O357" i="41"/>
  <c r="P338" i="41"/>
  <c r="M366" i="41"/>
  <c r="M397" i="53"/>
  <c r="T116" i="38"/>
  <c r="S117" i="38"/>
  <c r="S118" i="50"/>
  <c r="N231" i="53"/>
  <c r="M363" i="41"/>
  <c r="M393" i="53"/>
  <c r="AI50" i="54"/>
  <c r="AI52" i="54"/>
  <c r="AI53" i="54"/>
  <c r="Q236" i="38"/>
  <c r="P247" i="38"/>
  <c r="P250" i="50"/>
  <c r="O76" i="41"/>
  <c r="N87" i="41"/>
  <c r="N88" i="53"/>
  <c r="M57" i="54"/>
  <c r="M62" i="54"/>
  <c r="M63" i="54"/>
  <c r="M60" i="54"/>
  <c r="N320" i="52"/>
  <c r="N326" i="52"/>
  <c r="N331" i="52"/>
  <c r="Q54" i="52"/>
  <c r="Q75" i="52"/>
  <c r="Q96" i="52"/>
  <c r="Q117" i="52"/>
  <c r="Q141" i="52"/>
  <c r="Q165" i="52"/>
  <c r="Q31" i="52"/>
  <c r="U54" i="38"/>
  <c r="V53" i="38"/>
  <c r="P75" i="41"/>
  <c r="P76" i="53"/>
  <c r="P77" i="53"/>
  <c r="Q74" i="41"/>
  <c r="N41" i="54"/>
  <c r="N38" i="54"/>
  <c r="N69" i="54"/>
  <c r="T55" i="50"/>
  <c r="T56" i="50"/>
  <c r="P7" i="47"/>
  <c r="P31" i="47"/>
  <c r="F31" i="47"/>
  <c r="P6" i="47"/>
  <c r="P30" i="47"/>
  <c r="F30" i="47"/>
  <c r="P27" i="47"/>
  <c r="O21" i="54"/>
  <c r="P5" i="47"/>
  <c r="P29" i="47"/>
  <c r="F29" i="47"/>
  <c r="P4" i="47"/>
  <c r="P28" i="47"/>
  <c r="F28" i="47"/>
  <c r="Q3" i="47"/>
  <c r="O318" i="52"/>
  <c r="O341" i="52"/>
  <c r="O360" i="52"/>
  <c r="O400" i="52"/>
  <c r="O297" i="52"/>
  <c r="T101" i="41"/>
  <c r="S102" i="53"/>
  <c r="R101" i="38"/>
  <c r="Q102" i="50"/>
  <c r="Q295" i="50"/>
  <c r="Q160" i="50"/>
  <c r="V116" i="41"/>
  <c r="U117" i="41"/>
  <c r="U118" i="53"/>
  <c r="O258" i="52"/>
  <c r="O237" i="52"/>
  <c r="R6" i="52"/>
  <c r="R7" i="52"/>
  <c r="U50" i="54"/>
  <c r="U52" i="54"/>
  <c r="U53" i="54"/>
  <c r="S234" i="38"/>
  <c r="R235" i="38"/>
  <c r="R238" i="50"/>
  <c r="Q16" i="53"/>
  <c r="R15" i="41"/>
  <c r="S8" i="52"/>
  <c r="T7" i="40"/>
  <c r="S6" i="40"/>
  <c r="S8" i="40"/>
  <c r="S9" i="52"/>
  <c r="P235" i="52"/>
  <c r="P287" i="52"/>
  <c r="P285" i="52"/>
  <c r="P213" i="52"/>
  <c r="P167" i="52"/>
  <c r="R123" i="38"/>
  <c r="Q124" i="50"/>
  <c r="R367" i="50"/>
  <c r="R377" i="38"/>
  <c r="R380" i="50"/>
  <c r="R392" i="38"/>
  <c r="R395" i="50"/>
  <c r="R329" i="41"/>
  <c r="R292" i="41"/>
  <c r="R288" i="53"/>
  <c r="R292" i="38"/>
  <c r="R289" i="50"/>
  <c r="R330" i="38"/>
  <c r="R333" i="50"/>
  <c r="S30" i="41"/>
  <c r="R31" i="41"/>
  <c r="R32" i="53"/>
  <c r="R172" i="38"/>
  <c r="Q173" i="50"/>
  <c r="Q291" i="52"/>
  <c r="Q332" i="40"/>
  <c r="Q335" i="52"/>
  <c r="U38" i="38"/>
  <c r="T39" i="50"/>
  <c r="O271" i="41"/>
  <c r="O273" i="41"/>
  <c r="O273" i="53"/>
  <c r="O324" i="41"/>
  <c r="O157" i="41"/>
  <c r="O158" i="53"/>
  <c r="O156" i="53"/>
  <c r="Q15" i="52"/>
  <c r="R14" i="40"/>
  <c r="P295" i="52"/>
  <c r="Q333" i="50"/>
  <c r="O228" i="52"/>
  <c r="O226" i="40"/>
  <c r="O229" i="52"/>
  <c r="O407" i="52"/>
  <c r="O432" i="40"/>
  <c r="O435" i="52"/>
  <c r="O417" i="40"/>
  <c r="O420" i="52"/>
  <c r="W98" i="52"/>
  <c r="M433" i="40"/>
  <c r="R157" i="38"/>
  <c r="R158" i="50"/>
  <c r="R156" i="50"/>
  <c r="R278" i="50"/>
  <c r="R280" i="50"/>
  <c r="R311" i="50"/>
  <c r="R277" i="38"/>
  <c r="R308" i="38"/>
  <c r="R220" i="38"/>
  <c r="R223" i="50"/>
  <c r="R215" i="50"/>
  <c r="P374" i="38"/>
  <c r="P377" i="50"/>
  <c r="P397" i="38"/>
  <c r="P375" i="38"/>
  <c r="P378" i="50"/>
  <c r="O366" i="38"/>
  <c r="O397" i="50"/>
  <c r="N228" i="41"/>
  <c r="R291" i="53"/>
  <c r="R332" i="41"/>
  <c r="R335" i="53"/>
  <c r="M419" i="40"/>
  <c r="M422" i="52"/>
  <c r="M409" i="52"/>
  <c r="V59" i="41"/>
  <c r="U60" i="53"/>
  <c r="O408" i="50"/>
  <c r="O418" i="38"/>
  <c r="O421" i="50"/>
  <c r="B22" i="35"/>
  <c r="C21" i="35"/>
  <c r="Q288" i="52"/>
  <c r="Q329" i="40"/>
  <c r="Q292" i="40"/>
  <c r="Q159" i="38"/>
  <c r="O228" i="53"/>
  <c r="O226" i="41"/>
  <c r="O229" i="53"/>
  <c r="O378" i="40"/>
  <c r="O381" i="52"/>
  <c r="O393" i="40"/>
  <c r="O396" i="52"/>
  <c r="O368" i="52"/>
  <c r="M326" i="40"/>
  <c r="M365" i="40"/>
  <c r="Q53" i="41"/>
  <c r="P54" i="41"/>
  <c r="R330" i="41"/>
  <c r="R333" i="53"/>
  <c r="R289" i="53"/>
  <c r="R335" i="38"/>
  <c r="R338" i="50"/>
  <c r="R294" i="50"/>
  <c r="P168" i="50"/>
  <c r="P169" i="50"/>
  <c r="N406" i="38"/>
  <c r="N437" i="50"/>
  <c r="Q290" i="52"/>
  <c r="Q331" i="40"/>
  <c r="Q334" i="52"/>
  <c r="P155" i="41"/>
  <c r="P162" i="41"/>
  <c r="P163" i="53"/>
  <c r="P225" i="41"/>
  <c r="P365" i="41"/>
  <c r="P227" i="41"/>
  <c r="P230" i="53"/>
  <c r="P272" i="41"/>
  <c r="P275" i="53"/>
  <c r="P212" i="41"/>
  <c r="Q140" i="41"/>
  <c r="P158" i="41"/>
  <c r="P159" i="53"/>
  <c r="P275" i="41"/>
  <c r="P156" i="41"/>
  <c r="P157" i="53"/>
  <c r="P142" i="41"/>
  <c r="P270" i="41"/>
  <c r="P405" i="41"/>
  <c r="P350" i="41"/>
  <c r="P353" i="53"/>
  <c r="P257" i="41"/>
  <c r="P230" i="41"/>
  <c r="P233" i="53"/>
  <c r="P364" i="41"/>
  <c r="P404" i="41"/>
  <c r="O220" i="41"/>
  <c r="O223" i="53"/>
  <c r="O215" i="53"/>
  <c r="O392" i="40"/>
  <c r="O395" i="52"/>
  <c r="O367" i="52"/>
  <c r="O377" i="40"/>
  <c r="O380" i="52"/>
  <c r="O215" i="52"/>
  <c r="O220" i="40"/>
  <c r="O223" i="52"/>
  <c r="S166" i="41"/>
  <c r="R167" i="41"/>
  <c r="R168" i="53"/>
  <c r="R169" i="53"/>
  <c r="M329" i="52"/>
  <c r="R338" i="38"/>
  <c r="Q357" i="38"/>
  <c r="O394" i="52"/>
  <c r="O431" i="40"/>
  <c r="O434" i="52"/>
  <c r="R324" i="38"/>
  <c r="R271" i="38"/>
  <c r="R273" i="38"/>
  <c r="R273" i="50"/>
  <c r="R125" i="50"/>
  <c r="S124" i="38"/>
  <c r="N327" i="53"/>
  <c r="R15" i="38"/>
  <c r="Q16" i="50"/>
  <c r="S240" i="38"/>
  <c r="R243" i="50"/>
  <c r="O55" i="53"/>
  <c r="O56" i="53"/>
  <c r="R331" i="41"/>
  <c r="R334" i="53"/>
  <c r="R290" i="53"/>
  <c r="R288" i="50"/>
  <c r="R329" i="38"/>
  <c r="O434" i="40"/>
  <c r="O425" i="40"/>
  <c r="O428" i="52"/>
  <c r="O414" i="40"/>
  <c r="O417" i="52"/>
  <c r="O430" i="40"/>
  <c r="O415" i="40"/>
  <c r="O418" i="52"/>
  <c r="R14" i="41"/>
  <c r="Q15" i="53"/>
  <c r="R166" i="38"/>
  <c r="Q167" i="38"/>
  <c r="S38" i="50"/>
  <c r="T37" i="38"/>
  <c r="Q294" i="52"/>
  <c r="Q335" i="40"/>
  <c r="Q338" i="52"/>
  <c r="Q231" i="50"/>
  <c r="O150" i="41"/>
  <c r="O151" i="53"/>
  <c r="O143" i="53"/>
  <c r="N159" i="41"/>
  <c r="N66" i="41"/>
  <c r="N67" i="53"/>
  <c r="O55" i="41"/>
  <c r="Q243" i="52"/>
  <c r="R240" i="40"/>
  <c r="S102" i="52"/>
  <c r="T101" i="40"/>
  <c r="Q332" i="53"/>
  <c r="Q339" i="53"/>
  <c r="Q336" i="41"/>
  <c r="T74" i="38"/>
  <c r="S75" i="38"/>
  <c r="P394" i="40"/>
  <c r="P374" i="40"/>
  <c r="P377" i="52"/>
  <c r="P390" i="40"/>
  <c r="P385" i="40"/>
  <c r="P388" i="52"/>
  <c r="P391" i="40"/>
  <c r="P375" i="40"/>
  <c r="P378" i="52"/>
  <c r="P397" i="40"/>
  <c r="R418" i="38"/>
  <c r="R421" i="50"/>
  <c r="R408" i="50"/>
  <c r="R14" i="38"/>
  <c r="Q15" i="50"/>
  <c r="P339" i="50"/>
  <c r="R265" i="38"/>
  <c r="R268" i="50"/>
  <c r="R260" i="50"/>
  <c r="R432" i="38"/>
  <c r="R435" i="50"/>
  <c r="R407" i="50"/>
  <c r="R417" i="38"/>
  <c r="R420" i="50"/>
  <c r="N274" i="53"/>
  <c r="N276" i="53"/>
  <c r="N325" i="41"/>
  <c r="N328" i="53"/>
  <c r="R80" i="38"/>
  <c r="Q81" i="50"/>
  <c r="S291" i="41"/>
  <c r="S289" i="41"/>
  <c r="S292" i="53"/>
  <c r="S286" i="41"/>
  <c r="T284" i="41"/>
  <c r="S290" i="41"/>
  <c r="S287" i="41"/>
  <c r="S285" i="41"/>
  <c r="S288" i="41"/>
  <c r="R332" i="38"/>
  <c r="R335" i="50"/>
  <c r="R291" i="50"/>
  <c r="O363" i="40"/>
  <c r="O393" i="52"/>
  <c r="R173" i="53"/>
  <c r="S172" i="41"/>
  <c r="R285" i="40"/>
  <c r="S284" i="40"/>
  <c r="R291" i="40"/>
  <c r="R287" i="40"/>
  <c r="R286" i="40"/>
  <c r="R290" i="40"/>
  <c r="R288" i="40"/>
  <c r="R289" i="40"/>
  <c r="R292" i="52"/>
  <c r="Q125" i="53"/>
  <c r="R124" i="41"/>
  <c r="O432" i="41"/>
  <c r="O435" i="53"/>
  <c r="O417" i="41"/>
  <c r="O420" i="53"/>
  <c r="O407" i="53"/>
  <c r="O368" i="53"/>
  <c r="O378" i="41"/>
  <c r="O381" i="53"/>
  <c r="O393" i="41"/>
  <c r="O396" i="53"/>
  <c r="O157" i="40"/>
  <c r="O158" i="52"/>
  <c r="O156" i="52"/>
  <c r="O408" i="52"/>
  <c r="O418" i="40"/>
  <c r="O421" i="52"/>
  <c r="R76" i="50"/>
  <c r="R77" i="50"/>
  <c r="Q173" i="52"/>
  <c r="R172" i="40"/>
  <c r="R378" i="38"/>
  <c r="R381" i="50"/>
  <c r="R368" i="50"/>
  <c r="R393" i="38"/>
  <c r="R396" i="50"/>
  <c r="R228" i="50"/>
  <c r="R226" i="38"/>
  <c r="R229" i="50"/>
  <c r="N273" i="41"/>
  <c r="R294" i="53"/>
  <c r="R335" i="41"/>
  <c r="R338" i="53"/>
  <c r="R334" i="38"/>
  <c r="R337" i="50"/>
  <c r="R293" i="50"/>
  <c r="O366" i="40"/>
  <c r="O397" i="52"/>
  <c r="R37" i="40"/>
  <c r="Q38" i="52"/>
  <c r="S240" i="41"/>
  <c r="R243" i="53"/>
  <c r="Q330" i="40"/>
  <c r="Q333" i="52"/>
  <c r="Q289" i="52"/>
  <c r="N379" i="38"/>
  <c r="N382" i="50"/>
  <c r="N369" i="50"/>
  <c r="Q228" i="38"/>
  <c r="O278" i="53"/>
  <c r="O280" i="53"/>
  <c r="O311" i="53"/>
  <c r="O277" i="41"/>
  <c r="O308" i="41"/>
  <c r="P156" i="40"/>
  <c r="P157" i="52"/>
  <c r="P158" i="40"/>
  <c r="P159" i="52"/>
  <c r="P162" i="40"/>
  <c r="P163" i="52"/>
  <c r="P225" i="40"/>
  <c r="P365" i="40"/>
  <c r="P405" i="40"/>
  <c r="P257" i="40"/>
  <c r="P212" i="40"/>
  <c r="P270" i="40"/>
  <c r="P364" i="40"/>
  <c r="P230" i="40"/>
  <c r="P233" i="52"/>
  <c r="P227" i="40"/>
  <c r="P230" i="52"/>
  <c r="P275" i="40"/>
  <c r="P155" i="40"/>
  <c r="P404" i="40"/>
  <c r="P350" i="40"/>
  <c r="P353" i="52"/>
  <c r="P142" i="40"/>
  <c r="P272" i="40"/>
  <c r="P275" i="52"/>
  <c r="Q140" i="40"/>
  <c r="Q295" i="53"/>
  <c r="R123" i="40"/>
  <c r="Q124" i="52"/>
  <c r="R334" i="41"/>
  <c r="R337" i="53"/>
  <c r="R293" i="53"/>
  <c r="S287" i="38"/>
  <c r="S288" i="38"/>
  <c r="S285" i="38"/>
  <c r="S289" i="38"/>
  <c r="S292" i="50"/>
  <c r="S286" i="38"/>
  <c r="S291" i="38"/>
  <c r="T284" i="38"/>
  <c r="S290" i="38"/>
  <c r="Q327" i="50"/>
  <c r="Q16" i="52"/>
  <c r="R15" i="40"/>
  <c r="P317" i="40"/>
  <c r="P323" i="40"/>
  <c r="Q294" i="40"/>
  <c r="P328" i="40"/>
  <c r="R124" i="53"/>
  <c r="S123" i="41"/>
  <c r="O367" i="53"/>
  <c r="O392" i="41"/>
  <c r="O395" i="53"/>
  <c r="O377" i="41"/>
  <c r="O380" i="53"/>
  <c r="R37" i="41"/>
  <c r="Q38" i="53"/>
  <c r="O278" i="52"/>
  <c r="O280" i="52"/>
  <c r="O311" i="52"/>
  <c r="O277" i="40"/>
  <c r="O308" i="40"/>
  <c r="O260" i="52"/>
  <c r="O265" i="40"/>
  <c r="O268" i="52"/>
  <c r="L408" i="52"/>
  <c r="L418" i="40"/>
  <c r="L421" i="52"/>
  <c r="R150" i="38"/>
  <c r="R151" i="50"/>
  <c r="R143" i="50"/>
  <c r="Q336" i="38"/>
  <c r="Q332" i="50"/>
  <c r="S272" i="38"/>
  <c r="S275" i="50"/>
  <c r="S364" i="38"/>
  <c r="T140" i="38"/>
  <c r="S212" i="38"/>
  <c r="S257" i="38"/>
  <c r="S365" i="38"/>
  <c r="S162" i="38"/>
  <c r="S163" i="50"/>
  <c r="S350" i="38"/>
  <c r="S353" i="50"/>
  <c r="S404" i="38"/>
  <c r="S275" i="38"/>
  <c r="S156" i="38"/>
  <c r="S157" i="50"/>
  <c r="S405" i="38"/>
  <c r="S225" i="38"/>
  <c r="S155" i="38"/>
  <c r="S142" i="38"/>
  <c r="S158" i="38"/>
  <c r="S159" i="50"/>
  <c r="S227" i="38"/>
  <c r="S230" i="50"/>
  <c r="S270" i="38"/>
  <c r="S230" i="38"/>
  <c r="S233" i="50"/>
  <c r="O414" i="38"/>
  <c r="O417" i="50"/>
  <c r="O415" i="38"/>
  <c r="O418" i="50"/>
  <c r="O434" i="38"/>
  <c r="Q357" i="40"/>
  <c r="R338" i="40"/>
  <c r="R80" i="40"/>
  <c r="Q81" i="52"/>
  <c r="R331" i="38"/>
  <c r="R334" i="50"/>
  <c r="R290" i="50"/>
  <c r="Q274" i="50"/>
  <c r="Q276" i="50"/>
  <c r="Q325" i="38"/>
  <c r="Q328" i="50"/>
  <c r="R39" i="53"/>
  <c r="S38" i="41"/>
  <c r="Q39" i="52"/>
  <c r="R38" i="40"/>
  <c r="Q334" i="40"/>
  <c r="Q337" i="52"/>
  <c r="Q293" i="52"/>
  <c r="O408" i="53"/>
  <c r="O418" i="41"/>
  <c r="O421" i="53"/>
  <c r="O265" i="41"/>
  <c r="O268" i="53"/>
  <c r="O260" i="53"/>
  <c r="P336" i="40"/>
  <c r="P332" i="52"/>
  <c r="P339" i="52"/>
  <c r="O273" i="52"/>
  <c r="O324" i="40"/>
  <c r="O271" i="40"/>
  <c r="O150" i="40"/>
  <c r="O151" i="52"/>
  <c r="O143" i="52"/>
  <c r="M409" i="50"/>
  <c r="M419" i="38"/>
  <c r="M422" i="50"/>
  <c r="BA31" i="31"/>
  <c r="BC31" i="31"/>
  <c r="U28" i="31"/>
  <c r="K192" i="40"/>
  <c r="K194" i="52"/>
  <c r="K189" i="40"/>
  <c r="K191" i="52"/>
  <c r="K183" i="40"/>
  <c r="K190" i="40"/>
  <c r="K192" i="52"/>
  <c r="K193" i="40"/>
  <c r="K195" i="52"/>
  <c r="K195" i="40"/>
  <c r="K197" i="52"/>
  <c r="K191" i="40"/>
  <c r="K193" i="52"/>
  <c r="K194" i="40"/>
  <c r="K196" i="52"/>
  <c r="K205" i="40"/>
  <c r="K197" i="40"/>
  <c r="K199" i="52"/>
  <c r="L53" i="54"/>
  <c r="L57" i="54"/>
  <c r="L62" i="54"/>
  <c r="L63" i="54"/>
  <c r="AR27" i="31"/>
  <c r="AR34" i="31"/>
  <c r="AR45" i="31"/>
  <c r="AR28" i="31"/>
  <c r="AR30" i="31"/>
  <c r="AR23" i="31"/>
  <c r="AR24" i="31"/>
  <c r="AR29" i="31"/>
  <c r="P87" i="38"/>
  <c r="Q76" i="38"/>
  <c r="Y95" i="40"/>
  <c r="X96" i="40"/>
  <c r="M66" i="40"/>
  <c r="N55" i="40"/>
  <c r="M56" i="40"/>
  <c r="AU28" i="31"/>
  <c r="AU27" i="31"/>
  <c r="AU34" i="31"/>
  <c r="AU45" i="31"/>
  <c r="AT45" i="31"/>
  <c r="AU30" i="31"/>
  <c r="AU23" i="31"/>
  <c r="AU24" i="31"/>
  <c r="AU29" i="31"/>
  <c r="M178" i="50"/>
  <c r="M186" i="38"/>
  <c r="L250" i="52"/>
  <c r="U27" i="31"/>
  <c r="L109" i="52"/>
  <c r="X75" i="40"/>
  <c r="Y74" i="40"/>
  <c r="Q32" i="50"/>
  <c r="N109" i="50"/>
  <c r="L187" i="50"/>
  <c r="J181" i="52"/>
  <c r="R239" i="50"/>
  <c r="AN28" i="31"/>
  <c r="AN34" i="31"/>
  <c r="AN45" i="31"/>
  <c r="AN27" i="31"/>
  <c r="AN30" i="31"/>
  <c r="AN23" i="31"/>
  <c r="AN24" i="31"/>
  <c r="AN29" i="31"/>
  <c r="N121" i="50"/>
  <c r="AW31" i="31"/>
  <c r="Q6" i="38"/>
  <c r="Q8" i="50"/>
  <c r="Q2" i="38"/>
  <c r="Q8" i="38"/>
  <c r="Q3" i="38"/>
  <c r="Q3" i="50"/>
  <c r="R7" i="38"/>
  <c r="G44" i="31"/>
  <c r="R27" i="35"/>
  <c r="S26" i="35"/>
  <c r="T28" i="31"/>
  <c r="AF5" i="31"/>
  <c r="T27" i="31"/>
  <c r="T34" i="31"/>
  <c r="T45" i="31"/>
  <c r="T30" i="31"/>
  <c r="T23" i="31"/>
  <c r="T24" i="31"/>
  <c r="T29" i="31"/>
  <c r="N121" i="52"/>
  <c r="M32" i="38"/>
  <c r="R6" i="53"/>
  <c r="R7" i="53"/>
  <c r="T374" i="53"/>
  <c r="U362" i="53"/>
  <c r="S34" i="31"/>
  <c r="S45" i="31"/>
  <c r="S86" i="31"/>
  <c r="C117" i="28"/>
  <c r="AE5" i="31"/>
  <c r="S27" i="31"/>
  <c r="S28" i="31"/>
  <c r="S30" i="31"/>
  <c r="S23" i="31"/>
  <c r="S24" i="31"/>
  <c r="S29" i="31"/>
  <c r="G62" i="31"/>
  <c r="P21" i="32"/>
  <c r="F51" i="31"/>
  <c r="F61" i="31"/>
  <c r="F76" i="31"/>
  <c r="F57" i="31"/>
  <c r="F60" i="31"/>
  <c r="F53" i="31"/>
  <c r="F12" i="32"/>
  <c r="F11" i="32"/>
  <c r="F52" i="31"/>
  <c r="F75" i="31"/>
  <c r="F34" i="31"/>
  <c r="F54" i="31"/>
  <c r="F19" i="32"/>
  <c r="F59" i="31"/>
  <c r="F74" i="31"/>
  <c r="F28" i="31"/>
  <c r="F27" i="31"/>
  <c r="F9" i="32"/>
  <c r="F21" i="32"/>
  <c r="F30" i="31"/>
  <c r="P23" i="32"/>
  <c r="F23" i="31"/>
  <c r="F36" i="31"/>
  <c r="F22" i="32"/>
  <c r="F37" i="31"/>
  <c r="F24" i="31"/>
  <c r="F29" i="32"/>
  <c r="F7" i="32"/>
  <c r="F29" i="31"/>
  <c r="F31" i="31"/>
  <c r="P24" i="32"/>
  <c r="F38" i="31"/>
  <c r="F35" i="31"/>
  <c r="F39" i="32"/>
  <c r="F30" i="32"/>
  <c r="F39" i="31"/>
  <c r="P29" i="32"/>
  <c r="F8" i="32"/>
  <c r="P30" i="32"/>
  <c r="F40" i="32"/>
  <c r="F40" i="31"/>
  <c r="F41" i="31"/>
  <c r="F20" i="32"/>
  <c r="J20" i="31"/>
  <c r="J49" i="31"/>
  <c r="AQ19" i="35"/>
  <c r="AI20" i="35"/>
  <c r="T374" i="52"/>
  <c r="U362" i="52"/>
  <c r="O120" i="38"/>
  <c r="L67" i="52"/>
  <c r="O297" i="53"/>
  <c r="O318" i="53"/>
  <c r="O341" i="53"/>
  <c r="O360" i="53"/>
  <c r="O400" i="53"/>
  <c r="P24" i="54"/>
  <c r="P32" i="54"/>
  <c r="P33" i="54"/>
  <c r="Q22" i="54"/>
  <c r="W27" i="54"/>
  <c r="N236" i="40"/>
  <c r="M247" i="40"/>
  <c r="M237" i="40"/>
  <c r="M242" i="40"/>
  <c r="AG27" i="31"/>
  <c r="AG34" i="31"/>
  <c r="AG45" i="31"/>
  <c r="AG28" i="31"/>
  <c r="AG30" i="31"/>
  <c r="AG23" i="31"/>
  <c r="AG24" i="31"/>
  <c r="AG29" i="31"/>
  <c r="AZ31" i="31"/>
  <c r="W76" i="52"/>
  <c r="W77" i="52"/>
  <c r="P177" i="53"/>
  <c r="Q165" i="53"/>
  <c r="Q54" i="53"/>
  <c r="Q31" i="53"/>
  <c r="Q75" i="53"/>
  <c r="Q96" i="53"/>
  <c r="Q117" i="53"/>
  <c r="Q141" i="53"/>
  <c r="N3" i="52"/>
  <c r="O3" i="40"/>
  <c r="J189" i="52"/>
  <c r="V6" i="31"/>
  <c r="AJ6" i="31"/>
  <c r="K187" i="52"/>
  <c r="P235" i="53"/>
  <c r="P287" i="53"/>
  <c r="P285" i="53"/>
  <c r="P167" i="53"/>
  <c r="P213" i="53"/>
  <c r="P121" i="53"/>
  <c r="I208" i="52"/>
  <c r="I184" i="52"/>
  <c r="L33" i="50"/>
  <c r="K180" i="52"/>
  <c r="K188" i="52"/>
  <c r="K187" i="40"/>
  <c r="H53" i="31"/>
  <c r="H54" i="31"/>
  <c r="H57" i="31"/>
  <c r="H59" i="31"/>
  <c r="H60" i="31"/>
  <c r="H51" i="31"/>
  <c r="H61" i="31"/>
  <c r="H52" i="31"/>
  <c r="H74" i="31"/>
  <c r="H75" i="31"/>
  <c r="Y379" i="38"/>
  <c r="Y382" i="50"/>
  <c r="Z359" i="38"/>
  <c r="Y371" i="38"/>
  <c r="R171" i="41"/>
  <c r="R239" i="41"/>
  <c r="R242" i="53"/>
  <c r="R2" i="53"/>
  <c r="R79" i="41"/>
  <c r="R80" i="53"/>
  <c r="R100" i="41"/>
  <c r="R101" i="53"/>
  <c r="R58" i="41"/>
  <c r="R59" i="53"/>
  <c r="R175" i="41"/>
  <c r="R176" i="53"/>
  <c r="L178" i="52"/>
  <c r="L186" i="40"/>
  <c r="AD5" i="31"/>
  <c r="R27" i="31"/>
  <c r="R28" i="31"/>
  <c r="R34" i="31"/>
  <c r="R45" i="31"/>
  <c r="R86" i="31"/>
  <c r="C112" i="28"/>
  <c r="R30" i="31"/>
  <c r="R23" i="31"/>
  <c r="R24" i="31"/>
  <c r="R29" i="31"/>
  <c r="N167" i="50"/>
  <c r="N287" i="50"/>
  <c r="N285" i="50"/>
  <c r="N213" i="50"/>
  <c r="N235" i="50"/>
  <c r="R414" i="52"/>
  <c r="S402" i="52"/>
  <c r="T28" i="54"/>
  <c r="S30" i="54"/>
  <c r="T374" i="50"/>
  <c r="U362" i="50"/>
  <c r="J43" i="40"/>
  <c r="G62" i="54"/>
  <c r="G63" i="54"/>
  <c r="N239" i="52"/>
  <c r="M240" i="52"/>
  <c r="AM34" i="31"/>
  <c r="AM45" i="31"/>
  <c r="AM27" i="31"/>
  <c r="AM28" i="31"/>
  <c r="AM30" i="31"/>
  <c r="AM23" i="31"/>
  <c r="AM24" i="31"/>
  <c r="AM29" i="31"/>
  <c r="L33" i="53"/>
  <c r="N187" i="53"/>
  <c r="O108" i="41"/>
  <c r="P97" i="41"/>
  <c r="Q173" i="41"/>
  <c r="Q176" i="41"/>
  <c r="Q172" i="53"/>
  <c r="Q174" i="53"/>
  <c r="P239" i="53"/>
  <c r="M187" i="53"/>
  <c r="L61" i="40"/>
  <c r="L57" i="52"/>
  <c r="L243" i="40"/>
  <c r="L246" i="52"/>
  <c r="L245" i="52"/>
  <c r="K10" i="50"/>
  <c r="L331" i="50"/>
  <c r="L326" i="50"/>
  <c r="L320" i="50"/>
  <c r="R399" i="38"/>
  <c r="Q419" i="38"/>
  <c r="Q422" i="50"/>
  <c r="Q411" i="38"/>
  <c r="U29" i="31"/>
  <c r="AB19" i="35"/>
  <c r="T20" i="35"/>
  <c r="Q323" i="41"/>
  <c r="R294" i="41"/>
  <c r="Q328" i="41"/>
  <c r="Q317" i="41"/>
  <c r="L88" i="52"/>
  <c r="Q238" i="53"/>
  <c r="J44" i="52"/>
  <c r="F73" i="54"/>
  <c r="F70" i="54"/>
  <c r="AL28" i="31"/>
  <c r="AL34" i="31"/>
  <c r="AL45" i="31"/>
  <c r="AL27" i="31"/>
  <c r="AL30" i="31"/>
  <c r="AL23" i="31"/>
  <c r="AL24" i="31"/>
  <c r="AL29" i="31"/>
  <c r="N109" i="53"/>
  <c r="P2" i="50"/>
  <c r="P58" i="38"/>
  <c r="P59" i="50"/>
  <c r="P100" i="38"/>
  <c r="P101" i="50"/>
  <c r="P79" i="38"/>
  <c r="P80" i="50"/>
  <c r="P171" i="38"/>
  <c r="P239" i="38"/>
  <c r="P242" i="50"/>
  <c r="P175" i="38"/>
  <c r="P176" i="50"/>
  <c r="O66" i="38"/>
  <c r="P55" i="38"/>
  <c r="O88" i="50"/>
  <c r="M108" i="40"/>
  <c r="N97" i="40"/>
  <c r="O108" i="38"/>
  <c r="P97" i="38"/>
  <c r="N9" i="40"/>
  <c r="M28" i="31"/>
  <c r="V5" i="31"/>
  <c r="Y5" i="31"/>
  <c r="M34" i="31"/>
  <c r="M45" i="31"/>
  <c r="M27" i="31"/>
  <c r="M30" i="31"/>
  <c r="M23" i="31"/>
  <c r="M24" i="31"/>
  <c r="M29" i="31"/>
  <c r="N173" i="40"/>
  <c r="N176" i="40"/>
  <c r="N172" i="52"/>
  <c r="N174" i="52"/>
  <c r="L40" i="40"/>
  <c r="L34" i="40"/>
  <c r="O258" i="53"/>
  <c r="O237" i="53"/>
  <c r="L33" i="52"/>
  <c r="K36" i="52"/>
  <c r="K62" i="52"/>
  <c r="K62" i="40"/>
  <c r="K63" i="52"/>
  <c r="U23" i="31"/>
  <c r="U24" i="31"/>
  <c r="H49" i="31"/>
  <c r="F49" i="31"/>
  <c r="N76" i="40"/>
  <c r="M87" i="40"/>
  <c r="I31" i="32"/>
  <c r="P168" i="41"/>
  <c r="U59" i="40"/>
  <c r="T60" i="52"/>
  <c r="M177" i="52"/>
  <c r="M177" i="40"/>
  <c r="S234" i="41"/>
  <c r="R235" i="41"/>
  <c r="H31" i="32"/>
  <c r="O173" i="38"/>
  <c r="O176" i="38"/>
  <c r="O172" i="50"/>
  <c r="O174" i="50"/>
  <c r="N10" i="52"/>
  <c r="AK34" i="31"/>
  <c r="AK45" i="31"/>
  <c r="AK27" i="31"/>
  <c r="AK28" i="31"/>
  <c r="AK30" i="31"/>
  <c r="AK23" i="31"/>
  <c r="AK24" i="31"/>
  <c r="AK29" i="31"/>
  <c r="M32" i="41"/>
  <c r="M258" i="50"/>
  <c r="M237" i="50"/>
  <c r="T359" i="40"/>
  <c r="S379" i="40"/>
  <c r="S382" i="52"/>
  <c r="S371" i="40"/>
  <c r="O28" i="31"/>
  <c r="AA5" i="31"/>
  <c r="O34" i="31"/>
  <c r="O45" i="31"/>
  <c r="O27" i="31"/>
  <c r="O30" i="31"/>
  <c r="O23" i="31"/>
  <c r="O24" i="31"/>
  <c r="O29" i="31"/>
  <c r="N177" i="38"/>
  <c r="N177" i="50"/>
  <c r="Q34" i="31"/>
  <c r="Q45" i="31"/>
  <c r="Q86" i="31"/>
  <c r="Q28" i="31"/>
  <c r="Q27" i="31"/>
  <c r="AC5" i="31"/>
  <c r="Q30" i="31"/>
  <c r="Q23" i="31"/>
  <c r="Q24" i="31"/>
  <c r="Q29" i="31"/>
  <c r="J197" i="40"/>
  <c r="J199" i="52"/>
  <c r="J189" i="40"/>
  <c r="J191" i="52"/>
  <c r="J194" i="40"/>
  <c r="J196" i="52"/>
  <c r="J190" i="40"/>
  <c r="J192" i="52"/>
  <c r="J193" i="40"/>
  <c r="J195" i="52"/>
  <c r="J183" i="40"/>
  <c r="J195" i="40"/>
  <c r="J197" i="52"/>
  <c r="J191" i="40"/>
  <c r="J193" i="52"/>
  <c r="J192" i="40"/>
  <c r="J194" i="52"/>
  <c r="J205" i="40"/>
  <c r="R9" i="53"/>
  <c r="Z5" i="31"/>
  <c r="N28" i="31"/>
  <c r="N34" i="31"/>
  <c r="N45" i="31"/>
  <c r="N27" i="31"/>
  <c r="N30" i="31"/>
  <c r="N23" i="31"/>
  <c r="N24" i="31"/>
  <c r="N29" i="31"/>
  <c r="N32" i="40"/>
  <c r="M35" i="40"/>
  <c r="Y399" i="40"/>
  <c r="X419" i="40"/>
  <c r="X422" i="52"/>
  <c r="X411" i="40"/>
  <c r="U117" i="40"/>
  <c r="U118" i="52"/>
  <c r="V116" i="40"/>
  <c r="U30" i="31"/>
  <c r="F42" i="31"/>
  <c r="P97" i="50"/>
  <c r="P98" i="50"/>
  <c r="F43" i="31"/>
  <c r="U43" i="31"/>
  <c r="U44" i="31"/>
  <c r="G56" i="31"/>
  <c r="N331" i="53"/>
  <c r="N326" i="53"/>
  <c r="N320" i="53"/>
  <c r="AV31" i="31"/>
  <c r="P22" i="32"/>
  <c r="AP34" i="31"/>
  <c r="AP45" i="31"/>
  <c r="AP27" i="31"/>
  <c r="AP28" i="31"/>
  <c r="AP30" i="31"/>
  <c r="AP23" i="31"/>
  <c r="AP24" i="31"/>
  <c r="AP29" i="31"/>
  <c r="I20" i="31"/>
  <c r="N120" i="40"/>
  <c r="P6" i="50"/>
  <c r="P7" i="50"/>
  <c r="J46" i="52"/>
  <c r="R47" i="42"/>
  <c r="S2" i="42"/>
  <c r="R1" i="42"/>
  <c r="K35" i="52"/>
  <c r="K34" i="52"/>
  <c r="K42" i="40"/>
  <c r="K43" i="52"/>
  <c r="K33" i="40"/>
  <c r="K45" i="40"/>
  <c r="O178" i="53"/>
  <c r="O186" i="41"/>
  <c r="P247" i="41"/>
  <c r="Q236" i="41"/>
  <c r="L9" i="38"/>
  <c r="S30" i="38"/>
  <c r="R31" i="38"/>
  <c r="AO34" i="31"/>
  <c r="AO45" i="31"/>
  <c r="AO28" i="31"/>
  <c r="AO27" i="31"/>
  <c r="AO30" i="31"/>
  <c r="AO23" i="31"/>
  <c r="AO24" i="31"/>
  <c r="AO29" i="31"/>
  <c r="N168" i="40"/>
  <c r="M169" i="40"/>
  <c r="S8" i="53"/>
  <c r="S8" i="41"/>
  <c r="T7" i="41"/>
  <c r="S2" i="41"/>
  <c r="S3" i="41"/>
  <c r="S3" i="53"/>
  <c r="S6" i="41"/>
  <c r="K183" i="52"/>
  <c r="K202" i="52"/>
  <c r="K199" i="40"/>
  <c r="N67" i="50"/>
  <c r="AX31" i="31"/>
  <c r="P28" i="31"/>
  <c r="AB5" i="31"/>
  <c r="P34" i="31"/>
  <c r="P45" i="31"/>
  <c r="P27" i="31"/>
  <c r="P30" i="31"/>
  <c r="P23" i="31"/>
  <c r="P24" i="31"/>
  <c r="P29" i="31"/>
  <c r="O175" i="40"/>
  <c r="O176" i="52"/>
  <c r="O2" i="52"/>
  <c r="P2" i="40"/>
  <c r="O100" i="40"/>
  <c r="O101" i="52"/>
  <c r="O58" i="40"/>
  <c r="O59" i="52"/>
  <c r="O79" i="40"/>
  <c r="O80" i="52"/>
  <c r="O171" i="40"/>
  <c r="O239" i="40"/>
  <c r="O242" i="52"/>
  <c r="T118" i="52"/>
  <c r="AY31" i="31"/>
  <c r="K41" i="52"/>
  <c r="K41" i="40"/>
  <c r="K42" i="52"/>
  <c r="S402" i="50"/>
  <c r="R414" i="50"/>
  <c r="L9" i="41"/>
  <c r="O54" i="50"/>
  <c r="O31" i="50"/>
  <c r="O75" i="50"/>
  <c r="O96" i="50"/>
  <c r="O117" i="50"/>
  <c r="O141" i="50"/>
  <c r="O165" i="50"/>
  <c r="K10" i="53"/>
  <c r="U34" i="31"/>
  <c r="O250" i="53"/>
  <c r="R95" i="38"/>
  <c r="Q96" i="38"/>
  <c r="R80" i="41"/>
  <c r="Q81" i="53"/>
  <c r="R402" i="53"/>
  <c r="Q414" i="53"/>
  <c r="AQ28" i="31"/>
  <c r="AQ34" i="31"/>
  <c r="AQ45" i="31"/>
  <c r="AQ27" i="31"/>
  <c r="AQ30" i="31"/>
  <c r="AQ23" i="31"/>
  <c r="AQ24" i="31"/>
  <c r="AQ29" i="31"/>
  <c r="Q120" i="41"/>
  <c r="BB31" i="31"/>
  <c r="M318" i="50"/>
  <c r="M341" i="50"/>
  <c r="M360" i="50"/>
  <c r="M400" i="50"/>
  <c r="M297" i="50"/>
  <c r="L170" i="52"/>
  <c r="L182" i="40"/>
  <c r="L179" i="40"/>
  <c r="L180" i="40"/>
  <c r="T31" i="32"/>
  <c r="J41" i="32"/>
  <c r="AK53" i="32"/>
  <c r="T80" i="48"/>
  <c r="O159" i="40"/>
  <c r="O160" i="52"/>
  <c r="Q433" i="38"/>
  <c r="Q436" i="50"/>
  <c r="X95" i="41"/>
  <c r="W96" i="41"/>
  <c r="W97" i="53"/>
  <c r="W98" i="53"/>
  <c r="O160" i="53"/>
  <c r="N431" i="41"/>
  <c r="N434" i="53"/>
  <c r="N394" i="53"/>
  <c r="M403" i="41"/>
  <c r="M433" i="53"/>
  <c r="R317" i="38"/>
  <c r="R323" i="38"/>
  <c r="R328" i="38"/>
  <c r="S294" i="38"/>
  <c r="M406" i="41"/>
  <c r="M437" i="53"/>
  <c r="T117" i="38"/>
  <c r="T118" i="50"/>
  <c r="U116" i="38"/>
  <c r="N425" i="41"/>
  <c r="N428" i="53"/>
  <c r="N430" i="41"/>
  <c r="N414" i="41"/>
  <c r="N417" i="53"/>
  <c r="N415" i="41"/>
  <c r="N418" i="53"/>
  <c r="N434" i="41"/>
  <c r="N366" i="41"/>
  <c r="N397" i="53"/>
  <c r="V59" i="38"/>
  <c r="U60" i="50"/>
  <c r="M379" i="41"/>
  <c r="M382" i="53"/>
  <c r="M369" i="53"/>
  <c r="M366" i="53"/>
  <c r="M376" i="41"/>
  <c r="M379" i="53"/>
  <c r="Q338" i="41"/>
  <c r="P357" i="41"/>
  <c r="R125" i="52"/>
  <c r="S124" i="40"/>
  <c r="N363" i="41"/>
  <c r="N393" i="53"/>
  <c r="O231" i="53"/>
  <c r="O159" i="41"/>
  <c r="O374" i="41"/>
  <c r="O377" i="53"/>
  <c r="O390" i="41"/>
  <c r="O394" i="41"/>
  <c r="O397" i="41"/>
  <c r="O375" i="41"/>
  <c r="O378" i="53"/>
  <c r="O391" i="41"/>
  <c r="O385" i="41"/>
  <c r="O388" i="53"/>
  <c r="U101" i="41"/>
  <c r="T102" i="53"/>
  <c r="P297" i="52"/>
  <c r="P318" i="52"/>
  <c r="P341" i="52"/>
  <c r="P360" i="52"/>
  <c r="P400" i="52"/>
  <c r="O326" i="52"/>
  <c r="O331" i="52"/>
  <c r="O320" i="52"/>
  <c r="P258" i="52"/>
  <c r="P237" i="52"/>
  <c r="S235" i="38"/>
  <c r="S238" i="50"/>
  <c r="S239" i="50"/>
  <c r="T234" i="38"/>
  <c r="N57" i="54"/>
  <c r="N62" i="54"/>
  <c r="N63" i="54"/>
  <c r="N60" i="54"/>
  <c r="Q167" i="52"/>
  <c r="Q235" i="52"/>
  <c r="Q287" i="52"/>
  <c r="Q285" i="52"/>
  <c r="Q213" i="52"/>
  <c r="W116" i="41"/>
  <c r="V117" i="41"/>
  <c r="V118" i="53"/>
  <c r="R159" i="38"/>
  <c r="Q6" i="47"/>
  <c r="Q30" i="47"/>
  <c r="Q7" i="47"/>
  <c r="Q31" i="47"/>
  <c r="Q27" i="47"/>
  <c r="P21" i="54"/>
  <c r="Q5" i="47"/>
  <c r="Q29" i="47"/>
  <c r="Q4" i="47"/>
  <c r="Q28" i="47"/>
  <c r="R3" i="47"/>
  <c r="R74" i="41"/>
  <c r="Q75" i="41"/>
  <c r="Q76" i="53"/>
  <c r="Q77" i="53"/>
  <c r="N326" i="41"/>
  <c r="T6" i="40"/>
  <c r="T8" i="40"/>
  <c r="T9" i="52"/>
  <c r="T8" i="52"/>
  <c r="U7" i="40"/>
  <c r="V54" i="38"/>
  <c r="W53" i="38"/>
  <c r="O87" i="41"/>
  <c r="O88" i="53"/>
  <c r="P76" i="41"/>
  <c r="S6" i="52"/>
  <c r="S7" i="52"/>
  <c r="R165" i="52"/>
  <c r="R75" i="52"/>
  <c r="R96" i="52"/>
  <c r="R117" i="52"/>
  <c r="R141" i="52"/>
  <c r="R54" i="52"/>
  <c r="R31" i="52"/>
  <c r="S101" i="38"/>
  <c r="R102" i="50"/>
  <c r="O38" i="54"/>
  <c r="O41" i="54"/>
  <c r="O69" i="54"/>
  <c r="U55" i="50"/>
  <c r="U56" i="50"/>
  <c r="S15" i="41"/>
  <c r="R16" i="53"/>
  <c r="Q247" i="38"/>
  <c r="Q250" i="50"/>
  <c r="R236" i="38"/>
  <c r="T158" i="38"/>
  <c r="T159" i="50"/>
  <c r="U140" i="38"/>
  <c r="T162" i="38"/>
  <c r="T163" i="50"/>
  <c r="T404" i="38"/>
  <c r="T350" i="38"/>
  <c r="T353" i="50"/>
  <c r="T275" i="38"/>
  <c r="T405" i="38"/>
  <c r="T365" i="38"/>
  <c r="T364" i="38"/>
  <c r="T272" i="38"/>
  <c r="T275" i="50"/>
  <c r="T212" i="38"/>
  <c r="T227" i="38"/>
  <c r="T230" i="50"/>
  <c r="T230" i="38"/>
  <c r="T233" i="50"/>
  <c r="T270" i="38"/>
  <c r="T142" i="38"/>
  <c r="T156" i="38"/>
  <c r="T157" i="50"/>
  <c r="T225" i="38"/>
  <c r="T257" i="38"/>
  <c r="T155" i="38"/>
  <c r="Q317" i="40"/>
  <c r="Q323" i="40"/>
  <c r="R294" i="40"/>
  <c r="Q328" i="40"/>
  <c r="T240" i="41"/>
  <c r="S243" i="53"/>
  <c r="P150" i="41"/>
  <c r="P151" i="53"/>
  <c r="P143" i="53"/>
  <c r="O274" i="52"/>
  <c r="O276" i="52"/>
  <c r="O325" i="40"/>
  <c r="O328" i="52"/>
  <c r="S80" i="40"/>
  <c r="R81" i="52"/>
  <c r="S271" i="38"/>
  <c r="S273" i="38"/>
  <c r="S273" i="50"/>
  <c r="S324" i="38"/>
  <c r="S278" i="50"/>
  <c r="S280" i="50"/>
  <c r="S311" i="50"/>
  <c r="S277" i="38"/>
  <c r="S308" i="38"/>
  <c r="S392" i="38"/>
  <c r="S395" i="50"/>
  <c r="S367" i="50"/>
  <c r="S377" i="38"/>
  <c r="S380" i="50"/>
  <c r="T290" i="38"/>
  <c r="U284" i="38"/>
  <c r="T288" i="38"/>
  <c r="T285" i="38"/>
  <c r="T287" i="38"/>
  <c r="T291" i="38"/>
  <c r="T286" i="38"/>
  <c r="T289" i="38"/>
  <c r="T292" i="50"/>
  <c r="P277" i="40"/>
  <c r="P308" i="40"/>
  <c r="P278" i="52"/>
  <c r="P280" i="52"/>
  <c r="P311" i="52"/>
  <c r="P368" i="52"/>
  <c r="P378" i="40"/>
  <c r="P381" i="52"/>
  <c r="P393" i="40"/>
  <c r="P396" i="52"/>
  <c r="R331" i="40"/>
  <c r="R334" i="52"/>
  <c r="R290" i="52"/>
  <c r="S14" i="38"/>
  <c r="R15" i="50"/>
  <c r="R16" i="50"/>
  <c r="S15" i="38"/>
  <c r="T166" i="41"/>
  <c r="S167" i="41"/>
  <c r="S168" i="53"/>
  <c r="S169" i="53"/>
  <c r="P407" i="53"/>
  <c r="P432" i="41"/>
  <c r="P435" i="53"/>
  <c r="P417" i="41"/>
  <c r="P420" i="53"/>
  <c r="P228" i="53"/>
  <c r="P226" i="41"/>
  <c r="P229" i="53"/>
  <c r="N409" i="50"/>
  <c r="N419" i="38"/>
  <c r="N422" i="50"/>
  <c r="Q336" i="40"/>
  <c r="Q332" i="52"/>
  <c r="Q339" i="52"/>
  <c r="S289" i="53"/>
  <c r="S330" i="41"/>
  <c r="S333" i="53"/>
  <c r="P363" i="40"/>
  <c r="P393" i="52"/>
  <c r="R332" i="53"/>
  <c r="R339" i="53"/>
  <c r="R336" i="41"/>
  <c r="K43" i="40"/>
  <c r="O327" i="52"/>
  <c r="O326" i="40"/>
  <c r="S39" i="53"/>
  <c r="T38" i="41"/>
  <c r="R357" i="40"/>
  <c r="S338" i="40"/>
  <c r="S407" i="50"/>
  <c r="S417" i="38"/>
  <c r="S420" i="50"/>
  <c r="S432" i="38"/>
  <c r="S435" i="50"/>
  <c r="S335" i="38"/>
  <c r="S338" i="50"/>
  <c r="S294" i="50"/>
  <c r="P226" i="40"/>
  <c r="P229" i="52"/>
  <c r="P228" i="52"/>
  <c r="R38" i="52"/>
  <c r="S37" i="40"/>
  <c r="R335" i="40"/>
  <c r="R338" i="52"/>
  <c r="R294" i="52"/>
  <c r="S335" i="41"/>
  <c r="S338" i="53"/>
  <c r="S294" i="53"/>
  <c r="P366" i="40"/>
  <c r="P369" i="52"/>
  <c r="P397" i="52"/>
  <c r="S240" i="40"/>
  <c r="R243" i="52"/>
  <c r="Q168" i="50"/>
  <c r="Q169" i="50"/>
  <c r="O437" i="52"/>
  <c r="O406" i="40"/>
  <c r="P367" i="53"/>
  <c r="P392" i="41"/>
  <c r="P395" i="53"/>
  <c r="P377" i="41"/>
  <c r="P380" i="53"/>
  <c r="P278" i="53"/>
  <c r="P280" i="53"/>
  <c r="P311" i="53"/>
  <c r="P277" i="41"/>
  <c r="P308" i="41"/>
  <c r="Q295" i="52"/>
  <c r="R15" i="52"/>
  <c r="S14" i="40"/>
  <c r="O325" i="41"/>
  <c r="O328" i="53"/>
  <c r="O274" i="53"/>
  <c r="O276" i="53"/>
  <c r="T30" i="41"/>
  <c r="S31" i="41"/>
  <c r="S293" i="50"/>
  <c r="S334" i="38"/>
  <c r="S337" i="50"/>
  <c r="P408" i="52"/>
  <c r="P418" i="40"/>
  <c r="P421" i="52"/>
  <c r="R173" i="50"/>
  <c r="S172" i="38"/>
  <c r="K44" i="52"/>
  <c r="O273" i="40"/>
  <c r="Q391" i="40"/>
  <c r="Q374" i="40"/>
  <c r="Q377" i="52"/>
  <c r="Q375" i="40"/>
  <c r="Q378" i="52"/>
  <c r="Q390" i="40"/>
  <c r="Q394" i="40"/>
  <c r="Q397" i="40"/>
  <c r="Q385" i="40"/>
  <c r="Q388" i="52"/>
  <c r="Q339" i="50"/>
  <c r="S15" i="40"/>
  <c r="R16" i="52"/>
  <c r="S289" i="50"/>
  <c r="S330" i="38"/>
  <c r="S123" i="40"/>
  <c r="R124" i="52"/>
  <c r="Q257" i="40"/>
  <c r="Q156" i="40"/>
  <c r="Q157" i="52"/>
  <c r="Q142" i="40"/>
  <c r="Q350" i="40"/>
  <c r="Q353" i="52"/>
  <c r="Q158" i="40"/>
  <c r="Q159" i="52"/>
  <c r="Q212" i="40"/>
  <c r="Q270" i="40"/>
  <c r="Q230" i="40"/>
  <c r="Q233" i="52"/>
  <c r="Q275" i="40"/>
  <c r="Q162" i="40"/>
  <c r="Q163" i="52"/>
  <c r="Q404" i="40"/>
  <c r="Q155" i="40"/>
  <c r="Q405" i="40"/>
  <c r="Q227" i="40"/>
  <c r="Q230" i="52"/>
  <c r="Q365" i="40"/>
  <c r="R140" i="40"/>
  <c r="Q225" i="40"/>
  <c r="Q364" i="40"/>
  <c r="Q272" i="40"/>
  <c r="Q275" i="52"/>
  <c r="S172" i="40"/>
  <c r="R173" i="52"/>
  <c r="R125" i="53"/>
  <c r="S124" i="41"/>
  <c r="T284" i="40"/>
  <c r="S286" i="40"/>
  <c r="S289" i="40"/>
  <c r="S292" i="52"/>
  <c r="S290" i="40"/>
  <c r="S287" i="40"/>
  <c r="S285" i="40"/>
  <c r="S291" i="40"/>
  <c r="S288" i="40"/>
  <c r="S332" i="41"/>
  <c r="S335" i="53"/>
  <c r="S291" i="53"/>
  <c r="S76" i="50"/>
  <c r="S77" i="50"/>
  <c r="S166" i="38"/>
  <c r="R167" i="38"/>
  <c r="R332" i="50"/>
  <c r="R339" i="50"/>
  <c r="R336" i="38"/>
  <c r="N329" i="53"/>
  <c r="P157" i="41"/>
  <c r="P158" i="53"/>
  <c r="P156" i="53"/>
  <c r="R160" i="50"/>
  <c r="Q168" i="38"/>
  <c r="R38" i="53"/>
  <c r="S37" i="41"/>
  <c r="P157" i="40"/>
  <c r="P158" i="52"/>
  <c r="P156" i="52"/>
  <c r="R330" i="40"/>
  <c r="R333" i="52"/>
  <c r="R289" i="52"/>
  <c r="P368" i="53"/>
  <c r="P378" i="41"/>
  <c r="P381" i="53"/>
  <c r="P393" i="41"/>
  <c r="P396" i="53"/>
  <c r="O437" i="50"/>
  <c r="O406" i="38"/>
  <c r="S150" i="38"/>
  <c r="S151" i="50"/>
  <c r="S143" i="50"/>
  <c r="P367" i="52"/>
  <c r="P392" i="40"/>
  <c r="P395" i="52"/>
  <c r="P377" i="40"/>
  <c r="P380" i="52"/>
  <c r="O369" i="52"/>
  <c r="O379" i="40"/>
  <c r="O382" i="52"/>
  <c r="R329" i="40"/>
  <c r="R288" i="52"/>
  <c r="R292" i="40"/>
  <c r="S288" i="53"/>
  <c r="S292" i="41"/>
  <c r="S329" i="41"/>
  <c r="P414" i="40"/>
  <c r="P417" i="52"/>
  <c r="P415" i="40"/>
  <c r="P418" i="52"/>
  <c r="P430" i="40"/>
  <c r="P434" i="40"/>
  <c r="P425" i="40"/>
  <c r="P428" i="52"/>
  <c r="U74" i="38"/>
  <c r="T75" i="38"/>
  <c r="T124" i="38"/>
  <c r="S125" i="50"/>
  <c r="P265" i="41"/>
  <c r="P268" i="53"/>
  <c r="P260" i="53"/>
  <c r="R140" i="41"/>
  <c r="Q275" i="41"/>
  <c r="Q227" i="41"/>
  <c r="Q230" i="53"/>
  <c r="Q212" i="41"/>
  <c r="Q365" i="41"/>
  <c r="Q272" i="41"/>
  <c r="Q275" i="53"/>
  <c r="Q350" i="41"/>
  <c r="Q353" i="53"/>
  <c r="Q230" i="41"/>
  <c r="Q233" i="53"/>
  <c r="Q158" i="41"/>
  <c r="Q159" i="53"/>
  <c r="Q155" i="41"/>
  <c r="Q405" i="41"/>
  <c r="Q156" i="41"/>
  <c r="Q157" i="53"/>
  <c r="Q364" i="41"/>
  <c r="Q142" i="41"/>
  <c r="Q225" i="41"/>
  <c r="Q404" i="41"/>
  <c r="Q162" i="41"/>
  <c r="Q163" i="53"/>
  <c r="Q270" i="41"/>
  <c r="Q257" i="41"/>
  <c r="O228" i="41"/>
  <c r="O433" i="41"/>
  <c r="O436" i="53"/>
  <c r="B23" i="35"/>
  <c r="C22" i="35"/>
  <c r="N433" i="41"/>
  <c r="N436" i="53"/>
  <c r="P415" i="38"/>
  <c r="P418" i="50"/>
  <c r="P414" i="38"/>
  <c r="P417" i="50"/>
  <c r="V38" i="38"/>
  <c r="U39" i="50"/>
  <c r="R295" i="50"/>
  <c r="S156" i="50"/>
  <c r="S157" i="38"/>
  <c r="S158" i="50"/>
  <c r="S393" i="38"/>
  <c r="S396" i="50"/>
  <c r="S368" i="50"/>
  <c r="S378" i="38"/>
  <c r="S381" i="50"/>
  <c r="T123" i="41"/>
  <c r="S124" i="53"/>
  <c r="S292" i="38"/>
  <c r="S329" i="38"/>
  <c r="S288" i="50"/>
  <c r="P150" i="40"/>
  <c r="P151" i="52"/>
  <c r="P143" i="52"/>
  <c r="P271" i="40"/>
  <c r="P273" i="40"/>
  <c r="P273" i="52"/>
  <c r="P324" i="40"/>
  <c r="O376" i="40"/>
  <c r="O379" i="52"/>
  <c r="O366" i="52"/>
  <c r="S290" i="53"/>
  <c r="S331" i="41"/>
  <c r="S334" i="53"/>
  <c r="R81" i="50"/>
  <c r="S80" i="38"/>
  <c r="O66" i="41"/>
  <c r="O67" i="53"/>
  <c r="P55" i="41"/>
  <c r="R15" i="53"/>
  <c r="S14" i="41"/>
  <c r="Q394" i="38"/>
  <c r="Q375" i="38"/>
  <c r="Q378" i="50"/>
  <c r="Q385" i="38"/>
  <c r="Q388" i="50"/>
  <c r="Q374" i="38"/>
  <c r="Q377" i="50"/>
  <c r="Q391" i="38"/>
  <c r="Q390" i="38"/>
  <c r="Q397" i="38"/>
  <c r="P215" i="53"/>
  <c r="P220" i="41"/>
  <c r="P223" i="53"/>
  <c r="P55" i="53"/>
  <c r="P56" i="53"/>
  <c r="M436" i="52"/>
  <c r="M405" i="40"/>
  <c r="O228" i="40"/>
  <c r="S226" i="38"/>
  <c r="S229" i="50"/>
  <c r="S228" i="50"/>
  <c r="S265" i="38"/>
  <c r="S268" i="50"/>
  <c r="S260" i="50"/>
  <c r="Q326" i="38"/>
  <c r="S291" i="50"/>
  <c r="S332" i="38"/>
  <c r="S335" i="50"/>
  <c r="P220" i="40"/>
  <c r="P223" i="52"/>
  <c r="P215" i="52"/>
  <c r="R228" i="38"/>
  <c r="R433" i="38"/>
  <c r="R436" i="50"/>
  <c r="R332" i="40"/>
  <c r="R335" i="52"/>
  <c r="R291" i="52"/>
  <c r="S334" i="41"/>
  <c r="S337" i="53"/>
  <c r="S293" i="53"/>
  <c r="P394" i="52"/>
  <c r="P431" i="40"/>
  <c r="P434" i="52"/>
  <c r="U37" i="38"/>
  <c r="T38" i="50"/>
  <c r="S338" i="38"/>
  <c r="R357" i="38"/>
  <c r="P418" i="41"/>
  <c r="P421" i="53"/>
  <c r="P408" i="53"/>
  <c r="R53" i="41"/>
  <c r="Q54" i="41"/>
  <c r="O379" i="38"/>
  <c r="O382" i="50"/>
  <c r="O369" i="50"/>
  <c r="O231" i="52"/>
  <c r="R295" i="53"/>
  <c r="R327" i="50"/>
  <c r="S38" i="40"/>
  <c r="R39" i="52"/>
  <c r="S408" i="50"/>
  <c r="S418" i="38"/>
  <c r="S421" i="50"/>
  <c r="S220" i="38"/>
  <c r="S223" i="50"/>
  <c r="S215" i="50"/>
  <c r="Q329" i="50"/>
  <c r="S331" i="38"/>
  <c r="S334" i="50"/>
  <c r="S290" i="50"/>
  <c r="P407" i="52"/>
  <c r="P417" i="40"/>
  <c r="P420" i="52"/>
  <c r="P432" i="40"/>
  <c r="P435" i="52"/>
  <c r="P260" i="52"/>
  <c r="P265" i="40"/>
  <c r="P268" i="52"/>
  <c r="R231" i="50"/>
  <c r="R334" i="40"/>
  <c r="R337" i="52"/>
  <c r="R293" i="52"/>
  <c r="T172" i="41"/>
  <c r="S173" i="53"/>
  <c r="T287" i="41"/>
  <c r="T290" i="41"/>
  <c r="T288" i="41"/>
  <c r="T291" i="41"/>
  <c r="T285" i="41"/>
  <c r="T289" i="41"/>
  <c r="T292" i="53"/>
  <c r="T286" i="41"/>
  <c r="U284" i="41"/>
  <c r="U101" i="40"/>
  <c r="T102" i="52"/>
  <c r="O403" i="40"/>
  <c r="O433" i="52"/>
  <c r="T240" i="38"/>
  <c r="S243" i="50"/>
  <c r="R274" i="50"/>
  <c r="R276" i="50"/>
  <c r="R325" i="38"/>
  <c r="R328" i="50"/>
  <c r="P273" i="53"/>
  <c r="P271" i="41"/>
  <c r="P324" i="41"/>
  <c r="M368" i="52"/>
  <c r="M378" i="40"/>
  <c r="M381" i="52"/>
  <c r="M393" i="40"/>
  <c r="M396" i="52"/>
  <c r="W59" i="41"/>
  <c r="V60" i="53"/>
  <c r="O326" i="41"/>
  <c r="O327" i="53"/>
  <c r="O329" i="53"/>
  <c r="S123" i="38"/>
  <c r="R124" i="50"/>
  <c r="U45" i="31"/>
  <c r="U86" i="31"/>
  <c r="N31" i="31"/>
  <c r="AM31" i="31"/>
  <c r="L190" i="40"/>
  <c r="L192" i="52"/>
  <c r="L183" i="40"/>
  <c r="L191" i="40"/>
  <c r="L193" i="52"/>
  <c r="L193" i="40"/>
  <c r="L195" i="52"/>
  <c r="L195" i="40"/>
  <c r="L197" i="52"/>
  <c r="L189" i="40"/>
  <c r="L191" i="52"/>
  <c r="L197" i="40"/>
  <c r="L199" i="52"/>
  <c r="L205" i="40"/>
  <c r="L192" i="40"/>
  <c r="L194" i="52"/>
  <c r="L194" i="40"/>
  <c r="L196" i="52"/>
  <c r="L183" i="52"/>
  <c r="L202" i="52"/>
  <c r="L199" i="40"/>
  <c r="AQ31" i="31"/>
  <c r="O173" i="40"/>
  <c r="O176" i="40"/>
  <c r="O172" i="52"/>
  <c r="O174" i="52"/>
  <c r="O168" i="40"/>
  <c r="N169" i="40"/>
  <c r="O31" i="31"/>
  <c r="S235" i="41"/>
  <c r="T234" i="41"/>
  <c r="N177" i="40"/>
  <c r="N177" i="52"/>
  <c r="P173" i="38"/>
  <c r="P176" i="38"/>
  <c r="P172" i="50"/>
  <c r="P174" i="50"/>
  <c r="H76" i="31"/>
  <c r="P237" i="53"/>
  <c r="P258" i="53"/>
  <c r="M245" i="52"/>
  <c r="M243" i="40"/>
  <c r="M246" i="52"/>
  <c r="AI21" i="35"/>
  <c r="AQ20" i="35"/>
  <c r="T86" i="31"/>
  <c r="T88" i="31"/>
  <c r="R8" i="50"/>
  <c r="R6" i="38"/>
  <c r="R8" i="38"/>
  <c r="R3" i="38"/>
  <c r="R3" i="50"/>
  <c r="S7" i="38"/>
  <c r="R2" i="38"/>
  <c r="O121" i="50"/>
  <c r="P88" i="50"/>
  <c r="R120" i="41"/>
  <c r="S402" i="53"/>
  <c r="R414" i="53"/>
  <c r="L10" i="53"/>
  <c r="R32" i="50"/>
  <c r="M9" i="38"/>
  <c r="O187" i="53"/>
  <c r="I59" i="31"/>
  <c r="I60" i="31"/>
  <c r="I51" i="31"/>
  <c r="I61" i="31"/>
  <c r="I52" i="31"/>
  <c r="I53" i="31"/>
  <c r="I54" i="31"/>
  <c r="I57" i="31"/>
  <c r="I74" i="31"/>
  <c r="I75" i="31"/>
  <c r="O86" i="31"/>
  <c r="C113" i="28"/>
  <c r="O177" i="38"/>
  <c r="O177" i="50"/>
  <c r="M186" i="40"/>
  <c r="M178" i="52"/>
  <c r="Q168" i="41"/>
  <c r="L10" i="50"/>
  <c r="Q177" i="53"/>
  <c r="M33" i="53"/>
  <c r="N258" i="50"/>
  <c r="N237" i="50"/>
  <c r="Q235" i="53"/>
  <c r="Q213" i="53"/>
  <c r="Q167" i="53"/>
  <c r="Q287" i="53"/>
  <c r="Q285" i="53"/>
  <c r="M250" i="52"/>
  <c r="T31" i="31"/>
  <c r="J208" i="52"/>
  <c r="J184" i="52"/>
  <c r="AK31" i="31"/>
  <c r="Q97" i="38"/>
  <c r="P108" i="38"/>
  <c r="R317" i="41"/>
  <c r="R323" i="41"/>
  <c r="R328" i="41"/>
  <c r="S294" i="41"/>
  <c r="R411" i="38"/>
  <c r="S399" i="38"/>
  <c r="R419" i="38"/>
  <c r="R422" i="50"/>
  <c r="R31" i="31"/>
  <c r="AG31" i="31"/>
  <c r="N247" i="40"/>
  <c r="O236" i="40"/>
  <c r="N237" i="40"/>
  <c r="N242" i="40"/>
  <c r="X27" i="54"/>
  <c r="O320" i="53"/>
  <c r="O331" i="53"/>
  <c r="O326" i="53"/>
  <c r="J57" i="31"/>
  <c r="J59" i="31"/>
  <c r="J60" i="31"/>
  <c r="J51" i="31"/>
  <c r="J61" i="31"/>
  <c r="J52" i="31"/>
  <c r="J53" i="31"/>
  <c r="J54" i="31"/>
  <c r="J75" i="31"/>
  <c r="J74" i="31"/>
  <c r="R165" i="53"/>
  <c r="R54" i="53"/>
  <c r="R75" i="53"/>
  <c r="R96" i="53"/>
  <c r="R117" i="53"/>
  <c r="R141" i="53"/>
  <c r="R31" i="53"/>
  <c r="AF27" i="31"/>
  <c r="AF34" i="31"/>
  <c r="AF45" i="31"/>
  <c r="AF28" i="31"/>
  <c r="AF30" i="31"/>
  <c r="AF23" i="31"/>
  <c r="AF24" i="31"/>
  <c r="AF29" i="31"/>
  <c r="Q9" i="50"/>
  <c r="M61" i="40"/>
  <c r="M57" i="52"/>
  <c r="J56" i="31"/>
  <c r="H56" i="31"/>
  <c r="I56" i="31"/>
  <c r="F56" i="31"/>
  <c r="AA27" i="31"/>
  <c r="AA34" i="31"/>
  <c r="AA45" i="31"/>
  <c r="AA28" i="31"/>
  <c r="AA30" i="31"/>
  <c r="AA23" i="31"/>
  <c r="AA24" i="31"/>
  <c r="AA29" i="31"/>
  <c r="Q97" i="50"/>
  <c r="Q98" i="50"/>
  <c r="P31" i="31"/>
  <c r="Q247" i="41"/>
  <c r="R236" i="41"/>
  <c r="P165" i="50"/>
  <c r="P31" i="50"/>
  <c r="P54" i="50"/>
  <c r="P75" i="50"/>
  <c r="P96" i="50"/>
  <c r="P117" i="50"/>
  <c r="P141" i="50"/>
  <c r="N86" i="31"/>
  <c r="N88" i="31"/>
  <c r="N186" i="38"/>
  <c r="N178" i="50"/>
  <c r="I41" i="32"/>
  <c r="S31" i="32"/>
  <c r="R80" i="48"/>
  <c r="AJ53" i="32"/>
  <c r="M33" i="52"/>
  <c r="L36" i="52"/>
  <c r="O109" i="50"/>
  <c r="AL31" i="31"/>
  <c r="P108" i="41"/>
  <c r="Q97" i="41"/>
  <c r="N297" i="50"/>
  <c r="N318" i="50"/>
  <c r="N341" i="50"/>
  <c r="N360" i="50"/>
  <c r="N400" i="50"/>
  <c r="AD27" i="31"/>
  <c r="AD34" i="31"/>
  <c r="AD45" i="31"/>
  <c r="AD28" i="31"/>
  <c r="AD30" i="31"/>
  <c r="AD23" i="31"/>
  <c r="AD24" i="31"/>
  <c r="AD29" i="31"/>
  <c r="K181" i="52"/>
  <c r="P177" i="41"/>
  <c r="S27" i="35"/>
  <c r="R28" i="35"/>
  <c r="Q2" i="50"/>
  <c r="Q58" i="38"/>
  <c r="Q59" i="50"/>
  <c r="Q239" i="38"/>
  <c r="Q242" i="50"/>
  <c r="Q171" i="38"/>
  <c r="Q175" i="38"/>
  <c r="Q176" i="50"/>
  <c r="Q100" i="38"/>
  <c r="Q101" i="50"/>
  <c r="Q79" i="38"/>
  <c r="Q80" i="50"/>
  <c r="N66" i="40"/>
  <c r="O55" i="40"/>
  <c r="N56" i="40"/>
  <c r="M331" i="50"/>
  <c r="M326" i="50"/>
  <c r="M320" i="50"/>
  <c r="R96" i="38"/>
  <c r="R97" i="50"/>
  <c r="S95" i="38"/>
  <c r="P239" i="40"/>
  <c r="P242" i="52"/>
  <c r="P79" i="40"/>
  <c r="P80" i="52"/>
  <c r="P171" i="40"/>
  <c r="P175" i="40"/>
  <c r="P176" i="52"/>
  <c r="Q2" i="40"/>
  <c r="P58" i="40"/>
  <c r="P59" i="52"/>
  <c r="P100" i="40"/>
  <c r="P101" i="52"/>
  <c r="P2" i="52"/>
  <c r="P88" i="31"/>
  <c r="P86" i="31"/>
  <c r="C114" i="28"/>
  <c r="T8" i="53"/>
  <c r="T8" i="41"/>
  <c r="T6" i="41"/>
  <c r="T2" i="41"/>
  <c r="T3" i="41"/>
  <c r="T3" i="53"/>
  <c r="U7" i="41"/>
  <c r="AO31" i="31"/>
  <c r="P250" i="53"/>
  <c r="H41" i="32"/>
  <c r="R31" i="32"/>
  <c r="G31" i="32"/>
  <c r="P80" i="48"/>
  <c r="AI53" i="32"/>
  <c r="M31" i="31"/>
  <c r="O9" i="40"/>
  <c r="T21" i="35"/>
  <c r="AB20" i="35"/>
  <c r="O109" i="53"/>
  <c r="Z379" i="38"/>
  <c r="Z382" i="50"/>
  <c r="Z371" i="38"/>
  <c r="M33" i="50"/>
  <c r="Q121" i="53"/>
  <c r="K189" i="52"/>
  <c r="O3" i="52"/>
  <c r="P3" i="40"/>
  <c r="S31" i="31"/>
  <c r="N32" i="38"/>
  <c r="F44" i="31"/>
  <c r="G45" i="31"/>
  <c r="Q7" i="50"/>
  <c r="Q6" i="50"/>
  <c r="AU31" i="31"/>
  <c r="AT31" i="31"/>
  <c r="M67" i="52"/>
  <c r="X97" i="52"/>
  <c r="X98" i="52"/>
  <c r="M9" i="41"/>
  <c r="AB34" i="31"/>
  <c r="AB45" i="31"/>
  <c r="AB27" i="31"/>
  <c r="AB28" i="31"/>
  <c r="AB30" i="31"/>
  <c r="AB23" i="31"/>
  <c r="AB24" i="31"/>
  <c r="AB29" i="31"/>
  <c r="S9" i="53"/>
  <c r="O120" i="40"/>
  <c r="M40" i="40"/>
  <c r="M34" i="40"/>
  <c r="Z28" i="31"/>
  <c r="Z27" i="31"/>
  <c r="Z34" i="31"/>
  <c r="Z45" i="31"/>
  <c r="Z30" i="31"/>
  <c r="Z23" i="31"/>
  <c r="Z24" i="31"/>
  <c r="Z29" i="31"/>
  <c r="O10" i="52"/>
  <c r="M88" i="52"/>
  <c r="L35" i="52"/>
  <c r="L34" i="52"/>
  <c r="L45" i="40"/>
  <c r="L33" i="40"/>
  <c r="L42" i="40"/>
  <c r="L43" i="52"/>
  <c r="M88" i="31"/>
  <c r="M86" i="31"/>
  <c r="N108" i="40"/>
  <c r="O97" i="40"/>
  <c r="O239" i="52"/>
  <c r="N240" i="52"/>
  <c r="V362" i="50"/>
  <c r="U374" i="50"/>
  <c r="U28" i="54"/>
  <c r="T30" i="54"/>
  <c r="T402" i="52"/>
  <c r="S414" i="52"/>
  <c r="R22" i="54"/>
  <c r="Q24" i="54"/>
  <c r="Q32" i="54"/>
  <c r="Q33" i="54"/>
  <c r="AE27" i="31"/>
  <c r="AE34" i="31"/>
  <c r="AE45" i="31"/>
  <c r="AE28" i="31"/>
  <c r="AE30" i="31"/>
  <c r="AE23" i="31"/>
  <c r="AE24" i="31"/>
  <c r="AE29" i="31"/>
  <c r="Z95" i="40"/>
  <c r="Z96" i="40"/>
  <c r="Y96" i="40"/>
  <c r="S31" i="38"/>
  <c r="S32" i="50"/>
  <c r="T30" i="38"/>
  <c r="S80" i="41"/>
  <c r="R81" i="53"/>
  <c r="S2" i="53"/>
  <c r="S79" i="41"/>
  <c r="S80" i="53"/>
  <c r="S100" i="41"/>
  <c r="S101" i="53"/>
  <c r="S58" i="41"/>
  <c r="S59" i="53"/>
  <c r="S175" i="41"/>
  <c r="S176" i="53"/>
  <c r="S171" i="41"/>
  <c r="S239" i="41"/>
  <c r="S242" i="53"/>
  <c r="G287" i="41"/>
  <c r="H287" i="41"/>
  <c r="T102" i="48"/>
  <c r="S7" i="53"/>
  <c r="S6" i="53"/>
  <c r="T2" i="42"/>
  <c r="S47" i="42"/>
  <c r="S1" i="42"/>
  <c r="AP31" i="31"/>
  <c r="V117" i="40"/>
  <c r="W116" i="40"/>
  <c r="O32" i="40"/>
  <c r="N35" i="40"/>
  <c r="AC27" i="31"/>
  <c r="AC28" i="31"/>
  <c r="AC34" i="31"/>
  <c r="AC45" i="31"/>
  <c r="AC30" i="31"/>
  <c r="AC23" i="31"/>
  <c r="AC24" i="31"/>
  <c r="AC29" i="31"/>
  <c r="U359" i="40"/>
  <c r="T379" i="40"/>
  <c r="T382" i="52"/>
  <c r="T371" i="40"/>
  <c r="N87" i="40"/>
  <c r="O76" i="40"/>
  <c r="L41" i="52"/>
  <c r="L41" i="40"/>
  <c r="L42" i="52"/>
  <c r="Y34" i="31"/>
  <c r="Y45" i="31"/>
  <c r="Y27" i="31"/>
  <c r="Y28" i="31"/>
  <c r="Y30" i="31"/>
  <c r="Y23" i="31"/>
  <c r="Y24" i="31"/>
  <c r="Y29" i="31"/>
  <c r="M109" i="52"/>
  <c r="P66" i="38"/>
  <c r="Q55" i="38"/>
  <c r="L62" i="52"/>
  <c r="L62" i="40"/>
  <c r="L63" i="52"/>
  <c r="L187" i="52"/>
  <c r="P120" i="38"/>
  <c r="O121" i="52"/>
  <c r="AN31" i="31"/>
  <c r="Z74" i="40"/>
  <c r="Z75" i="40"/>
  <c r="Y75" i="40"/>
  <c r="U31" i="31"/>
  <c r="AR31" i="31"/>
  <c r="O167" i="50"/>
  <c r="O235" i="50"/>
  <c r="O213" i="50"/>
  <c r="O287" i="50"/>
  <c r="O285" i="50"/>
  <c r="K46" i="52"/>
  <c r="Y411" i="40"/>
  <c r="Y419" i="40"/>
  <c r="Y422" i="52"/>
  <c r="Z399" i="40"/>
  <c r="L187" i="40"/>
  <c r="L180" i="52"/>
  <c r="L188" i="52"/>
  <c r="S414" i="50"/>
  <c r="T402" i="50"/>
  <c r="M170" i="52"/>
  <c r="M182" i="40"/>
  <c r="M179" i="40"/>
  <c r="M180" i="40"/>
  <c r="Q31" i="31"/>
  <c r="N32" i="41"/>
  <c r="R238" i="53"/>
  <c r="V59" i="40"/>
  <c r="U60" i="52"/>
  <c r="I49" i="31"/>
  <c r="T49" i="31"/>
  <c r="O67" i="50"/>
  <c r="F72" i="54"/>
  <c r="F75" i="54"/>
  <c r="G67" i="54"/>
  <c r="G70" i="54"/>
  <c r="Q239" i="53"/>
  <c r="R173" i="41"/>
  <c r="R176" i="41"/>
  <c r="R172" i="53"/>
  <c r="R174" i="53"/>
  <c r="G20" i="31"/>
  <c r="P318" i="53"/>
  <c r="P341" i="53"/>
  <c r="P360" i="53"/>
  <c r="P400" i="53"/>
  <c r="P297" i="53"/>
  <c r="AJ28" i="31"/>
  <c r="AJ27" i="31"/>
  <c r="AJ34" i="31"/>
  <c r="AJ45" i="31"/>
  <c r="AI45" i="31"/>
  <c r="AJ30" i="31"/>
  <c r="AJ23" i="31"/>
  <c r="AJ24" i="31"/>
  <c r="AJ29" i="31"/>
  <c r="U374" i="52"/>
  <c r="V362" i="52"/>
  <c r="H62" i="31"/>
  <c r="I62" i="31"/>
  <c r="J62" i="31"/>
  <c r="F62" i="31"/>
  <c r="U374" i="53"/>
  <c r="V362" i="53"/>
  <c r="X76" i="52"/>
  <c r="X77" i="52"/>
  <c r="M187" i="50"/>
  <c r="R76" i="38"/>
  <c r="Q87" i="38"/>
  <c r="P228" i="41"/>
  <c r="P231" i="52"/>
  <c r="X96" i="41"/>
  <c r="Y95" i="41"/>
  <c r="O366" i="41"/>
  <c r="O397" i="53"/>
  <c r="W59" i="38"/>
  <c r="V60" i="50"/>
  <c r="T294" i="38"/>
  <c r="S323" i="38"/>
  <c r="S328" i="38"/>
  <c r="S317" i="38"/>
  <c r="O431" i="41"/>
  <c r="O434" i="53"/>
  <c r="O394" i="53"/>
  <c r="P228" i="40"/>
  <c r="N376" i="41"/>
  <c r="N379" i="53"/>
  <c r="N366" i="53"/>
  <c r="N433" i="53"/>
  <c r="N403" i="41"/>
  <c r="P160" i="52"/>
  <c r="O430" i="41"/>
  <c r="O434" i="41"/>
  <c r="O414" i="41"/>
  <c r="O417" i="53"/>
  <c r="O415" i="41"/>
  <c r="O418" i="53"/>
  <c r="O425" i="41"/>
  <c r="O428" i="53"/>
  <c r="T124" i="40"/>
  <c r="S125" i="52"/>
  <c r="O393" i="53"/>
  <c r="O363" i="41"/>
  <c r="P375" i="41"/>
  <c r="P378" i="53"/>
  <c r="P391" i="41"/>
  <c r="P394" i="41"/>
  <c r="P390" i="41"/>
  <c r="P385" i="41"/>
  <c r="P388" i="53"/>
  <c r="P397" i="41"/>
  <c r="P374" i="41"/>
  <c r="P377" i="53"/>
  <c r="M406" i="53"/>
  <c r="M416" i="41"/>
  <c r="M419" i="53"/>
  <c r="V116" i="38"/>
  <c r="U117" i="38"/>
  <c r="U118" i="50"/>
  <c r="R338" i="41"/>
  <c r="Q357" i="41"/>
  <c r="N369" i="53"/>
  <c r="N379" i="41"/>
  <c r="N382" i="53"/>
  <c r="N406" i="41"/>
  <c r="N437" i="53"/>
  <c r="M419" i="41"/>
  <c r="M422" i="53"/>
  <c r="M409" i="53"/>
  <c r="S228" i="38"/>
  <c r="Q258" i="52"/>
  <c r="Q237" i="52"/>
  <c r="P331" i="52"/>
  <c r="P320" i="52"/>
  <c r="P326" i="52"/>
  <c r="X53" i="38"/>
  <c r="W54" i="38"/>
  <c r="J98" i="40"/>
  <c r="S160" i="50"/>
  <c r="V55" i="50"/>
  <c r="V56" i="50"/>
  <c r="R247" i="38"/>
  <c r="R250" i="50"/>
  <c r="S236" i="38"/>
  <c r="R287" i="52"/>
  <c r="R285" i="52"/>
  <c r="R213" i="52"/>
  <c r="R167" i="52"/>
  <c r="R235" i="52"/>
  <c r="U8" i="52"/>
  <c r="U6" i="40"/>
  <c r="V7" i="40"/>
  <c r="U8" i="40"/>
  <c r="U9" i="52"/>
  <c r="R75" i="41"/>
  <c r="R76" i="53"/>
  <c r="R77" i="53"/>
  <c r="S74" i="41"/>
  <c r="O60" i="54"/>
  <c r="O57" i="54"/>
  <c r="O62" i="54"/>
  <c r="O63" i="54"/>
  <c r="T6" i="52"/>
  <c r="T7" i="52"/>
  <c r="S3" i="47"/>
  <c r="R6" i="47"/>
  <c r="R7" i="47"/>
  <c r="G42" i="47"/>
  <c r="R4" i="47"/>
  <c r="G39" i="47"/>
  <c r="G38" i="47"/>
  <c r="R5" i="47"/>
  <c r="G40" i="47"/>
  <c r="Q21" i="54"/>
  <c r="T235" i="38"/>
  <c r="T238" i="50"/>
  <c r="U234" i="38"/>
  <c r="S75" i="52"/>
  <c r="S96" i="52"/>
  <c r="S117" i="52"/>
  <c r="S141" i="52"/>
  <c r="S31" i="52"/>
  <c r="S54" i="52"/>
  <c r="S165" i="52"/>
  <c r="W117" i="41"/>
  <c r="W118" i="53"/>
  <c r="X116" i="41"/>
  <c r="P159" i="40"/>
  <c r="P159" i="41"/>
  <c r="V101" i="41"/>
  <c r="U102" i="53"/>
  <c r="T15" i="41"/>
  <c r="S16" i="53"/>
  <c r="T101" i="38"/>
  <c r="S102" i="50"/>
  <c r="Q76" i="41"/>
  <c r="P87" i="41"/>
  <c r="P88" i="53"/>
  <c r="P69" i="54"/>
  <c r="P41" i="54"/>
  <c r="P38" i="54"/>
  <c r="Q318" i="52"/>
  <c r="Q341" i="52"/>
  <c r="Q360" i="52"/>
  <c r="Q400" i="52"/>
  <c r="Q297" i="52"/>
  <c r="L189" i="52"/>
  <c r="P325" i="41"/>
  <c r="P328" i="53"/>
  <c r="P274" i="53"/>
  <c r="T332" i="41"/>
  <c r="T335" i="53"/>
  <c r="T291" i="53"/>
  <c r="Q407" i="53"/>
  <c r="Q417" i="41"/>
  <c r="Q420" i="53"/>
  <c r="Q432" i="41"/>
  <c r="Q435" i="53"/>
  <c r="P406" i="40"/>
  <c r="P409" i="52"/>
  <c r="P437" i="52"/>
  <c r="R295" i="52"/>
  <c r="T37" i="41"/>
  <c r="S38" i="53"/>
  <c r="S330" i="40"/>
  <c r="S333" i="52"/>
  <c r="S289" i="52"/>
  <c r="Q228" i="52"/>
  <c r="Q226" i="40"/>
  <c r="Q229" i="52"/>
  <c r="Q277" i="40"/>
  <c r="Q308" i="40"/>
  <c r="Q278" i="52"/>
  <c r="Q280" i="52"/>
  <c r="Q311" i="52"/>
  <c r="Q265" i="40"/>
  <c r="Q268" i="52"/>
  <c r="Q260" i="52"/>
  <c r="S295" i="50"/>
  <c r="T14" i="40"/>
  <c r="S15" i="52"/>
  <c r="T240" i="40"/>
  <c r="S243" i="52"/>
  <c r="S16" i="50"/>
  <c r="T15" i="38"/>
  <c r="T334" i="38"/>
  <c r="T337" i="50"/>
  <c r="T293" i="50"/>
  <c r="T265" i="38"/>
  <c r="T268" i="50"/>
  <c r="T260" i="50"/>
  <c r="U156" i="38"/>
  <c r="U272" i="38"/>
  <c r="U275" i="50"/>
  <c r="U212" i="38"/>
  <c r="U350" i="38"/>
  <c r="U353" i="50"/>
  <c r="U155" i="38"/>
  <c r="U162" i="38"/>
  <c r="U163" i="50"/>
  <c r="U404" i="38"/>
  <c r="U158" i="38"/>
  <c r="U159" i="50"/>
  <c r="U257" i="38"/>
  <c r="U405" i="38"/>
  <c r="U275" i="38"/>
  <c r="U278" i="50"/>
  <c r="V140" i="38"/>
  <c r="U230" i="38"/>
  <c r="U270" i="38"/>
  <c r="U364" i="38"/>
  <c r="U225" i="38"/>
  <c r="U142" i="38"/>
  <c r="U227" i="38"/>
  <c r="U230" i="50"/>
  <c r="U365" i="38"/>
  <c r="I77" i="40"/>
  <c r="N98" i="40"/>
  <c r="N99" i="52"/>
  <c r="P276" i="53"/>
  <c r="U102" i="52"/>
  <c r="V101" i="40"/>
  <c r="T334" i="41"/>
  <c r="T337" i="53"/>
  <c r="T293" i="53"/>
  <c r="R390" i="38"/>
  <c r="R374" i="38"/>
  <c r="R377" i="50"/>
  <c r="R391" i="38"/>
  <c r="R385" i="38"/>
  <c r="R388" i="50"/>
  <c r="R394" i="38"/>
  <c r="R375" i="38"/>
  <c r="R378" i="50"/>
  <c r="R397" i="38"/>
  <c r="P327" i="52"/>
  <c r="Q226" i="41"/>
  <c r="Q229" i="53"/>
  <c r="Q228" i="53"/>
  <c r="P433" i="52"/>
  <c r="P403" i="40"/>
  <c r="R332" i="52"/>
  <c r="R339" i="52"/>
  <c r="R336" i="40"/>
  <c r="T289" i="40"/>
  <c r="T292" i="52"/>
  <c r="T287" i="40"/>
  <c r="T288" i="40"/>
  <c r="T286" i="40"/>
  <c r="T285" i="40"/>
  <c r="T291" i="40"/>
  <c r="T290" i="40"/>
  <c r="U284" i="40"/>
  <c r="R275" i="40"/>
  <c r="R230" i="40"/>
  <c r="R233" i="52"/>
  <c r="R225" i="40"/>
  <c r="R158" i="40"/>
  <c r="R159" i="52"/>
  <c r="R272" i="40"/>
  <c r="R275" i="52"/>
  <c r="R212" i="40"/>
  <c r="S140" i="40"/>
  <c r="R257" i="40"/>
  <c r="R404" i="40"/>
  <c r="R350" i="40"/>
  <c r="R353" i="52"/>
  <c r="R364" i="40"/>
  <c r="R162" i="40"/>
  <c r="R163" i="52"/>
  <c r="R155" i="40"/>
  <c r="R142" i="40"/>
  <c r="R270" i="40"/>
  <c r="R156" i="40"/>
  <c r="R157" i="52"/>
  <c r="R365" i="40"/>
  <c r="R405" i="40"/>
  <c r="R227" i="40"/>
  <c r="R230" i="52"/>
  <c r="S325" i="38"/>
  <c r="S328" i="50"/>
  <c r="S274" i="50"/>
  <c r="T226" i="38"/>
  <c r="T229" i="50"/>
  <c r="T228" i="50"/>
  <c r="T377" i="38"/>
  <c r="T380" i="50"/>
  <c r="T392" i="38"/>
  <c r="T395" i="50"/>
  <c r="T367" i="50"/>
  <c r="L43" i="40"/>
  <c r="T331" i="41"/>
  <c r="T334" i="53"/>
  <c r="T290" i="53"/>
  <c r="Q55" i="53"/>
  <c r="Q56" i="53"/>
  <c r="S357" i="38"/>
  <c r="T338" i="38"/>
  <c r="T80" i="38"/>
  <c r="S81" i="50"/>
  <c r="S336" i="38"/>
  <c r="S332" i="50"/>
  <c r="Q150" i="41"/>
  <c r="Q151" i="53"/>
  <c r="Q143" i="53"/>
  <c r="O409" i="50"/>
  <c r="O419" i="38"/>
  <c r="O422" i="50"/>
  <c r="R168" i="38"/>
  <c r="S332" i="40"/>
  <c r="S335" i="52"/>
  <c r="S291" i="52"/>
  <c r="S125" i="53"/>
  <c r="T124" i="41"/>
  <c r="Q368" i="52"/>
  <c r="Q378" i="40"/>
  <c r="Q381" i="52"/>
  <c r="Q393" i="40"/>
  <c r="Q396" i="52"/>
  <c r="Q324" i="40"/>
  <c r="Q273" i="52"/>
  <c r="Q271" i="40"/>
  <c r="Q273" i="40"/>
  <c r="T123" i="40"/>
  <c r="S124" i="52"/>
  <c r="S16" i="52"/>
  <c r="T15" i="40"/>
  <c r="Q394" i="52"/>
  <c r="Q431" i="40"/>
  <c r="Q434" i="52"/>
  <c r="O409" i="52"/>
  <c r="O419" i="40"/>
  <c r="O422" i="52"/>
  <c r="T292" i="38"/>
  <c r="T289" i="50"/>
  <c r="T330" i="38"/>
  <c r="T333" i="50"/>
  <c r="U240" i="41"/>
  <c r="T243" i="53"/>
  <c r="T368" i="50"/>
  <c r="T378" i="38"/>
  <c r="T381" i="50"/>
  <c r="T393" i="38"/>
  <c r="T396" i="50"/>
  <c r="U286" i="41"/>
  <c r="U289" i="41"/>
  <c r="U292" i="53"/>
  <c r="V284" i="41"/>
  <c r="U285" i="41"/>
  <c r="U291" i="41"/>
  <c r="U288" i="41"/>
  <c r="U287" i="41"/>
  <c r="U290" i="41"/>
  <c r="S53" i="41"/>
  <c r="R54" i="41"/>
  <c r="R55" i="53"/>
  <c r="S231" i="50"/>
  <c r="Q366" i="38"/>
  <c r="Q369" i="50"/>
  <c r="Q397" i="50"/>
  <c r="S159" i="38"/>
  <c r="B24" i="35"/>
  <c r="C23" i="35"/>
  <c r="Q392" i="41"/>
  <c r="Q395" i="53"/>
  <c r="Q377" i="41"/>
  <c r="Q380" i="53"/>
  <c r="Q367" i="53"/>
  <c r="Q368" i="53"/>
  <c r="Q378" i="41"/>
  <c r="Q381" i="53"/>
  <c r="Q393" i="41"/>
  <c r="Q396" i="53"/>
  <c r="T125" i="50"/>
  <c r="U124" i="38"/>
  <c r="S335" i="40"/>
  <c r="S338" i="52"/>
  <c r="S294" i="52"/>
  <c r="Q220" i="40"/>
  <c r="Q223" i="52"/>
  <c r="Q215" i="52"/>
  <c r="O433" i="40"/>
  <c r="O436" i="52"/>
  <c r="T294" i="50"/>
  <c r="T335" i="38"/>
  <c r="T338" i="50"/>
  <c r="T80" i="40"/>
  <c r="S81" i="52"/>
  <c r="T150" i="38"/>
  <c r="T151" i="50"/>
  <c r="T143" i="50"/>
  <c r="T418" i="38"/>
  <c r="T421" i="50"/>
  <c r="T408" i="50"/>
  <c r="R98" i="50"/>
  <c r="T330" i="41"/>
  <c r="T333" i="53"/>
  <c r="T289" i="53"/>
  <c r="T173" i="53"/>
  <c r="U172" i="41"/>
  <c r="T38" i="40"/>
  <c r="S39" i="52"/>
  <c r="P325" i="40"/>
  <c r="P328" i="52"/>
  <c r="P329" i="52"/>
  <c r="P274" i="52"/>
  <c r="P276" i="52"/>
  <c r="Q220" i="41"/>
  <c r="Q223" i="53"/>
  <c r="Q215" i="53"/>
  <c r="S336" i="41"/>
  <c r="S332" i="53"/>
  <c r="S339" i="53"/>
  <c r="S288" i="52"/>
  <c r="S329" i="40"/>
  <c r="S292" i="40"/>
  <c r="Q418" i="40"/>
  <c r="Q421" i="52"/>
  <c r="Q408" i="52"/>
  <c r="S32" i="53"/>
  <c r="T290" i="50"/>
  <c r="T331" i="38"/>
  <c r="T334" i="50"/>
  <c r="O329" i="52"/>
  <c r="S294" i="40"/>
  <c r="R323" i="40"/>
  <c r="R328" i="40"/>
  <c r="R317" i="40"/>
  <c r="T273" i="50"/>
  <c r="T271" i="38"/>
  <c r="T273" i="38"/>
  <c r="T324" i="38"/>
  <c r="T278" i="50"/>
  <c r="T280" i="50"/>
  <c r="T311" i="50"/>
  <c r="T277" i="38"/>
  <c r="T308" i="38"/>
  <c r="U240" i="38"/>
  <c r="T243" i="50"/>
  <c r="R326" i="38"/>
  <c r="V37" i="38"/>
  <c r="U38" i="50"/>
  <c r="Q434" i="38"/>
  <c r="Q414" i="38"/>
  <c r="Q417" i="50"/>
  <c r="Q430" i="38"/>
  <c r="Q415" i="38"/>
  <c r="Q418" i="50"/>
  <c r="Q425" i="38"/>
  <c r="Q428" i="50"/>
  <c r="T14" i="41"/>
  <c r="S15" i="53"/>
  <c r="U123" i="41"/>
  <c r="T124" i="53"/>
  <c r="Q265" i="41"/>
  <c r="Q268" i="53"/>
  <c r="Q260" i="53"/>
  <c r="Q418" i="41"/>
  <c r="Q421" i="53"/>
  <c r="Q408" i="53"/>
  <c r="T76" i="50"/>
  <c r="T77" i="50"/>
  <c r="S331" i="40"/>
  <c r="S334" i="52"/>
  <c r="S290" i="52"/>
  <c r="S173" i="52"/>
  <c r="T172" i="40"/>
  <c r="Q156" i="52"/>
  <c r="Q157" i="40"/>
  <c r="Q158" i="52"/>
  <c r="Q414" i="40"/>
  <c r="Q417" i="52"/>
  <c r="Q425" i="40"/>
  <c r="Q428" i="52"/>
  <c r="Q434" i="40"/>
  <c r="Q415" i="40"/>
  <c r="Q418" i="52"/>
  <c r="Q430" i="40"/>
  <c r="T172" i="38"/>
  <c r="S173" i="50"/>
  <c r="T31" i="41"/>
  <c r="U30" i="41"/>
  <c r="T338" i="40"/>
  <c r="S357" i="40"/>
  <c r="T329" i="38"/>
  <c r="T288" i="50"/>
  <c r="T123" i="38"/>
  <c r="S124" i="50"/>
  <c r="X59" i="41"/>
  <c r="W60" i="53"/>
  <c r="P327" i="53"/>
  <c r="T329" i="41"/>
  <c r="T292" i="41"/>
  <c r="T288" i="53"/>
  <c r="R329" i="50"/>
  <c r="M418" i="40"/>
  <c r="M421" i="52"/>
  <c r="M408" i="52"/>
  <c r="Q363" i="38"/>
  <c r="Q393" i="50"/>
  <c r="W38" i="38"/>
  <c r="V39" i="50"/>
  <c r="Q273" i="53"/>
  <c r="Q271" i="41"/>
  <c r="Q324" i="41"/>
  <c r="Q156" i="53"/>
  <c r="Q157" i="41"/>
  <c r="Q159" i="41"/>
  <c r="Q158" i="53"/>
  <c r="Q278" i="53"/>
  <c r="Q280" i="53"/>
  <c r="Q311" i="53"/>
  <c r="Q277" i="41"/>
  <c r="Q308" i="41"/>
  <c r="V74" i="38"/>
  <c r="U75" i="38"/>
  <c r="S295" i="53"/>
  <c r="R168" i="50"/>
  <c r="R169" i="50"/>
  <c r="S334" i="40"/>
  <c r="S337" i="52"/>
  <c r="S293" i="52"/>
  <c r="Q407" i="52"/>
  <c r="Q417" i="40"/>
  <c r="Q420" i="52"/>
  <c r="Q432" i="40"/>
  <c r="Q435" i="52"/>
  <c r="Q150" i="40"/>
  <c r="Q151" i="52"/>
  <c r="Q143" i="52"/>
  <c r="Q366" i="40"/>
  <c r="Q369" i="52"/>
  <c r="Q397" i="52"/>
  <c r="R397" i="40"/>
  <c r="R374" i="40"/>
  <c r="R377" i="52"/>
  <c r="R391" i="40"/>
  <c r="R394" i="40"/>
  <c r="R375" i="40"/>
  <c r="R378" i="52"/>
  <c r="R385" i="40"/>
  <c r="R388" i="52"/>
  <c r="R390" i="40"/>
  <c r="U166" i="41"/>
  <c r="T167" i="41"/>
  <c r="T168" i="53"/>
  <c r="T169" i="53"/>
  <c r="T14" i="38"/>
  <c r="S15" i="50"/>
  <c r="T291" i="50"/>
  <c r="T332" i="38"/>
  <c r="T335" i="50"/>
  <c r="S327" i="50"/>
  <c r="S329" i="50"/>
  <c r="S326" i="38"/>
  <c r="T417" i="38"/>
  <c r="T420" i="50"/>
  <c r="T407" i="50"/>
  <c r="T432" i="38"/>
  <c r="T435" i="50"/>
  <c r="P273" i="41"/>
  <c r="P433" i="41"/>
  <c r="P436" i="53"/>
  <c r="O416" i="40"/>
  <c r="O419" i="52"/>
  <c r="O406" i="52"/>
  <c r="T294" i="53"/>
  <c r="T335" i="41"/>
  <c r="T338" i="53"/>
  <c r="Q394" i="50"/>
  <c r="Q431" i="38"/>
  <c r="Q434" i="50"/>
  <c r="Q55" i="41"/>
  <c r="P66" i="41"/>
  <c r="P67" i="53"/>
  <c r="R155" i="41"/>
  <c r="R230" i="41"/>
  <c r="R233" i="53"/>
  <c r="R350" i="41"/>
  <c r="R353" i="53"/>
  <c r="R162" i="41"/>
  <c r="R163" i="53"/>
  <c r="R156" i="41"/>
  <c r="R157" i="53"/>
  <c r="R225" i="41"/>
  <c r="R405" i="41"/>
  <c r="S140" i="41"/>
  <c r="R158" i="41"/>
  <c r="R159" i="53"/>
  <c r="R272" i="41"/>
  <c r="R275" i="53"/>
  <c r="R212" i="41"/>
  <c r="R364" i="41"/>
  <c r="R142" i="41"/>
  <c r="R275" i="41"/>
  <c r="R404" i="41"/>
  <c r="R227" i="41"/>
  <c r="R230" i="53"/>
  <c r="R257" i="41"/>
  <c r="R270" i="41"/>
  <c r="R365" i="41"/>
  <c r="P160" i="53"/>
  <c r="T166" i="38"/>
  <c r="S167" i="38"/>
  <c r="Q367" i="52"/>
  <c r="Q392" i="40"/>
  <c r="Q395" i="52"/>
  <c r="Q377" i="40"/>
  <c r="Q380" i="52"/>
  <c r="S333" i="50"/>
  <c r="Q393" i="52"/>
  <c r="Q363" i="40"/>
  <c r="T37" i="40"/>
  <c r="S38" i="52"/>
  <c r="T39" i="53"/>
  <c r="U38" i="41"/>
  <c r="P376" i="40"/>
  <c r="P379" i="52"/>
  <c r="P366" i="52"/>
  <c r="P231" i="53"/>
  <c r="U291" i="38"/>
  <c r="V284" i="38"/>
  <c r="U289" i="38"/>
  <c r="U292" i="50"/>
  <c r="U290" i="38"/>
  <c r="U285" i="38"/>
  <c r="U288" i="38"/>
  <c r="U286" i="38"/>
  <c r="U287" i="38"/>
  <c r="S276" i="50"/>
  <c r="T157" i="38"/>
  <c r="T158" i="50"/>
  <c r="T156" i="50"/>
  <c r="T220" i="38"/>
  <c r="T223" i="50"/>
  <c r="T215" i="50"/>
  <c r="U88" i="31"/>
  <c r="C116" i="28"/>
  <c r="Q59" i="31"/>
  <c r="Q57" i="31"/>
  <c r="AP59" i="31"/>
  <c r="U57" i="31"/>
  <c r="AA75" i="31"/>
  <c r="C110" i="28"/>
  <c r="Z75" i="31"/>
  <c r="AO57" i="31"/>
  <c r="AW57" i="31"/>
  <c r="T57" i="31"/>
  <c r="AB75" i="31"/>
  <c r="AE57" i="31"/>
  <c r="AU57" i="31"/>
  <c r="P57" i="31"/>
  <c r="AG57" i="31"/>
  <c r="AA57" i="31"/>
  <c r="S57" i="31"/>
  <c r="AJ57" i="31"/>
  <c r="AR60" i="31"/>
  <c r="AK57" i="31"/>
  <c r="O57" i="31"/>
  <c r="BC75" i="31"/>
  <c r="BC57" i="31"/>
  <c r="M57" i="31"/>
  <c r="AD57" i="31"/>
  <c r="R57" i="31"/>
  <c r="BA57" i="31"/>
  <c r="AM75" i="31"/>
  <c r="AK54" i="31"/>
  <c r="AF57" i="31"/>
  <c r="AM57" i="31"/>
  <c r="AY57" i="31"/>
  <c r="AP57" i="31"/>
  <c r="Y57" i="31"/>
  <c r="Q75" i="31"/>
  <c r="AZ57" i="31"/>
  <c r="Z57" i="31"/>
  <c r="N57" i="31"/>
  <c r="AN57" i="31"/>
  <c r="AC57" i="31"/>
  <c r="AU75" i="31"/>
  <c r="AE51" i="31"/>
  <c r="AB57" i="31"/>
  <c r="AL57" i="31"/>
  <c r="BB57" i="31"/>
  <c r="AV57" i="31"/>
  <c r="BA75" i="31"/>
  <c r="AW75" i="31"/>
  <c r="AQ57" i="31"/>
  <c r="AR57" i="31"/>
  <c r="AX57" i="31"/>
  <c r="BB75" i="31"/>
  <c r="AD54" i="31"/>
  <c r="AJ54" i="31"/>
  <c r="AQ54" i="31"/>
  <c r="AJ75" i="31"/>
  <c r="U54" i="31"/>
  <c r="AN54" i="31"/>
  <c r="AP54" i="31"/>
  <c r="Q54" i="31"/>
  <c r="AM54" i="31"/>
  <c r="AL54" i="31"/>
  <c r="O54" i="31"/>
  <c r="S54" i="31"/>
  <c r="BC54" i="31"/>
  <c r="P54" i="31"/>
  <c r="AY54" i="31"/>
  <c r="BB54" i="31"/>
  <c r="N60" i="31"/>
  <c r="M54" i="31"/>
  <c r="AW54" i="31"/>
  <c r="AF54" i="31"/>
  <c r="R54" i="31"/>
  <c r="AV54" i="31"/>
  <c r="AG54" i="31"/>
  <c r="AZ54" i="31"/>
  <c r="BA54" i="31"/>
  <c r="AA54" i="31"/>
  <c r="Z54" i="31"/>
  <c r="AO54" i="31"/>
  <c r="Y54" i="31"/>
  <c r="AX54" i="31"/>
  <c r="T54" i="31"/>
  <c r="AR54" i="31"/>
  <c r="AC54" i="31"/>
  <c r="N54" i="31"/>
  <c r="AW59" i="31"/>
  <c r="AE54" i="31"/>
  <c r="AU54" i="31"/>
  <c r="AB54" i="31"/>
  <c r="C107" i="28"/>
  <c r="AQ75" i="31"/>
  <c r="AR75" i="31"/>
  <c r="O60" i="31"/>
  <c r="N75" i="31"/>
  <c r="O75" i="31"/>
  <c r="R59" i="31"/>
  <c r="P60" i="31"/>
  <c r="BA61" i="31"/>
  <c r="AL59" i="31"/>
  <c r="AD75" i="31"/>
  <c r="U59" i="31"/>
  <c r="BC61" i="31"/>
  <c r="M61" i="31"/>
  <c r="Y51" i="31"/>
  <c r="R53" i="31"/>
  <c r="AC51" i="31"/>
  <c r="AB53" i="31"/>
  <c r="AY51" i="31"/>
  <c r="AF51" i="31"/>
  <c r="AC75" i="31"/>
  <c r="AN60" i="31"/>
  <c r="AK51" i="31"/>
  <c r="AZ51" i="31"/>
  <c r="AQ51" i="31"/>
  <c r="AU51" i="31"/>
  <c r="AN52" i="31"/>
  <c r="AZ49" i="31"/>
  <c r="AD51" i="31"/>
  <c r="AR61" i="31"/>
  <c r="AD52" i="31"/>
  <c r="AE75" i="31"/>
  <c r="AY75" i="31"/>
  <c r="M75" i="31"/>
  <c r="AG75" i="31"/>
  <c r="AX75" i="31"/>
  <c r="BC49" i="31"/>
  <c r="AP60" i="31"/>
  <c r="AD60" i="31"/>
  <c r="AE60" i="31"/>
  <c r="AU60" i="31"/>
  <c r="R51" i="31"/>
  <c r="AA51" i="31"/>
  <c r="P51" i="31"/>
  <c r="AG51" i="31"/>
  <c r="AP61" i="31"/>
  <c r="BB52" i="31"/>
  <c r="AF74" i="31"/>
  <c r="AO52" i="31"/>
  <c r="U49" i="31"/>
  <c r="Z60" i="31"/>
  <c r="AQ60" i="31"/>
  <c r="AJ60" i="31"/>
  <c r="AM60" i="31"/>
  <c r="BA60" i="31"/>
  <c r="AF75" i="31"/>
  <c r="P75" i="31"/>
  <c r="AV75" i="31"/>
  <c r="AN75" i="31"/>
  <c r="AQ49" i="31"/>
  <c r="AV60" i="31"/>
  <c r="AB60" i="31"/>
  <c r="AX60" i="31"/>
  <c r="AC60" i="31"/>
  <c r="R60" i="31"/>
  <c r="BB51" i="31"/>
  <c r="AR51" i="31"/>
  <c r="AL51" i="31"/>
  <c r="AB51" i="31"/>
  <c r="AO61" i="31"/>
  <c r="U61" i="31"/>
  <c r="R52" i="31"/>
  <c r="Y75" i="31"/>
  <c r="AO75" i="31"/>
  <c r="S75" i="31"/>
  <c r="AZ75" i="31"/>
  <c r="AE31" i="31"/>
  <c r="AW49" i="31"/>
  <c r="Z31" i="31"/>
  <c r="Q60" i="31"/>
  <c r="AZ60" i="31"/>
  <c r="U60" i="31"/>
  <c r="AO60" i="31"/>
  <c r="S60" i="31"/>
  <c r="S51" i="31"/>
  <c r="AW51" i="31"/>
  <c r="AP51" i="31"/>
  <c r="U51" i="31"/>
  <c r="M51" i="31"/>
  <c r="J76" i="31"/>
  <c r="J34" i="32"/>
  <c r="AE61" i="31"/>
  <c r="Y53" i="31"/>
  <c r="Y49" i="31"/>
  <c r="AA60" i="31"/>
  <c r="AX51" i="31"/>
  <c r="AN51" i="31"/>
  <c r="T51" i="31"/>
  <c r="BA51" i="31"/>
  <c r="AJ61" i="31"/>
  <c r="AA52" i="31"/>
  <c r="P49" i="31"/>
  <c r="AG60" i="31"/>
  <c r="AL60" i="31"/>
  <c r="M60" i="31"/>
  <c r="Y60" i="31"/>
  <c r="AV51" i="31"/>
  <c r="T75" i="31"/>
  <c r="AK75" i="31"/>
  <c r="R75" i="31"/>
  <c r="AP75" i="31"/>
  <c r="AL75" i="31"/>
  <c r="S49" i="31"/>
  <c r="AW60" i="31"/>
  <c r="BB60" i="31"/>
  <c r="AY60" i="31"/>
  <c r="AF60" i="31"/>
  <c r="Z51" i="31"/>
  <c r="BC51" i="31"/>
  <c r="AM51" i="31"/>
  <c r="N51" i="31"/>
  <c r="AC61" i="31"/>
  <c r="AQ53" i="31"/>
  <c r="U75" i="31"/>
  <c r="AO49" i="31"/>
  <c r="BC60" i="31"/>
  <c r="AK60" i="31"/>
  <c r="T60" i="31"/>
  <c r="Q51" i="31"/>
  <c r="AJ51" i="31"/>
  <c r="AO51" i="31"/>
  <c r="O51" i="31"/>
  <c r="C115" i="28"/>
  <c r="AA53" i="31"/>
  <c r="J99" i="52"/>
  <c r="J103" i="40"/>
  <c r="M190" i="40"/>
  <c r="M192" i="52"/>
  <c r="M191" i="40"/>
  <c r="M193" i="52"/>
  <c r="M189" i="40"/>
  <c r="M191" i="52"/>
  <c r="M193" i="40"/>
  <c r="M195" i="52"/>
  <c r="M192" i="40"/>
  <c r="M194" i="52"/>
  <c r="M194" i="40"/>
  <c r="M196" i="52"/>
  <c r="M205" i="40"/>
  <c r="M197" i="40"/>
  <c r="M199" i="52"/>
  <c r="M183" i="40"/>
  <c r="M195" i="40"/>
  <c r="M197" i="52"/>
  <c r="I82" i="40"/>
  <c r="I78" i="52"/>
  <c r="N103" i="40"/>
  <c r="T80" i="41"/>
  <c r="S81" i="53"/>
  <c r="N187" i="50"/>
  <c r="V374" i="53"/>
  <c r="W362" i="53"/>
  <c r="Y76" i="52"/>
  <c r="Y77" i="52"/>
  <c r="M77" i="40"/>
  <c r="K77" i="40"/>
  <c r="L77" i="40"/>
  <c r="P121" i="52"/>
  <c r="X45" i="31"/>
  <c r="P76" i="40"/>
  <c r="O87" i="40"/>
  <c r="O77" i="40"/>
  <c r="X116" i="40"/>
  <c r="W117" i="40"/>
  <c r="W118" i="52"/>
  <c r="AR59" i="31"/>
  <c r="M59" i="31"/>
  <c r="O59" i="31"/>
  <c r="P59" i="31"/>
  <c r="AG59" i="31"/>
  <c r="BA49" i="31"/>
  <c r="Q49" i="31"/>
  <c r="AA49" i="31"/>
  <c r="AF49" i="31"/>
  <c r="O32" i="38"/>
  <c r="R121" i="53"/>
  <c r="P173" i="40"/>
  <c r="P176" i="40"/>
  <c r="P172" i="52"/>
  <c r="P174" i="52"/>
  <c r="Q173" i="38"/>
  <c r="Q176" i="38"/>
  <c r="Q172" i="50"/>
  <c r="Q174" i="50"/>
  <c r="P178" i="53"/>
  <c r="P186" i="41"/>
  <c r="Q250" i="53"/>
  <c r="AR56" i="31"/>
  <c r="Y56" i="31"/>
  <c r="BB56" i="31"/>
  <c r="M56" i="31"/>
  <c r="AD56" i="31"/>
  <c r="AJ56" i="31"/>
  <c r="O56" i="31"/>
  <c r="R56" i="31"/>
  <c r="BC56" i="31"/>
  <c r="AK56" i="31"/>
  <c r="U56" i="31"/>
  <c r="P56" i="31"/>
  <c r="Q56" i="31"/>
  <c r="AQ56" i="31"/>
  <c r="AZ56" i="31"/>
  <c r="AF56" i="31"/>
  <c r="AG56" i="31"/>
  <c r="AW56" i="31"/>
  <c r="AA56" i="31"/>
  <c r="AE56" i="31"/>
  <c r="AP56" i="31"/>
  <c r="AY56" i="31"/>
  <c r="AC56" i="31"/>
  <c r="T56" i="31"/>
  <c r="Z56" i="31"/>
  <c r="BA56" i="31"/>
  <c r="AL56" i="31"/>
  <c r="N56" i="31"/>
  <c r="AO56" i="31"/>
  <c r="AV56" i="31"/>
  <c r="AB56" i="31"/>
  <c r="AX56" i="31"/>
  <c r="AM56" i="31"/>
  <c r="AU56" i="31"/>
  <c r="AN56" i="31"/>
  <c r="S56" i="31"/>
  <c r="R213" i="53"/>
  <c r="R235" i="53"/>
  <c r="R167" i="53"/>
  <c r="R287" i="53"/>
  <c r="R285" i="53"/>
  <c r="AM52" i="31"/>
  <c r="AR52" i="31"/>
  <c r="AQ52" i="31"/>
  <c r="AJ52" i="31"/>
  <c r="M52" i="31"/>
  <c r="R168" i="41"/>
  <c r="R177" i="41"/>
  <c r="T402" i="53"/>
  <c r="S414" i="53"/>
  <c r="T239" i="50"/>
  <c r="R6" i="50"/>
  <c r="R7" i="50"/>
  <c r="AX53" i="31"/>
  <c r="AJ53" i="31"/>
  <c r="AK53" i="31"/>
  <c r="Q53" i="31"/>
  <c r="BC74" i="31"/>
  <c r="AW74" i="31"/>
  <c r="S74" i="31"/>
  <c r="AX74" i="31"/>
  <c r="AA74" i="31"/>
  <c r="R177" i="53"/>
  <c r="AH53" i="32"/>
  <c r="F31" i="32"/>
  <c r="T239" i="41"/>
  <c r="T242" i="53"/>
  <c r="T171" i="41"/>
  <c r="T175" i="41"/>
  <c r="T176" i="53"/>
  <c r="T2" i="53"/>
  <c r="T100" i="41"/>
  <c r="T101" i="53"/>
  <c r="T79" i="41"/>
  <c r="T80" i="53"/>
  <c r="T58" i="41"/>
  <c r="T59" i="53"/>
  <c r="AN74" i="31"/>
  <c r="AZ74" i="31"/>
  <c r="S76" i="38"/>
  <c r="R87" i="38"/>
  <c r="Q120" i="38"/>
  <c r="T47" i="42"/>
  <c r="U2" i="42"/>
  <c r="T1" i="42"/>
  <c r="T31" i="38"/>
  <c r="U30" i="38"/>
  <c r="AK59" i="31"/>
  <c r="AC59" i="31"/>
  <c r="N59" i="31"/>
  <c r="BA59" i="31"/>
  <c r="AA59" i="31"/>
  <c r="BB49" i="31"/>
  <c r="AG49" i="31"/>
  <c r="AJ49" i="31"/>
  <c r="AU49" i="31"/>
  <c r="M49" i="31"/>
  <c r="AB31" i="31"/>
  <c r="I98" i="40"/>
  <c r="AB21" i="35"/>
  <c r="T22" i="35"/>
  <c r="P102" i="48"/>
  <c r="Q31" i="32"/>
  <c r="R97" i="41"/>
  <c r="Q108" i="41"/>
  <c r="AF31" i="31"/>
  <c r="Y27" i="54"/>
  <c r="R61" i="31"/>
  <c r="AA61" i="31"/>
  <c r="BB61" i="31"/>
  <c r="AM61" i="31"/>
  <c r="AU52" i="31"/>
  <c r="BA52" i="31"/>
  <c r="AX52" i="31"/>
  <c r="AV52" i="31"/>
  <c r="M187" i="52"/>
  <c r="N9" i="38"/>
  <c r="S120" i="41"/>
  <c r="P121" i="50"/>
  <c r="BC53" i="31"/>
  <c r="O53" i="31"/>
  <c r="M53" i="31"/>
  <c r="BB53" i="31"/>
  <c r="AK74" i="31"/>
  <c r="T74" i="31"/>
  <c r="P74" i="31"/>
  <c r="AQ74" i="31"/>
  <c r="AQ76" i="31"/>
  <c r="AG74" i="31"/>
  <c r="T414" i="50"/>
  <c r="U402" i="50"/>
  <c r="V118" i="52"/>
  <c r="K208" i="52"/>
  <c r="K184" i="52"/>
  <c r="Q318" i="53"/>
  <c r="Q341" i="53"/>
  <c r="Q360" i="53"/>
  <c r="Q400" i="53"/>
  <c r="Q297" i="53"/>
  <c r="AD74" i="31"/>
  <c r="AV74" i="31"/>
  <c r="AJ74" i="31"/>
  <c r="AV62" i="31"/>
  <c r="AX62" i="31"/>
  <c r="BB62" i="31"/>
  <c r="R62" i="31"/>
  <c r="AL62" i="31"/>
  <c r="AG62" i="31"/>
  <c r="Z62" i="31"/>
  <c r="AF62" i="31"/>
  <c r="AJ62" i="31"/>
  <c r="Q62" i="31"/>
  <c r="T62" i="31"/>
  <c r="BA62" i="31"/>
  <c r="AK62" i="31"/>
  <c r="AM62" i="31"/>
  <c r="AZ62" i="31"/>
  <c r="U62" i="31"/>
  <c r="M62" i="31"/>
  <c r="N62" i="31"/>
  <c r="AD62" i="31"/>
  <c r="P62" i="31"/>
  <c r="AW62" i="31"/>
  <c r="AP62" i="31"/>
  <c r="AO62" i="31"/>
  <c r="S62" i="31"/>
  <c r="AN62" i="31"/>
  <c r="Y62" i="31"/>
  <c r="AY62" i="31"/>
  <c r="AR62" i="31"/>
  <c r="BC62" i="31"/>
  <c r="AA62" i="31"/>
  <c r="AU62" i="31"/>
  <c r="AB62" i="31"/>
  <c r="AE62" i="31"/>
  <c r="O62" i="31"/>
  <c r="AC62" i="31"/>
  <c r="AQ62" i="31"/>
  <c r="L181" i="52"/>
  <c r="Q66" i="38"/>
  <c r="R55" i="38"/>
  <c r="L44" i="52"/>
  <c r="Z59" i="31"/>
  <c r="AN59" i="31"/>
  <c r="BB59" i="31"/>
  <c r="AU59" i="31"/>
  <c r="W362" i="50"/>
  <c r="V374" i="50"/>
  <c r="Z49" i="31"/>
  <c r="AR49" i="31"/>
  <c r="AE49" i="31"/>
  <c r="AV49" i="31"/>
  <c r="AL49" i="31"/>
  <c r="G287" i="38"/>
  <c r="H287" i="38"/>
  <c r="G41" i="32"/>
  <c r="T9" i="53"/>
  <c r="S96" i="38"/>
  <c r="T95" i="38"/>
  <c r="AD61" i="31"/>
  <c r="N61" i="31"/>
  <c r="AN61" i="31"/>
  <c r="AU61" i="31"/>
  <c r="AB52" i="31"/>
  <c r="U52" i="31"/>
  <c r="AG52" i="31"/>
  <c r="AW52" i="31"/>
  <c r="M10" i="50"/>
  <c r="R2" i="50"/>
  <c r="R79" i="38"/>
  <c r="R80" i="50"/>
  <c r="R175" i="38"/>
  <c r="R176" i="50"/>
  <c r="R58" i="38"/>
  <c r="R59" i="50"/>
  <c r="R100" i="38"/>
  <c r="R101" i="50"/>
  <c r="R171" i="38"/>
  <c r="R239" i="38"/>
  <c r="R242" i="50"/>
  <c r="T53" i="31"/>
  <c r="AR53" i="31"/>
  <c r="AD53" i="31"/>
  <c r="N53" i="31"/>
  <c r="BA53" i="31"/>
  <c r="BB74" i="31"/>
  <c r="AU74" i="31"/>
  <c r="Z74" i="31"/>
  <c r="R74" i="31"/>
  <c r="Q74" i="31"/>
  <c r="P177" i="50"/>
  <c r="P177" i="38"/>
  <c r="O177" i="52"/>
  <c r="O177" i="40"/>
  <c r="P320" i="53"/>
  <c r="P326" i="53"/>
  <c r="P331" i="53"/>
  <c r="H67" i="54"/>
  <c r="H70" i="54"/>
  <c r="G72" i="54"/>
  <c r="G75" i="54"/>
  <c r="G50" i="31"/>
  <c r="F45" i="31"/>
  <c r="S328" i="41"/>
  <c r="S317" i="41"/>
  <c r="S323" i="41"/>
  <c r="T294" i="41"/>
  <c r="P67" i="50"/>
  <c r="AC31" i="31"/>
  <c r="H290" i="53"/>
  <c r="H331" i="41"/>
  <c r="AY59" i="31"/>
  <c r="AB59" i="31"/>
  <c r="AV59" i="31"/>
  <c r="AQ59" i="31"/>
  <c r="L46" i="52"/>
  <c r="R49" i="31"/>
  <c r="AB49" i="31"/>
  <c r="N49" i="31"/>
  <c r="AC49" i="31"/>
  <c r="P3" i="52"/>
  <c r="Q3" i="40"/>
  <c r="N33" i="50"/>
  <c r="T6" i="53"/>
  <c r="T7" i="53"/>
  <c r="P109" i="53"/>
  <c r="R102" i="48"/>
  <c r="N243" i="40"/>
  <c r="N246" i="52"/>
  <c r="N245" i="52"/>
  <c r="AY61" i="31"/>
  <c r="O61" i="31"/>
  <c r="T61" i="31"/>
  <c r="S61" i="31"/>
  <c r="Q258" i="53"/>
  <c r="Q237" i="53"/>
  <c r="AE52" i="31"/>
  <c r="S52" i="31"/>
  <c r="BC52" i="31"/>
  <c r="AK52" i="31"/>
  <c r="M10" i="53"/>
  <c r="S8" i="50"/>
  <c r="S3" i="38"/>
  <c r="S3" i="50"/>
  <c r="T7" i="38"/>
  <c r="S2" i="38"/>
  <c r="S6" i="38"/>
  <c r="S8" i="38"/>
  <c r="AI22" i="35"/>
  <c r="AQ21" i="35"/>
  <c r="Z53" i="31"/>
  <c r="AM53" i="31"/>
  <c r="U53" i="31"/>
  <c r="AF53" i="31"/>
  <c r="AW53" i="31"/>
  <c r="O74" i="31"/>
  <c r="M74" i="31"/>
  <c r="AR74" i="31"/>
  <c r="N170" i="52"/>
  <c r="N182" i="40"/>
  <c r="N179" i="40"/>
  <c r="N180" i="40"/>
  <c r="Z76" i="52"/>
  <c r="F77" i="40"/>
  <c r="G77" i="40"/>
  <c r="N88" i="52"/>
  <c r="V60" i="52"/>
  <c r="W59" i="40"/>
  <c r="O318" i="50"/>
  <c r="O341" i="50"/>
  <c r="O360" i="50"/>
  <c r="O400" i="50"/>
  <c r="O297" i="50"/>
  <c r="H77" i="40"/>
  <c r="U379" i="40"/>
  <c r="U382" i="52"/>
  <c r="U371" i="40"/>
  <c r="V359" i="40"/>
  <c r="G331" i="41"/>
  <c r="G290" i="53"/>
  <c r="R24" i="54"/>
  <c r="R32" i="54"/>
  <c r="R33" i="54"/>
  <c r="S22" i="54"/>
  <c r="AZ59" i="31"/>
  <c r="T59" i="31"/>
  <c r="AO59" i="31"/>
  <c r="AX59" i="31"/>
  <c r="T414" i="52"/>
  <c r="U402" i="52"/>
  <c r="P239" i="52"/>
  <c r="O240" i="52"/>
  <c r="AN49" i="31"/>
  <c r="AP49" i="31"/>
  <c r="AD49" i="31"/>
  <c r="AK49" i="31"/>
  <c r="N9" i="41"/>
  <c r="N61" i="40"/>
  <c r="N57" i="52"/>
  <c r="R29" i="35"/>
  <c r="S28" i="35"/>
  <c r="AD31" i="31"/>
  <c r="G287" i="40"/>
  <c r="H287" i="40"/>
  <c r="P287" i="50"/>
  <c r="P285" i="50"/>
  <c r="P235" i="50"/>
  <c r="P167" i="50"/>
  <c r="P213" i="50"/>
  <c r="AA31" i="31"/>
  <c r="M62" i="52"/>
  <c r="M62" i="40"/>
  <c r="M63" i="52"/>
  <c r="P236" i="40"/>
  <c r="O247" i="40"/>
  <c r="O237" i="40"/>
  <c r="O242" i="40"/>
  <c r="AZ61" i="31"/>
  <c r="Y61" i="31"/>
  <c r="AX61" i="31"/>
  <c r="AK61" i="31"/>
  <c r="AG61" i="31"/>
  <c r="AC52" i="31"/>
  <c r="AP52" i="31"/>
  <c r="AF52" i="31"/>
  <c r="AZ52" i="31"/>
  <c r="N33" i="53"/>
  <c r="I76" i="31"/>
  <c r="AN53" i="31"/>
  <c r="AP53" i="31"/>
  <c r="AE53" i="31"/>
  <c r="AY53" i="31"/>
  <c r="AZ53" i="31"/>
  <c r="AM74" i="31"/>
  <c r="U74" i="31"/>
  <c r="AY74" i="31"/>
  <c r="AL74" i="31"/>
  <c r="P168" i="40"/>
  <c r="O169" i="40"/>
  <c r="O258" i="50"/>
  <c r="O237" i="50"/>
  <c r="Y97" i="52"/>
  <c r="Y98" i="52"/>
  <c r="K98" i="40"/>
  <c r="L98" i="40"/>
  <c r="M98" i="40"/>
  <c r="AF59" i="31"/>
  <c r="AJ59" i="31"/>
  <c r="O108" i="40"/>
  <c r="O98" i="40"/>
  <c r="P97" i="40"/>
  <c r="M35" i="52"/>
  <c r="M34" i="52"/>
  <c r="M33" i="40"/>
  <c r="M45" i="40"/>
  <c r="M42" i="40"/>
  <c r="M43" i="52"/>
  <c r="Q100" i="40"/>
  <c r="Q101" i="52"/>
  <c r="Q58" i="40"/>
  <c r="Q59" i="52"/>
  <c r="Q239" i="40"/>
  <c r="Q242" i="52"/>
  <c r="R2" i="40"/>
  <c r="Q2" i="52"/>
  <c r="Q171" i="40"/>
  <c r="Q175" i="40"/>
  <c r="Q176" i="52"/>
  <c r="Q79" i="40"/>
  <c r="Q80" i="52"/>
  <c r="O66" i="40"/>
  <c r="P55" i="40"/>
  <c r="O56" i="40"/>
  <c r="N33" i="52"/>
  <c r="M36" i="52"/>
  <c r="N250" i="52"/>
  <c r="Q61" i="31"/>
  <c r="AV61" i="31"/>
  <c r="AQ61" i="31"/>
  <c r="AB61" i="31"/>
  <c r="AW61" i="31"/>
  <c r="S419" i="38"/>
  <c r="S422" i="50"/>
  <c r="S411" i="38"/>
  <c r="T399" i="38"/>
  <c r="P109" i="50"/>
  <c r="T52" i="31"/>
  <c r="Z52" i="31"/>
  <c r="O52" i="31"/>
  <c r="AY52" i="31"/>
  <c r="N52" i="31"/>
  <c r="R9" i="50"/>
  <c r="AC53" i="31"/>
  <c r="P53" i="31"/>
  <c r="AO53" i="31"/>
  <c r="AV53" i="31"/>
  <c r="AG53" i="31"/>
  <c r="AB74" i="31"/>
  <c r="AE74" i="31"/>
  <c r="Y74" i="31"/>
  <c r="H34" i="32"/>
  <c r="N178" i="52"/>
  <c r="N186" i="40"/>
  <c r="T235" i="41"/>
  <c r="U234" i="41"/>
  <c r="Q88" i="50"/>
  <c r="S172" i="53"/>
  <c r="S174" i="53"/>
  <c r="S173" i="41"/>
  <c r="S176" i="41"/>
  <c r="M180" i="52"/>
  <c r="M188" i="52"/>
  <c r="M187" i="40"/>
  <c r="N40" i="40"/>
  <c r="N34" i="40"/>
  <c r="AE59" i="31"/>
  <c r="AD59" i="31"/>
  <c r="J77" i="40"/>
  <c r="V374" i="52"/>
  <c r="W362" i="52"/>
  <c r="AJ31" i="31"/>
  <c r="AI31" i="31"/>
  <c r="R239" i="53"/>
  <c r="O32" i="41"/>
  <c r="M199" i="40"/>
  <c r="M183" i="52"/>
  <c r="M202" i="52"/>
  <c r="Z419" i="40"/>
  <c r="Z422" i="52"/>
  <c r="Z411" i="40"/>
  <c r="Y31" i="31"/>
  <c r="N77" i="40"/>
  <c r="P32" i="40"/>
  <c r="O35" i="40"/>
  <c r="S75" i="53"/>
  <c r="S96" i="53"/>
  <c r="S117" i="53"/>
  <c r="S141" i="53"/>
  <c r="S31" i="53"/>
  <c r="S54" i="53"/>
  <c r="S165" i="53"/>
  <c r="Z97" i="52"/>
  <c r="H98" i="40"/>
  <c r="F98" i="40"/>
  <c r="G98" i="40"/>
  <c r="BC59" i="31"/>
  <c r="Y59" i="31"/>
  <c r="AM59" i="31"/>
  <c r="S59" i="31"/>
  <c r="V28" i="54"/>
  <c r="U30" i="54"/>
  <c r="N109" i="52"/>
  <c r="AY49" i="31"/>
  <c r="O49" i="31"/>
  <c r="AM49" i="31"/>
  <c r="AX49" i="31"/>
  <c r="P10" i="52"/>
  <c r="M41" i="40"/>
  <c r="M42" i="52"/>
  <c r="M41" i="52"/>
  <c r="P120" i="40"/>
  <c r="Q75" i="50"/>
  <c r="Q96" i="50"/>
  <c r="Q117" i="50"/>
  <c r="Q141" i="50"/>
  <c r="Q165" i="50"/>
  <c r="Q54" i="50"/>
  <c r="Q31" i="50"/>
  <c r="P9" i="40"/>
  <c r="U2" i="41"/>
  <c r="U6" i="41"/>
  <c r="V7" i="41"/>
  <c r="U8" i="53"/>
  <c r="U3" i="41"/>
  <c r="U3" i="53"/>
  <c r="U8" i="41"/>
  <c r="N67" i="52"/>
  <c r="N331" i="50"/>
  <c r="N326" i="50"/>
  <c r="N320" i="50"/>
  <c r="R247" i="41"/>
  <c r="S236" i="41"/>
  <c r="AL61" i="31"/>
  <c r="P61" i="31"/>
  <c r="Z61" i="31"/>
  <c r="AF61" i="31"/>
  <c r="Q108" i="38"/>
  <c r="R97" i="38"/>
  <c r="AL52" i="31"/>
  <c r="Q52" i="31"/>
  <c r="P52" i="31"/>
  <c r="Y52" i="31"/>
  <c r="Q177" i="41"/>
  <c r="O186" i="38"/>
  <c r="O178" i="50"/>
  <c r="AL53" i="31"/>
  <c r="S53" i="31"/>
  <c r="AU53" i="31"/>
  <c r="AC74" i="31"/>
  <c r="AP74" i="31"/>
  <c r="N74" i="31"/>
  <c r="BA74" i="31"/>
  <c r="AO74" i="31"/>
  <c r="S238" i="53"/>
  <c r="Q159" i="40"/>
  <c r="AG76" i="31"/>
  <c r="T228" i="38"/>
  <c r="P326" i="41"/>
  <c r="P433" i="40"/>
  <c r="P436" i="52"/>
  <c r="Z95" i="41"/>
  <c r="Z96" i="41"/>
  <c r="Z97" i="53"/>
  <c r="Y96" i="41"/>
  <c r="X97" i="53"/>
  <c r="X98" i="53"/>
  <c r="S338" i="41"/>
  <c r="R357" i="41"/>
  <c r="P363" i="41"/>
  <c r="P393" i="53"/>
  <c r="U124" i="40"/>
  <c r="T125" i="52"/>
  <c r="N416" i="41"/>
  <c r="N419" i="53"/>
  <c r="N406" i="53"/>
  <c r="P397" i="53"/>
  <c r="P366" i="41"/>
  <c r="P369" i="53"/>
  <c r="T159" i="38"/>
  <c r="W116" i="38"/>
  <c r="V117" i="38"/>
  <c r="V118" i="50"/>
  <c r="P431" i="41"/>
  <c r="P434" i="53"/>
  <c r="P394" i="53"/>
  <c r="T317" i="38"/>
  <c r="U294" i="38"/>
  <c r="T323" i="38"/>
  <c r="T328" i="38"/>
  <c r="T231" i="50"/>
  <c r="Q228" i="40"/>
  <c r="N419" i="41"/>
  <c r="N422" i="53"/>
  <c r="N409" i="53"/>
  <c r="O376" i="41"/>
  <c r="O379" i="53"/>
  <c r="O366" i="53"/>
  <c r="O437" i="53"/>
  <c r="O406" i="41"/>
  <c r="P76" i="31"/>
  <c r="O433" i="53"/>
  <c r="O403" i="41"/>
  <c r="X59" i="38"/>
  <c r="W60" i="50"/>
  <c r="P425" i="41"/>
  <c r="P428" i="53"/>
  <c r="P414" i="41"/>
  <c r="P417" i="53"/>
  <c r="P434" i="41"/>
  <c r="P415" i="41"/>
  <c r="P418" i="53"/>
  <c r="P430" i="41"/>
  <c r="S433" i="38"/>
  <c r="S436" i="50"/>
  <c r="Q397" i="41"/>
  <c r="Q390" i="41"/>
  <c r="Q394" i="41"/>
  <c r="Q391" i="41"/>
  <c r="Q385" i="41"/>
  <c r="Q388" i="53"/>
  <c r="Q374" i="41"/>
  <c r="Q377" i="53"/>
  <c r="Q375" i="41"/>
  <c r="Q378" i="53"/>
  <c r="O369" i="53"/>
  <c r="O379" i="41"/>
  <c r="O382" i="53"/>
  <c r="R56" i="53"/>
  <c r="U101" i="38"/>
  <c r="T102" i="50"/>
  <c r="Y116" i="41"/>
  <c r="X117" i="41"/>
  <c r="X118" i="53"/>
  <c r="U235" i="38"/>
  <c r="U238" i="50"/>
  <c r="V234" i="38"/>
  <c r="S6" i="47"/>
  <c r="S5" i="47"/>
  <c r="H40" i="47"/>
  <c r="T3" i="47"/>
  <c r="R21" i="54"/>
  <c r="S7" i="47"/>
  <c r="H42" i="47"/>
  <c r="S4" i="47"/>
  <c r="H39" i="47"/>
  <c r="V8" i="40"/>
  <c r="V9" i="52"/>
  <c r="V8" i="52"/>
  <c r="V6" i="40"/>
  <c r="W7" i="40"/>
  <c r="Q231" i="52"/>
  <c r="P60" i="54"/>
  <c r="P57" i="54"/>
  <c r="P62" i="54"/>
  <c r="P63" i="54"/>
  <c r="M189" i="52"/>
  <c r="T16" i="53"/>
  <c r="U15" i="41"/>
  <c r="S235" i="52"/>
  <c r="S213" i="52"/>
  <c r="S167" i="52"/>
  <c r="S287" i="52"/>
  <c r="S285" i="52"/>
  <c r="Q38" i="54"/>
  <c r="Q69" i="54"/>
  <c r="Q41" i="54"/>
  <c r="T54" i="52"/>
  <c r="T75" i="52"/>
  <c r="T96" i="52"/>
  <c r="T117" i="52"/>
  <c r="T141" i="52"/>
  <c r="T165" i="52"/>
  <c r="T31" i="52"/>
  <c r="U6" i="52"/>
  <c r="U7" i="52"/>
  <c r="S295" i="52"/>
  <c r="R258" i="52"/>
  <c r="R237" i="52"/>
  <c r="S247" i="38"/>
  <c r="S250" i="50"/>
  <c r="T236" i="38"/>
  <c r="Z98" i="52"/>
  <c r="Q228" i="41"/>
  <c r="V102" i="53"/>
  <c r="W101" i="41"/>
  <c r="T74" i="41"/>
  <c r="S75" i="41"/>
  <c r="S76" i="53"/>
  <c r="S77" i="53"/>
  <c r="W55" i="50"/>
  <c r="W56" i="50"/>
  <c r="T160" i="50"/>
  <c r="Q326" i="52"/>
  <c r="Q331" i="52"/>
  <c r="Q320" i="52"/>
  <c r="Q87" i="41"/>
  <c r="Q88" i="53"/>
  <c r="R76" i="41"/>
  <c r="R297" i="52"/>
  <c r="R318" i="52"/>
  <c r="R341" i="52"/>
  <c r="R360" i="52"/>
  <c r="R400" i="52"/>
  <c r="X54" i="38"/>
  <c r="Y53" i="38"/>
  <c r="W74" i="38"/>
  <c r="V75" i="38"/>
  <c r="Q274" i="53"/>
  <c r="Q276" i="53"/>
  <c r="Q325" i="41"/>
  <c r="Q328" i="53"/>
  <c r="U338" i="40"/>
  <c r="T357" i="40"/>
  <c r="U124" i="53"/>
  <c r="V123" i="41"/>
  <c r="U294" i="53"/>
  <c r="U335" i="41"/>
  <c r="U338" i="53"/>
  <c r="Q433" i="40"/>
  <c r="Q436" i="52"/>
  <c r="R418" i="40"/>
  <c r="R421" i="52"/>
  <c r="R408" i="52"/>
  <c r="T290" i="52"/>
  <c r="T331" i="40"/>
  <c r="T334" i="52"/>
  <c r="U150" i="38"/>
  <c r="U151" i="50"/>
  <c r="U143" i="50"/>
  <c r="U265" i="38"/>
  <c r="U268" i="50"/>
  <c r="U260" i="50"/>
  <c r="U157" i="50"/>
  <c r="U334" i="38"/>
  <c r="U337" i="50"/>
  <c r="U293" i="50"/>
  <c r="U39" i="53"/>
  <c r="V38" i="41"/>
  <c r="R367" i="53"/>
  <c r="R392" i="41"/>
  <c r="R395" i="53"/>
  <c r="R377" i="41"/>
  <c r="R380" i="53"/>
  <c r="R430" i="40"/>
  <c r="R414" i="40"/>
  <c r="R417" i="52"/>
  <c r="R425" i="40"/>
  <c r="R428" i="52"/>
  <c r="R434" i="40"/>
  <c r="R415" i="40"/>
  <c r="R418" i="52"/>
  <c r="U31" i="41"/>
  <c r="V30" i="41"/>
  <c r="Q406" i="40"/>
  <c r="Q409" i="52"/>
  <c r="Q437" i="52"/>
  <c r="U172" i="40"/>
  <c r="T173" i="52"/>
  <c r="T294" i="40"/>
  <c r="S317" i="40"/>
  <c r="S323" i="40"/>
  <c r="S328" i="40"/>
  <c r="U292" i="41"/>
  <c r="U329" i="41"/>
  <c r="U288" i="53"/>
  <c r="U243" i="53"/>
  <c r="V240" i="41"/>
  <c r="U15" i="40"/>
  <c r="T16" i="52"/>
  <c r="T433" i="38"/>
  <c r="T436" i="50"/>
  <c r="R368" i="52"/>
  <c r="R378" i="40"/>
  <c r="R381" i="52"/>
  <c r="R393" i="40"/>
  <c r="R396" i="52"/>
  <c r="R432" i="40"/>
  <c r="R435" i="52"/>
  <c r="R407" i="52"/>
  <c r="R417" i="40"/>
  <c r="R420" i="52"/>
  <c r="R278" i="52"/>
  <c r="R280" i="52"/>
  <c r="R311" i="52"/>
  <c r="R277" i="40"/>
  <c r="R308" i="40"/>
  <c r="R397" i="50"/>
  <c r="R366" i="38"/>
  <c r="R369" i="50"/>
  <c r="U228" i="50"/>
  <c r="U226" i="38"/>
  <c r="U229" i="50"/>
  <c r="R368" i="53"/>
  <c r="R393" i="41"/>
  <c r="R396" i="53"/>
  <c r="R378" i="41"/>
  <c r="R381" i="53"/>
  <c r="R215" i="53"/>
  <c r="R220" i="41"/>
  <c r="R223" i="53"/>
  <c r="R55" i="41"/>
  <c r="Q66" i="41"/>
  <c r="Q67" i="53"/>
  <c r="V166" i="41"/>
  <c r="U167" i="41"/>
  <c r="U168" i="53"/>
  <c r="U169" i="53"/>
  <c r="X60" i="53"/>
  <c r="Y59" i="41"/>
  <c r="T32" i="53"/>
  <c r="U14" i="41"/>
  <c r="T15" i="53"/>
  <c r="W37" i="38"/>
  <c r="V38" i="50"/>
  <c r="V289" i="41"/>
  <c r="V292" i="53"/>
  <c r="V291" i="41"/>
  <c r="W284" i="41"/>
  <c r="V285" i="41"/>
  <c r="V288" i="41"/>
  <c r="V290" i="41"/>
  <c r="V286" i="41"/>
  <c r="V287" i="41"/>
  <c r="S168" i="38"/>
  <c r="U338" i="38"/>
  <c r="T357" i="38"/>
  <c r="R265" i="40"/>
  <c r="R268" i="52"/>
  <c r="R260" i="52"/>
  <c r="U290" i="40"/>
  <c r="U291" i="40"/>
  <c r="U286" i="40"/>
  <c r="U285" i="40"/>
  <c r="U289" i="40"/>
  <c r="U292" i="52"/>
  <c r="V284" i="40"/>
  <c r="U287" i="40"/>
  <c r="U288" i="40"/>
  <c r="U392" i="38"/>
  <c r="U395" i="50"/>
  <c r="U367" i="50"/>
  <c r="U377" i="38"/>
  <c r="U380" i="50"/>
  <c r="U417" i="38"/>
  <c r="U420" i="50"/>
  <c r="U432" i="38"/>
  <c r="U435" i="50"/>
  <c r="U407" i="50"/>
  <c r="U240" i="40"/>
  <c r="T243" i="52"/>
  <c r="U37" i="41"/>
  <c r="T38" i="53"/>
  <c r="R150" i="41"/>
  <c r="R151" i="53"/>
  <c r="R143" i="53"/>
  <c r="Z77" i="52"/>
  <c r="V285" i="38"/>
  <c r="V290" i="38"/>
  <c r="V291" i="38"/>
  <c r="V289" i="38"/>
  <c r="V292" i="50"/>
  <c r="V286" i="38"/>
  <c r="V287" i="38"/>
  <c r="W284" i="38"/>
  <c r="V288" i="38"/>
  <c r="R273" i="53"/>
  <c r="R324" i="41"/>
  <c r="R271" i="41"/>
  <c r="R273" i="41"/>
  <c r="R393" i="52"/>
  <c r="R363" i="40"/>
  <c r="Q160" i="53"/>
  <c r="X38" i="38"/>
  <c r="W39" i="50"/>
  <c r="T327" i="50"/>
  <c r="T39" i="52"/>
  <c r="U38" i="40"/>
  <c r="T295" i="50"/>
  <c r="U80" i="38"/>
  <c r="T81" i="50"/>
  <c r="S390" i="38"/>
  <c r="S394" i="38"/>
  <c r="S391" i="38"/>
  <c r="S374" i="38"/>
  <c r="S377" i="50"/>
  <c r="S385" i="38"/>
  <c r="S388" i="50"/>
  <c r="S375" i="38"/>
  <c r="S378" i="50"/>
  <c r="S397" i="38"/>
  <c r="R324" i="40"/>
  <c r="R271" i="40"/>
  <c r="R273" i="40"/>
  <c r="R273" i="52"/>
  <c r="S156" i="40"/>
  <c r="S157" i="52"/>
  <c r="S272" i="40"/>
  <c r="S275" i="52"/>
  <c r="S404" i="40"/>
  <c r="T140" i="40"/>
  <c r="S230" i="40"/>
  <c r="S233" i="52"/>
  <c r="S155" i="40"/>
  <c r="S350" i="40"/>
  <c r="S353" i="52"/>
  <c r="S158" i="40"/>
  <c r="S159" i="52"/>
  <c r="S225" i="40"/>
  <c r="S142" i="40"/>
  <c r="S212" i="40"/>
  <c r="S365" i="40"/>
  <c r="S227" i="40"/>
  <c r="S230" i="52"/>
  <c r="S405" i="40"/>
  <c r="S364" i="40"/>
  <c r="S270" i="40"/>
  <c r="S275" i="40"/>
  <c r="S162" i="40"/>
  <c r="S163" i="52"/>
  <c r="S257" i="40"/>
  <c r="T334" i="40"/>
  <c r="T337" i="52"/>
  <c r="T293" i="52"/>
  <c r="P326" i="40"/>
  <c r="R431" i="38"/>
  <c r="R434" i="50"/>
  <c r="R394" i="50"/>
  <c r="U273" i="50"/>
  <c r="U271" i="38"/>
  <c r="U273" i="38"/>
  <c r="U324" i="38"/>
  <c r="P329" i="53"/>
  <c r="U14" i="38"/>
  <c r="T15" i="50"/>
  <c r="U294" i="50"/>
  <c r="U335" i="38"/>
  <c r="U338" i="50"/>
  <c r="R260" i="53"/>
  <c r="R265" i="41"/>
  <c r="R268" i="53"/>
  <c r="R157" i="41"/>
  <c r="R158" i="53"/>
  <c r="R156" i="53"/>
  <c r="T295" i="53"/>
  <c r="U123" i="38"/>
  <c r="T124" i="50"/>
  <c r="T274" i="50"/>
  <c r="T276" i="50"/>
  <c r="T325" i="38"/>
  <c r="T328" i="50"/>
  <c r="U80" i="40"/>
  <c r="T81" i="52"/>
  <c r="V124" i="38"/>
  <c r="U125" i="50"/>
  <c r="U330" i="41"/>
  <c r="U289" i="53"/>
  <c r="U123" i="40"/>
  <c r="T124" i="52"/>
  <c r="U124" i="41"/>
  <c r="T125" i="53"/>
  <c r="R150" i="40"/>
  <c r="R151" i="52"/>
  <c r="R143" i="52"/>
  <c r="R220" i="40"/>
  <c r="R223" i="52"/>
  <c r="R215" i="52"/>
  <c r="T335" i="40"/>
  <c r="T338" i="52"/>
  <c r="T294" i="52"/>
  <c r="U277" i="38"/>
  <c r="U308" i="38"/>
  <c r="U233" i="50"/>
  <c r="U156" i="50"/>
  <c r="U157" i="38"/>
  <c r="U158" i="50"/>
  <c r="U14" i="40"/>
  <c r="T15" i="52"/>
  <c r="U331" i="38"/>
  <c r="U334" i="50"/>
  <c r="U290" i="50"/>
  <c r="S155" i="41"/>
  <c r="S364" i="41"/>
  <c r="S257" i="41"/>
  <c r="S350" i="41"/>
  <c r="S353" i="53"/>
  <c r="S212" i="41"/>
  <c r="S365" i="41"/>
  <c r="S156" i="41"/>
  <c r="S157" i="53"/>
  <c r="S225" i="41"/>
  <c r="S142" i="41"/>
  <c r="S404" i="41"/>
  <c r="S227" i="41"/>
  <c r="S230" i="53"/>
  <c r="S275" i="41"/>
  <c r="S158" i="41"/>
  <c r="S159" i="53"/>
  <c r="S270" i="41"/>
  <c r="T140" i="41"/>
  <c r="S405" i="41"/>
  <c r="S162" i="41"/>
  <c r="S163" i="53"/>
  <c r="S230" i="41"/>
  <c r="S233" i="53"/>
  <c r="S272" i="41"/>
  <c r="S275" i="53"/>
  <c r="Q376" i="38"/>
  <c r="Q379" i="50"/>
  <c r="Q366" i="50"/>
  <c r="Q403" i="38"/>
  <c r="Q433" i="50"/>
  <c r="C24" i="35"/>
  <c r="B25" i="35"/>
  <c r="T53" i="41"/>
  <c r="S54" i="41"/>
  <c r="U293" i="53"/>
  <c r="U334" i="41"/>
  <c r="U337" i="53"/>
  <c r="Q325" i="40"/>
  <c r="Q328" i="52"/>
  <c r="Q274" i="52"/>
  <c r="Q276" i="52"/>
  <c r="R156" i="52"/>
  <c r="R157" i="40"/>
  <c r="R158" i="52"/>
  <c r="T288" i="52"/>
  <c r="T329" i="40"/>
  <c r="T292" i="40"/>
  <c r="P406" i="52"/>
  <c r="P416" i="40"/>
  <c r="P419" i="52"/>
  <c r="R363" i="38"/>
  <c r="R393" i="50"/>
  <c r="V225" i="38"/>
  <c r="V155" i="38"/>
  <c r="V270" i="38"/>
  <c r="V365" i="38"/>
  <c r="V404" i="38"/>
  <c r="V162" i="38"/>
  <c r="V163" i="50"/>
  <c r="V364" i="38"/>
  <c r="V212" i="38"/>
  <c r="V227" i="38"/>
  <c r="V230" i="50"/>
  <c r="V230" i="38"/>
  <c r="V233" i="50"/>
  <c r="V257" i="38"/>
  <c r="V272" i="38"/>
  <c r="V275" i="50"/>
  <c r="V405" i="38"/>
  <c r="W140" i="38"/>
  <c r="V275" i="38"/>
  <c r="V158" i="38"/>
  <c r="V159" i="50"/>
  <c r="V156" i="38"/>
  <c r="V157" i="50"/>
  <c r="V142" i="38"/>
  <c r="V350" i="38"/>
  <c r="V353" i="50"/>
  <c r="U330" i="38"/>
  <c r="U289" i="50"/>
  <c r="U37" i="40"/>
  <c r="T38" i="52"/>
  <c r="S168" i="50"/>
  <c r="S169" i="50"/>
  <c r="R407" i="53"/>
  <c r="R432" i="41"/>
  <c r="R435" i="53"/>
  <c r="R417" i="41"/>
  <c r="R420" i="53"/>
  <c r="R408" i="53"/>
  <c r="R418" i="41"/>
  <c r="R421" i="53"/>
  <c r="R366" i="40"/>
  <c r="R369" i="52"/>
  <c r="R397" i="52"/>
  <c r="Q273" i="41"/>
  <c r="Q433" i="41"/>
  <c r="Q436" i="53"/>
  <c r="T336" i="41"/>
  <c r="T332" i="53"/>
  <c r="T332" i="50"/>
  <c r="T339" i="50"/>
  <c r="T336" i="38"/>
  <c r="U172" i="38"/>
  <c r="T173" i="50"/>
  <c r="U331" i="41"/>
  <c r="U334" i="53"/>
  <c r="U290" i="53"/>
  <c r="T330" i="40"/>
  <c r="T333" i="52"/>
  <c r="T289" i="52"/>
  <c r="W101" i="40"/>
  <c r="V102" i="52"/>
  <c r="U378" i="38"/>
  <c r="U381" i="50"/>
  <c r="U368" i="50"/>
  <c r="U393" i="38"/>
  <c r="U396" i="50"/>
  <c r="U280" i="50"/>
  <c r="U311" i="50"/>
  <c r="U220" i="38"/>
  <c r="U223" i="50"/>
  <c r="U215" i="50"/>
  <c r="T16" i="50"/>
  <c r="U15" i="38"/>
  <c r="U288" i="50"/>
  <c r="U329" i="38"/>
  <c r="U292" i="38"/>
  <c r="U332" i="38"/>
  <c r="U335" i="50"/>
  <c r="U291" i="50"/>
  <c r="Q376" i="40"/>
  <c r="Q379" i="52"/>
  <c r="Q366" i="52"/>
  <c r="U166" i="38"/>
  <c r="T167" i="38"/>
  <c r="T168" i="50"/>
  <c r="R278" i="53"/>
  <c r="R280" i="53"/>
  <c r="R311" i="53"/>
  <c r="R277" i="41"/>
  <c r="R308" i="41"/>
  <c r="R226" i="41"/>
  <c r="R229" i="53"/>
  <c r="R228" i="53"/>
  <c r="R394" i="52"/>
  <c r="R431" i="40"/>
  <c r="R434" i="52"/>
  <c r="U76" i="50"/>
  <c r="U77" i="50"/>
  <c r="Q327" i="53"/>
  <c r="Q326" i="41"/>
  <c r="S391" i="40"/>
  <c r="S385" i="40"/>
  <c r="S388" i="52"/>
  <c r="S397" i="40"/>
  <c r="S374" i="40"/>
  <c r="S377" i="52"/>
  <c r="S375" i="40"/>
  <c r="S378" i="52"/>
  <c r="S394" i="40"/>
  <c r="S390" i="40"/>
  <c r="Q403" i="40"/>
  <c r="Q433" i="52"/>
  <c r="Q160" i="52"/>
  <c r="Q406" i="38"/>
  <c r="Q409" i="50"/>
  <c r="Q437" i="50"/>
  <c r="V240" i="38"/>
  <c r="U243" i="50"/>
  <c r="S336" i="40"/>
  <c r="S332" i="52"/>
  <c r="S339" i="52"/>
  <c r="U173" i="53"/>
  <c r="V172" i="41"/>
  <c r="U291" i="53"/>
  <c r="U332" i="41"/>
  <c r="U335" i="53"/>
  <c r="Q327" i="52"/>
  <c r="S339" i="50"/>
  <c r="R367" i="52"/>
  <c r="R392" i="40"/>
  <c r="R395" i="52"/>
  <c r="R377" i="40"/>
  <c r="R380" i="52"/>
  <c r="R228" i="52"/>
  <c r="R226" i="40"/>
  <c r="R229" i="52"/>
  <c r="T291" i="52"/>
  <c r="T332" i="40"/>
  <c r="T335" i="52"/>
  <c r="Q231" i="53"/>
  <c r="R430" i="38"/>
  <c r="R434" i="38"/>
  <c r="R414" i="38"/>
  <c r="R417" i="50"/>
  <c r="R425" i="38"/>
  <c r="R428" i="50"/>
  <c r="R415" i="38"/>
  <c r="R418" i="50"/>
  <c r="U408" i="50"/>
  <c r="U418" i="38"/>
  <c r="U421" i="50"/>
  <c r="S76" i="31"/>
  <c r="AX76" i="31"/>
  <c r="AA76" i="31"/>
  <c r="Z76" i="31"/>
  <c r="AU76" i="31"/>
  <c r="N76" i="31"/>
  <c r="AB76" i="31"/>
  <c r="BC76" i="31"/>
  <c r="AR76" i="31"/>
  <c r="T76" i="31"/>
  <c r="AD76" i="31"/>
  <c r="U76" i="31"/>
  <c r="AN76" i="31"/>
  <c r="AC76" i="31"/>
  <c r="Q76" i="31"/>
  <c r="AJ76" i="31"/>
  <c r="R76" i="31"/>
  <c r="AW76" i="31"/>
  <c r="BA76" i="31"/>
  <c r="BB76" i="31"/>
  <c r="AM76" i="31"/>
  <c r="AL76" i="31"/>
  <c r="Y76" i="31"/>
  <c r="O76" i="31"/>
  <c r="AY76" i="31"/>
  <c r="AO76" i="31"/>
  <c r="AV76" i="31"/>
  <c r="M76" i="31"/>
  <c r="AE76" i="31"/>
  <c r="AZ76" i="31"/>
  <c r="AP76" i="31"/>
  <c r="AF76" i="31"/>
  <c r="AK76" i="31"/>
  <c r="T411" i="38"/>
  <c r="U399" i="38"/>
  <c r="T419" i="38"/>
  <c r="T422" i="50"/>
  <c r="S97" i="50"/>
  <c r="S98" i="50"/>
  <c r="S235" i="53"/>
  <c r="S213" i="53"/>
  <c r="S167" i="53"/>
  <c r="S287" i="53"/>
  <c r="S285" i="53"/>
  <c r="S239" i="53"/>
  <c r="S177" i="53"/>
  <c r="O33" i="52"/>
  <c r="N36" i="52"/>
  <c r="O243" i="40"/>
  <c r="O246" i="52"/>
  <c r="O245" i="52"/>
  <c r="G290" i="52"/>
  <c r="G331" i="40"/>
  <c r="T22" i="54"/>
  <c r="S24" i="54"/>
  <c r="S32" i="54"/>
  <c r="S33" i="54"/>
  <c r="N180" i="52"/>
  <c r="N188" i="52"/>
  <c r="N187" i="40"/>
  <c r="T165" i="53"/>
  <c r="T54" i="53"/>
  <c r="T31" i="53"/>
  <c r="T75" i="53"/>
  <c r="T96" i="53"/>
  <c r="T117" i="53"/>
  <c r="T141" i="53"/>
  <c r="R173" i="38"/>
  <c r="R176" i="38"/>
  <c r="R172" i="50"/>
  <c r="R174" i="50"/>
  <c r="R66" i="38"/>
  <c r="S55" i="38"/>
  <c r="J44" i="32"/>
  <c r="T34" i="32"/>
  <c r="T105" i="48"/>
  <c r="AK56" i="32"/>
  <c r="T83" i="48"/>
  <c r="I103" i="40"/>
  <c r="I99" i="52"/>
  <c r="V30" i="38"/>
  <c r="U31" i="38"/>
  <c r="U32" i="50"/>
  <c r="V2" i="42"/>
  <c r="U47" i="42"/>
  <c r="U1" i="42"/>
  <c r="S87" i="38"/>
  <c r="T76" i="38"/>
  <c r="Q177" i="38"/>
  <c r="Q177" i="50"/>
  <c r="X362" i="53"/>
  <c r="W374" i="53"/>
  <c r="Q178" i="53"/>
  <c r="Q186" i="41"/>
  <c r="R34" i="32"/>
  <c r="P83" i="48"/>
  <c r="H44" i="32"/>
  <c r="AI56" i="32"/>
  <c r="O61" i="40"/>
  <c r="O57" i="52"/>
  <c r="O250" i="52"/>
  <c r="S171" i="38"/>
  <c r="S239" i="38"/>
  <c r="S242" i="50"/>
  <c r="S2" i="50"/>
  <c r="S100" i="38"/>
  <c r="S101" i="50"/>
  <c r="S79" i="38"/>
  <c r="S80" i="50"/>
  <c r="S58" i="38"/>
  <c r="S59" i="50"/>
  <c r="S175" i="38"/>
  <c r="S176" i="50"/>
  <c r="Q67" i="50"/>
  <c r="U414" i="50"/>
  <c r="V402" i="50"/>
  <c r="T32" i="50"/>
  <c r="P32" i="38"/>
  <c r="Q121" i="52"/>
  <c r="Q109" i="50"/>
  <c r="S247" i="41"/>
  <c r="T236" i="41"/>
  <c r="V8" i="53"/>
  <c r="V6" i="41"/>
  <c r="V8" i="41"/>
  <c r="V9" i="53"/>
  <c r="W7" i="41"/>
  <c r="V2" i="41"/>
  <c r="V3" i="41"/>
  <c r="V3" i="53"/>
  <c r="Q120" i="40"/>
  <c r="P32" i="41"/>
  <c r="W374" i="52"/>
  <c r="X362" i="52"/>
  <c r="N35" i="52"/>
  <c r="N34" i="52"/>
  <c r="N33" i="40"/>
  <c r="N45" i="40"/>
  <c r="N42" i="40"/>
  <c r="N43" i="52"/>
  <c r="P66" i="40"/>
  <c r="Q55" i="40"/>
  <c r="P56" i="40"/>
  <c r="L103" i="40"/>
  <c r="L99" i="52"/>
  <c r="P247" i="40"/>
  <c r="Q236" i="40"/>
  <c r="P237" i="40"/>
  <c r="P242" i="40"/>
  <c r="U414" i="52"/>
  <c r="V402" i="52"/>
  <c r="H82" i="40"/>
  <c r="H78" i="52"/>
  <c r="T8" i="50"/>
  <c r="T8" i="38"/>
  <c r="T3" i="38"/>
  <c r="T3" i="50"/>
  <c r="T2" i="38"/>
  <c r="T6" i="38"/>
  <c r="U7" i="38"/>
  <c r="O33" i="50"/>
  <c r="I50" i="31"/>
  <c r="J50" i="31"/>
  <c r="H50" i="31"/>
  <c r="F50" i="31"/>
  <c r="N10" i="50"/>
  <c r="F41" i="32"/>
  <c r="L184" i="52"/>
  <c r="L208" i="52"/>
  <c r="Q121" i="50"/>
  <c r="O9" i="38"/>
  <c r="Z27" i="54"/>
  <c r="Q109" i="53"/>
  <c r="R178" i="53"/>
  <c r="R186" i="41"/>
  <c r="R54" i="50"/>
  <c r="R31" i="50"/>
  <c r="R75" i="50"/>
  <c r="R96" i="50"/>
  <c r="R117" i="50"/>
  <c r="R141" i="50"/>
  <c r="R165" i="50"/>
  <c r="P177" i="52"/>
  <c r="P177" i="40"/>
  <c r="Y116" i="40"/>
  <c r="X117" i="40"/>
  <c r="L78" i="52"/>
  <c r="L82" i="40"/>
  <c r="I83" i="52"/>
  <c r="I83" i="40"/>
  <c r="I84" i="52"/>
  <c r="Q173" i="40"/>
  <c r="Q176" i="40"/>
  <c r="Q172" i="52"/>
  <c r="Q174" i="52"/>
  <c r="M103" i="40"/>
  <c r="M99" i="52"/>
  <c r="Q239" i="52"/>
  <c r="P240" i="52"/>
  <c r="N183" i="52"/>
  <c r="N202" i="52"/>
  <c r="N199" i="40"/>
  <c r="R237" i="53"/>
  <c r="R258" i="53"/>
  <c r="M44" i="52"/>
  <c r="N41" i="40"/>
  <c r="N42" i="52"/>
  <c r="N41" i="52"/>
  <c r="U235" i="41"/>
  <c r="U238" i="53"/>
  <c r="V234" i="41"/>
  <c r="O67" i="52"/>
  <c r="R2" i="52"/>
  <c r="R239" i="40"/>
  <c r="R242" i="52"/>
  <c r="R100" i="40"/>
  <c r="R101" i="52"/>
  <c r="R79" i="40"/>
  <c r="R80" i="52"/>
  <c r="R175" i="40"/>
  <c r="R176" i="52"/>
  <c r="S2" i="40"/>
  <c r="R171" i="40"/>
  <c r="R58" i="40"/>
  <c r="R59" i="52"/>
  <c r="K103" i="40"/>
  <c r="K99" i="52"/>
  <c r="O170" i="52"/>
  <c r="O182" i="40"/>
  <c r="O179" i="40"/>
  <c r="G334" i="53"/>
  <c r="W359" i="40"/>
  <c r="V371" i="40"/>
  <c r="V379" i="40"/>
  <c r="V382" i="52"/>
  <c r="Q3" i="52"/>
  <c r="R3" i="40"/>
  <c r="U95" i="38"/>
  <c r="T96" i="38"/>
  <c r="H331" i="38"/>
  <c r="H290" i="50"/>
  <c r="Q320" i="53"/>
  <c r="Q326" i="53"/>
  <c r="Q331" i="53"/>
  <c r="M181" i="52"/>
  <c r="R108" i="41"/>
  <c r="S97" i="41"/>
  <c r="R98" i="41"/>
  <c r="T173" i="41"/>
  <c r="T176" i="41"/>
  <c r="T172" i="53"/>
  <c r="T174" i="53"/>
  <c r="S168" i="41"/>
  <c r="S177" i="41"/>
  <c r="K82" i="40"/>
  <c r="K78" i="52"/>
  <c r="R250" i="53"/>
  <c r="O40" i="40"/>
  <c r="O34" i="40"/>
  <c r="J78" i="52"/>
  <c r="J82" i="40"/>
  <c r="T238" i="53"/>
  <c r="P169" i="40"/>
  <c r="Q168" i="40"/>
  <c r="R30" i="35"/>
  <c r="S29" i="35"/>
  <c r="O82" i="40"/>
  <c r="O78" i="52"/>
  <c r="M82" i="40"/>
  <c r="M78" i="52"/>
  <c r="Q213" i="50"/>
  <c r="Q287" i="50"/>
  <c r="Q285" i="50"/>
  <c r="Q235" i="50"/>
  <c r="Q167" i="50"/>
  <c r="M43" i="40"/>
  <c r="F99" i="52"/>
  <c r="F103" i="40"/>
  <c r="Q32" i="40"/>
  <c r="P35" i="40"/>
  <c r="N205" i="40"/>
  <c r="N194" i="40"/>
  <c r="N196" i="52"/>
  <c r="N189" i="40"/>
  <c r="N191" i="52"/>
  <c r="N197" i="40"/>
  <c r="N199" i="52"/>
  <c r="N193" i="40"/>
  <c r="N195" i="52"/>
  <c r="N190" i="40"/>
  <c r="N192" i="52"/>
  <c r="N192" i="40"/>
  <c r="N194" i="52"/>
  <c r="N195" i="40"/>
  <c r="N197" i="52"/>
  <c r="N183" i="40"/>
  <c r="N191" i="40"/>
  <c r="N193" i="52"/>
  <c r="O103" i="40"/>
  <c r="O99" i="52"/>
  <c r="P297" i="50"/>
  <c r="P318" i="50"/>
  <c r="P341" i="50"/>
  <c r="P360" i="50"/>
  <c r="P400" i="50"/>
  <c r="F82" i="40"/>
  <c r="F78" i="52"/>
  <c r="O178" i="52"/>
  <c r="O186" i="40"/>
  <c r="O180" i="40"/>
  <c r="X362" i="50"/>
  <c r="W374" i="50"/>
  <c r="O88" i="52"/>
  <c r="T120" i="41"/>
  <c r="AB22" i="35"/>
  <c r="T23" i="35"/>
  <c r="H99" i="52"/>
  <c r="H103" i="40"/>
  <c r="N82" i="40"/>
  <c r="N78" i="52"/>
  <c r="O109" i="52"/>
  <c r="O33" i="53"/>
  <c r="N62" i="40"/>
  <c r="N63" i="52"/>
  <c r="N62" i="52"/>
  <c r="O9" i="41"/>
  <c r="X59" i="40"/>
  <c r="W60" i="52"/>
  <c r="AQ22" i="35"/>
  <c r="AI23" i="35"/>
  <c r="N10" i="53"/>
  <c r="P31" i="32"/>
  <c r="T414" i="53"/>
  <c r="U402" i="53"/>
  <c r="P187" i="53"/>
  <c r="S121" i="53"/>
  <c r="P87" i="40"/>
  <c r="Q76" i="40"/>
  <c r="P77" i="40"/>
  <c r="U80" i="41"/>
  <c r="T81" i="53"/>
  <c r="N104" i="52"/>
  <c r="N104" i="40"/>
  <c r="N105" i="52"/>
  <c r="J104" i="52"/>
  <c r="J104" i="40"/>
  <c r="J105" i="52"/>
  <c r="S97" i="38"/>
  <c r="R108" i="38"/>
  <c r="U7" i="53"/>
  <c r="U6" i="53"/>
  <c r="O187" i="50"/>
  <c r="U171" i="41"/>
  <c r="U2" i="53"/>
  <c r="U239" i="41"/>
  <c r="U242" i="53"/>
  <c r="U58" i="41"/>
  <c r="U59" i="53"/>
  <c r="U175" i="41"/>
  <c r="U176" i="53"/>
  <c r="U79" i="41"/>
  <c r="U80" i="53"/>
  <c r="U100" i="41"/>
  <c r="U101" i="53"/>
  <c r="G103" i="40"/>
  <c r="G99" i="52"/>
  <c r="P98" i="40"/>
  <c r="Q97" i="40"/>
  <c r="P108" i="40"/>
  <c r="P258" i="50"/>
  <c r="P237" i="50"/>
  <c r="O320" i="50"/>
  <c r="O331" i="50"/>
  <c r="O326" i="50"/>
  <c r="G82" i="40"/>
  <c r="G78" i="52"/>
  <c r="S7" i="50"/>
  <c r="S6" i="50"/>
  <c r="U294" i="41"/>
  <c r="T323" i="41"/>
  <c r="T328" i="41"/>
  <c r="T317" i="41"/>
  <c r="G290" i="50"/>
  <c r="G331" i="38"/>
  <c r="R120" i="38"/>
  <c r="U239" i="50"/>
  <c r="U9" i="53"/>
  <c r="Q9" i="40"/>
  <c r="Q10" i="52"/>
  <c r="W28" i="54"/>
  <c r="V30" i="54"/>
  <c r="X31" i="31"/>
  <c r="N187" i="52"/>
  <c r="N189" i="52"/>
  <c r="N181" i="52"/>
  <c r="M46" i="52"/>
  <c r="I34" i="32"/>
  <c r="H331" i="40"/>
  <c r="H290" i="52"/>
  <c r="S9" i="50"/>
  <c r="H334" i="53"/>
  <c r="I67" i="54"/>
  <c r="I70" i="54"/>
  <c r="H72" i="54"/>
  <c r="H75" i="54"/>
  <c r="P186" i="38"/>
  <c r="P178" i="50"/>
  <c r="R88" i="50"/>
  <c r="R297" i="53"/>
  <c r="R318" i="53"/>
  <c r="R341" i="53"/>
  <c r="R360" i="53"/>
  <c r="R400" i="53"/>
  <c r="I98" i="41"/>
  <c r="I103" i="41"/>
  <c r="I104" i="53"/>
  <c r="Q326" i="40"/>
  <c r="P98" i="41"/>
  <c r="L98" i="41"/>
  <c r="G98" i="41"/>
  <c r="M98" i="41"/>
  <c r="K98" i="41"/>
  <c r="Q98" i="41"/>
  <c r="N98" i="41"/>
  <c r="J98" i="41"/>
  <c r="O98" i="41"/>
  <c r="H98" i="41"/>
  <c r="Y97" i="53"/>
  <c r="Y98" i="53"/>
  <c r="Z98" i="53"/>
  <c r="F98" i="41"/>
  <c r="Q393" i="53"/>
  <c r="Q363" i="41"/>
  <c r="Q425" i="41"/>
  <c r="Q428" i="53"/>
  <c r="Q434" i="41"/>
  <c r="Q430" i="41"/>
  <c r="Q414" i="41"/>
  <c r="Q417" i="53"/>
  <c r="Q415" i="41"/>
  <c r="Q418" i="53"/>
  <c r="O406" i="53"/>
  <c r="O416" i="41"/>
  <c r="O419" i="53"/>
  <c r="X60" i="50"/>
  <c r="Y59" i="38"/>
  <c r="P403" i="41"/>
  <c r="P433" i="53"/>
  <c r="U125" i="52"/>
  <c r="V124" i="40"/>
  <c r="X116" i="38"/>
  <c r="W117" i="38"/>
  <c r="P406" i="41"/>
  <c r="P409" i="53"/>
  <c r="P437" i="53"/>
  <c r="O419" i="41"/>
  <c r="O422" i="53"/>
  <c r="O409" i="53"/>
  <c r="P366" i="53"/>
  <c r="P376" i="41"/>
  <c r="P379" i="53"/>
  <c r="Q431" i="41"/>
  <c r="Q434" i="53"/>
  <c r="Q394" i="53"/>
  <c r="R385" i="41"/>
  <c r="R388" i="53"/>
  <c r="R394" i="41"/>
  <c r="R390" i="41"/>
  <c r="R397" i="41"/>
  <c r="R374" i="41"/>
  <c r="R377" i="53"/>
  <c r="R391" i="41"/>
  <c r="R375" i="41"/>
  <c r="R378" i="53"/>
  <c r="Q366" i="41"/>
  <c r="Q369" i="53"/>
  <c r="Q397" i="53"/>
  <c r="U317" i="38"/>
  <c r="V294" i="38"/>
  <c r="U323" i="38"/>
  <c r="U328" i="38"/>
  <c r="T338" i="41"/>
  <c r="S357" i="41"/>
  <c r="R159" i="41"/>
  <c r="U74" i="41"/>
  <c r="T75" i="41"/>
  <c r="T76" i="53"/>
  <c r="T77" i="53"/>
  <c r="T287" i="52"/>
  <c r="T285" i="52"/>
  <c r="T235" i="52"/>
  <c r="T213" i="52"/>
  <c r="T167" i="52"/>
  <c r="V7" i="52"/>
  <c r="V6" i="52"/>
  <c r="V235" i="38"/>
  <c r="V238" i="50"/>
  <c r="V239" i="50"/>
  <c r="W234" i="38"/>
  <c r="S237" i="52"/>
  <c r="S258" i="52"/>
  <c r="T247" i="38"/>
  <c r="T250" i="50"/>
  <c r="U236" i="38"/>
  <c r="V15" i="41"/>
  <c r="U16" i="53"/>
  <c r="R320" i="52"/>
  <c r="R331" i="52"/>
  <c r="R326" i="52"/>
  <c r="Q60" i="54"/>
  <c r="Q57" i="54"/>
  <c r="Q62" i="54"/>
  <c r="Q63" i="54"/>
  <c r="Z116" i="41"/>
  <c r="Z117" i="41"/>
  <c r="Z118" i="53"/>
  <c r="Y117" i="41"/>
  <c r="R87" i="41"/>
  <c r="R88" i="53"/>
  <c r="S76" i="41"/>
  <c r="W102" i="53"/>
  <c r="X101" i="41"/>
  <c r="R38" i="54"/>
  <c r="R69" i="54"/>
  <c r="R41" i="54"/>
  <c r="T4" i="47"/>
  <c r="I39" i="47"/>
  <c r="S21" i="54"/>
  <c r="T5" i="47"/>
  <c r="I40" i="47"/>
  <c r="T6" i="47"/>
  <c r="U3" i="47"/>
  <c r="T7" i="47"/>
  <c r="I42" i="47"/>
  <c r="U102" i="50"/>
  <c r="V101" i="38"/>
  <c r="R231" i="52"/>
  <c r="R160" i="53"/>
  <c r="Y54" i="38"/>
  <c r="Z53" i="38"/>
  <c r="Z54" i="38"/>
  <c r="Q56" i="38"/>
  <c r="U75" i="52"/>
  <c r="U96" i="52"/>
  <c r="U117" i="52"/>
  <c r="U141" i="52"/>
  <c r="U165" i="52"/>
  <c r="U54" i="52"/>
  <c r="U31" i="52"/>
  <c r="S297" i="52"/>
  <c r="S318" i="52"/>
  <c r="S341" i="52"/>
  <c r="S360" i="52"/>
  <c r="S400" i="52"/>
  <c r="W8" i="52"/>
  <c r="X7" i="40"/>
  <c r="W6" i="40"/>
  <c r="W8" i="40"/>
  <c r="W9" i="52"/>
  <c r="X55" i="50"/>
  <c r="X56" i="50"/>
  <c r="S431" i="40"/>
  <c r="S434" i="52"/>
  <c r="S394" i="52"/>
  <c r="W155" i="38"/>
  <c r="W156" i="38"/>
  <c r="W157" i="50"/>
  <c r="X140" i="38"/>
  <c r="W230" i="38"/>
  <c r="W233" i="50"/>
  <c r="W275" i="38"/>
  <c r="W270" i="38"/>
  <c r="W350" i="38"/>
  <c r="W353" i="50"/>
  <c r="W405" i="38"/>
  <c r="W364" i="38"/>
  <c r="W227" i="38"/>
  <c r="W230" i="50"/>
  <c r="W225" i="38"/>
  <c r="W365" i="38"/>
  <c r="W272" i="38"/>
  <c r="W275" i="50"/>
  <c r="W212" i="38"/>
  <c r="W142" i="38"/>
  <c r="W404" i="38"/>
  <c r="W162" i="38"/>
  <c r="W163" i="50"/>
  <c r="W158" i="38"/>
  <c r="W159" i="50"/>
  <c r="W257" i="38"/>
  <c r="T54" i="41"/>
  <c r="U53" i="41"/>
  <c r="S215" i="53"/>
  <c r="S220" i="41"/>
  <c r="S223" i="53"/>
  <c r="V124" i="41"/>
  <c r="U125" i="53"/>
  <c r="V125" i="50"/>
  <c r="W124" i="38"/>
  <c r="V14" i="38"/>
  <c r="U15" i="50"/>
  <c r="S368" i="52"/>
  <c r="S378" i="40"/>
  <c r="S381" i="52"/>
  <c r="S393" i="40"/>
  <c r="S396" i="52"/>
  <c r="T156" i="40"/>
  <c r="T157" i="52"/>
  <c r="T225" i="40"/>
  <c r="T142" i="40"/>
  <c r="T365" i="40"/>
  <c r="T350" i="40"/>
  <c r="T353" i="52"/>
  <c r="U140" i="40"/>
  <c r="T272" i="40"/>
  <c r="T275" i="52"/>
  <c r="T405" i="40"/>
  <c r="T162" i="40"/>
  <c r="T163" i="52"/>
  <c r="T364" i="40"/>
  <c r="T230" i="40"/>
  <c r="T233" i="52"/>
  <c r="T257" i="40"/>
  <c r="T212" i="40"/>
  <c r="T270" i="40"/>
  <c r="T158" i="40"/>
  <c r="T159" i="52"/>
  <c r="T155" i="40"/>
  <c r="T404" i="40"/>
  <c r="T275" i="40"/>
  <c r="T227" i="40"/>
  <c r="T230" i="52"/>
  <c r="S425" i="38"/>
  <c r="S428" i="50"/>
  <c r="S434" i="38"/>
  <c r="S414" i="38"/>
  <c r="S417" i="50"/>
  <c r="S415" i="38"/>
  <c r="S418" i="50"/>
  <c r="S430" i="38"/>
  <c r="V80" i="38"/>
  <c r="U81" i="50"/>
  <c r="R376" i="40"/>
  <c r="R379" i="52"/>
  <c r="R366" i="52"/>
  <c r="V331" i="38"/>
  <c r="V334" i="50"/>
  <c r="V290" i="50"/>
  <c r="U329" i="40"/>
  <c r="U292" i="40"/>
  <c r="U288" i="52"/>
  <c r="V329" i="41"/>
  <c r="V292" i="41"/>
  <c r="V288" i="53"/>
  <c r="V15" i="40"/>
  <c r="U16" i="52"/>
  <c r="R437" i="50"/>
  <c r="R406" i="38"/>
  <c r="R409" i="50"/>
  <c r="Q406" i="52"/>
  <c r="Q416" i="40"/>
  <c r="Q419" i="52"/>
  <c r="R228" i="41"/>
  <c r="U336" i="38"/>
  <c r="U332" i="50"/>
  <c r="V418" i="38"/>
  <c r="V421" i="50"/>
  <c r="V408" i="50"/>
  <c r="V407" i="50"/>
  <c r="V432" i="38"/>
  <c r="V435" i="50"/>
  <c r="V417" i="38"/>
  <c r="V420" i="50"/>
  <c r="R160" i="52"/>
  <c r="B26" i="35"/>
  <c r="C25" i="35"/>
  <c r="S277" i="41"/>
  <c r="S308" i="41"/>
  <c r="S278" i="53"/>
  <c r="S280" i="53"/>
  <c r="S311" i="53"/>
  <c r="S265" i="40"/>
  <c r="S268" i="52"/>
  <c r="S260" i="52"/>
  <c r="S215" i="52"/>
  <c r="S220" i="40"/>
  <c r="S223" i="52"/>
  <c r="S407" i="52"/>
  <c r="S432" i="40"/>
  <c r="S435" i="52"/>
  <c r="S417" i="40"/>
  <c r="S420" i="52"/>
  <c r="V330" i="38"/>
  <c r="V333" i="50"/>
  <c r="V289" i="50"/>
  <c r="U330" i="40"/>
  <c r="U333" i="52"/>
  <c r="U289" i="52"/>
  <c r="T168" i="38"/>
  <c r="W288" i="41"/>
  <c r="X284" i="41"/>
  <c r="W291" i="41"/>
  <c r="W290" i="41"/>
  <c r="W289" i="41"/>
  <c r="W292" i="53"/>
  <c r="W287" i="41"/>
  <c r="W286" i="41"/>
  <c r="W285" i="41"/>
  <c r="V14" i="41"/>
  <c r="U15" i="53"/>
  <c r="W240" i="41"/>
  <c r="V243" i="53"/>
  <c r="V31" i="41"/>
  <c r="W30" i="41"/>
  <c r="W38" i="41"/>
  <c r="V39" i="53"/>
  <c r="V76" i="50"/>
  <c r="V77" i="50"/>
  <c r="R433" i="50"/>
  <c r="R403" i="38"/>
  <c r="S393" i="52"/>
  <c r="S363" i="40"/>
  <c r="V378" i="38"/>
  <c r="V381" i="50"/>
  <c r="V368" i="50"/>
  <c r="V393" i="38"/>
  <c r="V396" i="50"/>
  <c r="S260" i="53"/>
  <c r="S265" i="41"/>
  <c r="S268" i="53"/>
  <c r="V123" i="40"/>
  <c r="U124" i="52"/>
  <c r="V80" i="40"/>
  <c r="U81" i="52"/>
  <c r="S150" i="40"/>
  <c r="S151" i="52"/>
  <c r="S143" i="52"/>
  <c r="T326" i="38"/>
  <c r="V37" i="41"/>
  <c r="U38" i="53"/>
  <c r="U335" i="40"/>
  <c r="U338" i="52"/>
  <c r="U294" i="52"/>
  <c r="V335" i="41"/>
  <c r="V338" i="53"/>
  <c r="V294" i="53"/>
  <c r="U32" i="53"/>
  <c r="R406" i="40"/>
  <c r="R409" i="52"/>
  <c r="R437" i="52"/>
  <c r="X74" i="38"/>
  <c r="W75" i="38"/>
  <c r="W240" i="38"/>
  <c r="V243" i="50"/>
  <c r="S366" i="40"/>
  <c r="S369" i="52"/>
  <c r="S397" i="52"/>
  <c r="U173" i="50"/>
  <c r="V172" i="38"/>
  <c r="T169" i="50"/>
  <c r="V265" i="38"/>
  <c r="V268" i="50"/>
  <c r="V260" i="50"/>
  <c r="V271" i="38"/>
  <c r="V273" i="38"/>
  <c r="V324" i="38"/>
  <c r="V273" i="50"/>
  <c r="Q406" i="50"/>
  <c r="Q416" i="38"/>
  <c r="Q419" i="50"/>
  <c r="S407" i="53"/>
  <c r="S417" i="41"/>
  <c r="S420" i="53"/>
  <c r="S432" i="41"/>
  <c r="S435" i="53"/>
  <c r="S367" i="53"/>
  <c r="S392" i="41"/>
  <c r="S395" i="53"/>
  <c r="S377" i="41"/>
  <c r="S380" i="53"/>
  <c r="V14" i="40"/>
  <c r="U15" i="52"/>
  <c r="S278" i="52"/>
  <c r="S280" i="52"/>
  <c r="S311" i="52"/>
  <c r="S277" i="40"/>
  <c r="S308" i="40"/>
  <c r="S226" i="40"/>
  <c r="S229" i="52"/>
  <c r="S228" i="52"/>
  <c r="R274" i="53"/>
  <c r="R276" i="53"/>
  <c r="R325" i="41"/>
  <c r="R328" i="53"/>
  <c r="V294" i="50"/>
  <c r="V335" i="38"/>
  <c r="V338" i="50"/>
  <c r="U334" i="40"/>
  <c r="U337" i="52"/>
  <c r="U293" i="52"/>
  <c r="W123" i="41"/>
  <c r="V124" i="53"/>
  <c r="U16" i="50"/>
  <c r="V15" i="38"/>
  <c r="V143" i="50"/>
  <c r="V150" i="38"/>
  <c r="V151" i="50"/>
  <c r="V157" i="38"/>
  <c r="V158" i="50"/>
  <c r="V156" i="50"/>
  <c r="Q329" i="52"/>
  <c r="S143" i="53"/>
  <c r="S150" i="41"/>
  <c r="S151" i="53"/>
  <c r="S156" i="53"/>
  <c r="S157" i="41"/>
  <c r="S158" i="53"/>
  <c r="U333" i="53"/>
  <c r="U327" i="50"/>
  <c r="S324" i="40"/>
  <c r="S273" i="52"/>
  <c r="S271" i="40"/>
  <c r="S274" i="52"/>
  <c r="S431" i="38"/>
  <c r="S434" i="50"/>
  <c r="S394" i="50"/>
  <c r="R327" i="53"/>
  <c r="V293" i="50"/>
  <c r="V334" i="38"/>
  <c r="V337" i="50"/>
  <c r="V240" i="40"/>
  <c r="U243" i="52"/>
  <c r="U291" i="52"/>
  <c r="U332" i="40"/>
  <c r="U335" i="52"/>
  <c r="V290" i="53"/>
  <c r="V331" i="41"/>
  <c r="V167" i="41"/>
  <c r="V168" i="53"/>
  <c r="V169" i="53"/>
  <c r="W166" i="41"/>
  <c r="U295" i="53"/>
  <c r="T323" i="40"/>
  <c r="T328" i="40"/>
  <c r="T317" i="40"/>
  <c r="U294" i="40"/>
  <c r="V173" i="53"/>
  <c r="W172" i="41"/>
  <c r="V166" i="38"/>
  <c r="U167" i="38"/>
  <c r="X101" i="40"/>
  <c r="W102" i="52"/>
  <c r="U38" i="52"/>
  <c r="V37" i="40"/>
  <c r="V228" i="50"/>
  <c r="V226" i="38"/>
  <c r="V229" i="50"/>
  <c r="T332" i="52"/>
  <c r="T339" i="52"/>
  <c r="T336" i="40"/>
  <c r="S418" i="41"/>
  <c r="S421" i="53"/>
  <c r="S408" i="53"/>
  <c r="S226" i="41"/>
  <c r="S229" i="53"/>
  <c r="S228" i="53"/>
  <c r="U160" i="50"/>
  <c r="V123" i="38"/>
  <c r="U124" i="50"/>
  <c r="S377" i="40"/>
  <c r="S380" i="52"/>
  <c r="S367" i="52"/>
  <c r="S392" i="40"/>
  <c r="S395" i="52"/>
  <c r="S397" i="50"/>
  <c r="S366" i="38"/>
  <c r="S369" i="50"/>
  <c r="X39" i="50"/>
  <c r="Y38" i="38"/>
  <c r="V288" i="50"/>
  <c r="V329" i="38"/>
  <c r="V292" i="38"/>
  <c r="U290" i="52"/>
  <c r="U331" i="40"/>
  <c r="U334" i="52"/>
  <c r="V289" i="53"/>
  <c r="V330" i="41"/>
  <c r="V333" i="53"/>
  <c r="U332" i="53"/>
  <c r="U339" i="53"/>
  <c r="U336" i="41"/>
  <c r="R403" i="40"/>
  <c r="R433" i="52"/>
  <c r="T394" i="40"/>
  <c r="T375" i="40"/>
  <c r="T378" i="52"/>
  <c r="T374" i="40"/>
  <c r="T377" i="52"/>
  <c r="T397" i="40"/>
  <c r="T385" i="40"/>
  <c r="T388" i="52"/>
  <c r="T390" i="40"/>
  <c r="T391" i="40"/>
  <c r="R228" i="40"/>
  <c r="S414" i="40"/>
  <c r="S417" i="52"/>
  <c r="S434" i="40"/>
  <c r="S425" i="40"/>
  <c r="S428" i="52"/>
  <c r="S415" i="40"/>
  <c r="S418" i="52"/>
  <c r="S430" i="40"/>
  <c r="T339" i="53"/>
  <c r="U295" i="50"/>
  <c r="V220" i="38"/>
  <c r="V223" i="50"/>
  <c r="V215" i="50"/>
  <c r="T295" i="52"/>
  <c r="T270" i="41"/>
  <c r="T225" i="41"/>
  <c r="T155" i="41"/>
  <c r="T404" i="41"/>
  <c r="T275" i="41"/>
  <c r="T227" i="41"/>
  <c r="T230" i="53"/>
  <c r="T162" i="41"/>
  <c r="T163" i="53"/>
  <c r="T142" i="41"/>
  <c r="T156" i="41"/>
  <c r="T157" i="53"/>
  <c r="T212" i="41"/>
  <c r="T365" i="41"/>
  <c r="T230" i="41"/>
  <c r="T233" i="53"/>
  <c r="T405" i="41"/>
  <c r="T364" i="41"/>
  <c r="T350" i="41"/>
  <c r="T353" i="53"/>
  <c r="U140" i="41"/>
  <c r="T272" i="41"/>
  <c r="T275" i="53"/>
  <c r="T158" i="41"/>
  <c r="T159" i="53"/>
  <c r="T257" i="41"/>
  <c r="T329" i="50"/>
  <c r="U274" i="50"/>
  <c r="U276" i="50"/>
  <c r="U325" i="38"/>
  <c r="U328" i="50"/>
  <c r="S418" i="40"/>
  <c r="S421" i="52"/>
  <c r="S408" i="52"/>
  <c r="S156" i="52"/>
  <c r="S157" i="40"/>
  <c r="S159" i="40"/>
  <c r="R274" i="52"/>
  <c r="R276" i="52"/>
  <c r="R325" i="40"/>
  <c r="R328" i="52"/>
  <c r="S393" i="50"/>
  <c r="S363" i="38"/>
  <c r="V332" i="38"/>
  <c r="V335" i="50"/>
  <c r="V291" i="50"/>
  <c r="V290" i="40"/>
  <c r="V289" i="40"/>
  <c r="V292" i="52"/>
  <c r="W284" i="40"/>
  <c r="V286" i="40"/>
  <c r="V288" i="40"/>
  <c r="V287" i="40"/>
  <c r="V285" i="40"/>
  <c r="V291" i="40"/>
  <c r="T375" i="38"/>
  <c r="T378" i="50"/>
  <c r="T385" i="38"/>
  <c r="T388" i="50"/>
  <c r="T390" i="38"/>
  <c r="T391" i="38"/>
  <c r="T394" i="38"/>
  <c r="T374" i="38"/>
  <c r="T377" i="50"/>
  <c r="T397" i="38"/>
  <c r="V293" i="53"/>
  <c r="V334" i="41"/>
  <c r="V337" i="53"/>
  <c r="Z59" i="41"/>
  <c r="Z60" i="53"/>
  <c r="Y60" i="53"/>
  <c r="U228" i="38"/>
  <c r="V172" i="40"/>
  <c r="U173" i="52"/>
  <c r="U357" i="40"/>
  <c r="V338" i="40"/>
  <c r="R231" i="53"/>
  <c r="U333" i="50"/>
  <c r="V278" i="50"/>
  <c r="V280" i="50"/>
  <c r="V311" i="50"/>
  <c r="V277" i="38"/>
  <c r="V308" i="38"/>
  <c r="V367" i="50"/>
  <c r="V377" i="38"/>
  <c r="V380" i="50"/>
  <c r="V392" i="38"/>
  <c r="V395" i="50"/>
  <c r="R376" i="38"/>
  <c r="R379" i="50"/>
  <c r="R366" i="50"/>
  <c r="R159" i="40"/>
  <c r="S55" i="53"/>
  <c r="S56" i="53"/>
  <c r="S273" i="53"/>
  <c r="S271" i="41"/>
  <c r="S273" i="41"/>
  <c r="S324" i="41"/>
  <c r="S368" i="53"/>
  <c r="S393" i="41"/>
  <c r="S396" i="53"/>
  <c r="S378" i="41"/>
  <c r="S381" i="53"/>
  <c r="R327" i="52"/>
  <c r="U39" i="52"/>
  <c r="V38" i="40"/>
  <c r="W285" i="38"/>
  <c r="W289" i="38"/>
  <c r="W292" i="50"/>
  <c r="W291" i="38"/>
  <c r="W288" i="38"/>
  <c r="W290" i="38"/>
  <c r="X284" i="38"/>
  <c r="W286" i="38"/>
  <c r="W287" i="38"/>
  <c r="U357" i="38"/>
  <c r="V338" i="38"/>
  <c r="V332" i="41"/>
  <c r="V335" i="53"/>
  <c r="V291" i="53"/>
  <c r="X37" i="38"/>
  <c r="W38" i="50"/>
  <c r="S55" i="41"/>
  <c r="R66" i="41"/>
  <c r="R67" i="53"/>
  <c r="U231" i="50"/>
  <c r="U159" i="38"/>
  <c r="Q329" i="53"/>
  <c r="AT76" i="31"/>
  <c r="AI76" i="31"/>
  <c r="X76" i="31"/>
  <c r="S178" i="53"/>
  <c r="S186" i="41"/>
  <c r="U328" i="41"/>
  <c r="U323" i="41"/>
  <c r="U317" i="41"/>
  <c r="V294" i="41"/>
  <c r="R10" i="52"/>
  <c r="G83" i="52"/>
  <c r="G83" i="40"/>
  <c r="G84" i="52"/>
  <c r="P109" i="52"/>
  <c r="AQ23" i="35"/>
  <c r="AI24" i="35"/>
  <c r="P9" i="41"/>
  <c r="P320" i="50"/>
  <c r="P331" i="50"/>
  <c r="P326" i="50"/>
  <c r="Q297" i="50"/>
  <c r="Q318" i="50"/>
  <c r="Q341" i="50"/>
  <c r="Q360" i="50"/>
  <c r="Q400" i="50"/>
  <c r="O41" i="52"/>
  <c r="O41" i="40"/>
  <c r="O42" i="52"/>
  <c r="R103" i="41"/>
  <c r="R99" i="53"/>
  <c r="T97" i="50"/>
  <c r="T98" i="50"/>
  <c r="R3" i="52"/>
  <c r="S3" i="40"/>
  <c r="R173" i="40"/>
  <c r="R176" i="40"/>
  <c r="R172" i="52"/>
  <c r="R174" i="52"/>
  <c r="R121" i="50"/>
  <c r="P33" i="50"/>
  <c r="P61" i="40"/>
  <c r="P57" i="52"/>
  <c r="O62" i="40"/>
  <c r="O63" i="52"/>
  <c r="O62" i="52"/>
  <c r="Q187" i="53"/>
  <c r="S297" i="53"/>
  <c r="S318" i="53"/>
  <c r="S341" i="53"/>
  <c r="S360" i="53"/>
  <c r="S400" i="53"/>
  <c r="V414" i="52"/>
  <c r="W402" i="52"/>
  <c r="V7" i="53"/>
  <c r="V6" i="53"/>
  <c r="R9" i="40"/>
  <c r="P99" i="52"/>
  <c r="P103" i="40"/>
  <c r="U75" i="53"/>
  <c r="U96" i="53"/>
  <c r="U117" i="53"/>
  <c r="U141" i="53"/>
  <c r="U165" i="53"/>
  <c r="U31" i="53"/>
  <c r="U54" i="53"/>
  <c r="R32" i="40"/>
  <c r="Q35" i="40"/>
  <c r="K83" i="40"/>
  <c r="K84" i="52"/>
  <c r="K83" i="52"/>
  <c r="R109" i="53"/>
  <c r="W234" i="41"/>
  <c r="V235" i="41"/>
  <c r="Q177" i="52"/>
  <c r="Q177" i="40"/>
  <c r="T6" i="50"/>
  <c r="T7" i="50"/>
  <c r="P245" i="52"/>
  <c r="P243" i="40"/>
  <c r="P246" i="52"/>
  <c r="P67" i="52"/>
  <c r="R120" i="40"/>
  <c r="H290" i="38"/>
  <c r="G290" i="38"/>
  <c r="Q186" i="38"/>
  <c r="Q178" i="50"/>
  <c r="H290" i="41"/>
  <c r="G290" i="41"/>
  <c r="R31" i="35"/>
  <c r="S30" i="35"/>
  <c r="P82" i="40"/>
  <c r="P78" i="52"/>
  <c r="U414" i="53"/>
  <c r="V402" i="53"/>
  <c r="Y59" i="40"/>
  <c r="X60" i="52"/>
  <c r="AB23" i="35"/>
  <c r="T24" i="35"/>
  <c r="F83" i="40"/>
  <c r="F84" i="52"/>
  <c r="F83" i="52"/>
  <c r="F104" i="52"/>
  <c r="F104" i="40"/>
  <c r="F105" i="52"/>
  <c r="M208" i="52"/>
  <c r="M184" i="52"/>
  <c r="O180" i="52"/>
  <c r="O188" i="52"/>
  <c r="O187" i="40"/>
  <c r="X118" i="52"/>
  <c r="AX50" i="31"/>
  <c r="AL50" i="31"/>
  <c r="Q50" i="31"/>
  <c r="P50" i="31"/>
  <c r="BC50" i="31"/>
  <c r="AP50" i="31"/>
  <c r="AO50" i="31"/>
  <c r="AY50" i="31"/>
  <c r="T50" i="31"/>
  <c r="AF50" i="31"/>
  <c r="AD50" i="31"/>
  <c r="AV50" i="31"/>
  <c r="AE50" i="31"/>
  <c r="AW50" i="31"/>
  <c r="M50" i="31"/>
  <c r="R50" i="31"/>
  <c r="AC50" i="31"/>
  <c r="AR50" i="31"/>
  <c r="AJ50" i="31"/>
  <c r="N50" i="31"/>
  <c r="U50" i="31"/>
  <c r="O50" i="31"/>
  <c r="Z50" i="31"/>
  <c r="AZ50" i="31"/>
  <c r="BB50" i="31"/>
  <c r="AM50" i="31"/>
  <c r="BA50" i="31"/>
  <c r="AA50" i="31"/>
  <c r="AN50" i="31"/>
  <c r="Y50" i="31"/>
  <c r="AK50" i="31"/>
  <c r="S50" i="31"/>
  <c r="AU50" i="31"/>
  <c r="AB50" i="31"/>
  <c r="AQ50" i="31"/>
  <c r="AG50" i="31"/>
  <c r="R236" i="40"/>
  <c r="Q247" i="40"/>
  <c r="Q237" i="40"/>
  <c r="Q242" i="40"/>
  <c r="U236" i="41"/>
  <c r="T247" i="41"/>
  <c r="Q32" i="38"/>
  <c r="V414" i="50"/>
  <c r="W402" i="50"/>
  <c r="S173" i="38"/>
  <c r="S176" i="38"/>
  <c r="S172" i="50"/>
  <c r="S174" i="50"/>
  <c r="T287" i="53"/>
  <c r="T285" i="53"/>
  <c r="T235" i="53"/>
  <c r="T213" i="53"/>
  <c r="T167" i="53"/>
  <c r="S258" i="53"/>
  <c r="S237" i="53"/>
  <c r="T9" i="50"/>
  <c r="X374" i="52"/>
  <c r="Y362" i="52"/>
  <c r="R121" i="52"/>
  <c r="J67" i="54"/>
  <c r="J70" i="54"/>
  <c r="I72" i="54"/>
  <c r="I75" i="54"/>
  <c r="AJ56" i="32"/>
  <c r="R83" i="48"/>
  <c r="I44" i="32"/>
  <c r="G44" i="32"/>
  <c r="F44" i="32"/>
  <c r="S34" i="32"/>
  <c r="R105" i="48"/>
  <c r="G334" i="50"/>
  <c r="Q87" i="40"/>
  <c r="R76" i="40"/>
  <c r="Q77" i="40"/>
  <c r="R168" i="40"/>
  <c r="Q169" i="40"/>
  <c r="O199" i="40"/>
  <c r="O183" i="52"/>
  <c r="O202" i="52"/>
  <c r="Z116" i="40"/>
  <c r="Z117" i="40"/>
  <c r="Y117" i="40"/>
  <c r="M121" i="40"/>
  <c r="AA27" i="54"/>
  <c r="H83" i="40"/>
  <c r="H84" i="52"/>
  <c r="H83" i="52"/>
  <c r="P250" i="52"/>
  <c r="Q32" i="41"/>
  <c r="P105" i="48"/>
  <c r="T87" i="38"/>
  <c r="U76" i="38"/>
  <c r="S66" i="38"/>
  <c r="T55" i="38"/>
  <c r="G334" i="52"/>
  <c r="P40" i="40"/>
  <c r="P34" i="40"/>
  <c r="V95" i="38"/>
  <c r="U96" i="38"/>
  <c r="R235" i="50"/>
  <c r="R167" i="50"/>
  <c r="R213" i="50"/>
  <c r="R287" i="50"/>
  <c r="R285" i="50"/>
  <c r="R55" i="40"/>
  <c r="Q66" i="40"/>
  <c r="Q56" i="40"/>
  <c r="S165" i="50"/>
  <c r="S54" i="50"/>
  <c r="S31" i="50"/>
  <c r="S75" i="50"/>
  <c r="S96" i="50"/>
  <c r="S117" i="50"/>
  <c r="S141" i="50"/>
  <c r="G104" i="52"/>
  <c r="G104" i="40"/>
  <c r="G105" i="52"/>
  <c r="R109" i="50"/>
  <c r="P88" i="52"/>
  <c r="N83" i="52"/>
  <c r="N83" i="40"/>
  <c r="N84" i="52"/>
  <c r="Y362" i="50"/>
  <c r="X374" i="50"/>
  <c r="O193" i="40"/>
  <c r="O195" i="52"/>
  <c r="O205" i="40"/>
  <c r="O191" i="40"/>
  <c r="O193" i="52"/>
  <c r="O190" i="40"/>
  <c r="O192" i="52"/>
  <c r="O189" i="40"/>
  <c r="O191" i="52"/>
  <c r="O183" i="40"/>
  <c r="O194" i="40"/>
  <c r="O196" i="52"/>
  <c r="O192" i="40"/>
  <c r="O194" i="52"/>
  <c r="O195" i="40"/>
  <c r="O197" i="52"/>
  <c r="O197" i="40"/>
  <c r="O199" i="52"/>
  <c r="O104" i="52"/>
  <c r="O104" i="40"/>
  <c r="O105" i="52"/>
  <c r="M83" i="40"/>
  <c r="M84" i="52"/>
  <c r="M83" i="52"/>
  <c r="P182" i="40"/>
  <c r="P179" i="40"/>
  <c r="P180" i="40"/>
  <c r="P170" i="52"/>
  <c r="J83" i="52"/>
  <c r="J83" i="40"/>
  <c r="J84" i="52"/>
  <c r="T168" i="41"/>
  <c r="T177" i="41"/>
  <c r="W379" i="40"/>
  <c r="W382" i="52"/>
  <c r="W371" i="40"/>
  <c r="X359" i="40"/>
  <c r="R239" i="52"/>
  <c r="Q240" i="52"/>
  <c r="U8" i="50"/>
  <c r="V7" i="38"/>
  <c r="U2" i="38"/>
  <c r="U8" i="38"/>
  <c r="U3" i="38"/>
  <c r="U3" i="50"/>
  <c r="U6" i="38"/>
  <c r="L104" i="40"/>
  <c r="L105" i="52"/>
  <c r="L104" i="52"/>
  <c r="V79" i="41"/>
  <c r="V80" i="53"/>
  <c r="V171" i="41"/>
  <c r="V175" i="41"/>
  <c r="V176" i="53"/>
  <c r="V239" i="41"/>
  <c r="V242" i="53"/>
  <c r="V100" i="41"/>
  <c r="V101" i="53"/>
  <c r="V2" i="53"/>
  <c r="V58" i="41"/>
  <c r="V59" i="53"/>
  <c r="S250" i="53"/>
  <c r="G34" i="32"/>
  <c r="R67" i="50"/>
  <c r="Q108" i="40"/>
  <c r="R97" i="40"/>
  <c r="Q98" i="40"/>
  <c r="T97" i="41"/>
  <c r="S108" i="41"/>
  <c r="S98" i="41"/>
  <c r="S2" i="52"/>
  <c r="S58" i="40"/>
  <c r="S59" i="52"/>
  <c r="S171" i="40"/>
  <c r="S79" i="40"/>
  <c r="S80" i="52"/>
  <c r="S175" i="40"/>
  <c r="S176" i="52"/>
  <c r="T2" i="40"/>
  <c r="S239" i="40"/>
  <c r="S242" i="52"/>
  <c r="S100" i="40"/>
  <c r="S101" i="52"/>
  <c r="L83" i="52"/>
  <c r="L83" i="40"/>
  <c r="L84" i="52"/>
  <c r="X28" i="54"/>
  <c r="W30" i="54"/>
  <c r="U173" i="41"/>
  <c r="U176" i="41"/>
  <c r="U172" i="53"/>
  <c r="U174" i="53"/>
  <c r="T97" i="38"/>
  <c r="S108" i="38"/>
  <c r="V80" i="41"/>
  <c r="U81" i="53"/>
  <c r="P33" i="53"/>
  <c r="H104" i="40"/>
  <c r="H105" i="52"/>
  <c r="H104" i="52"/>
  <c r="U120" i="41"/>
  <c r="N43" i="40"/>
  <c r="P186" i="40"/>
  <c r="P178" i="52"/>
  <c r="P9" i="38"/>
  <c r="N46" i="52"/>
  <c r="W8" i="41"/>
  <c r="W2" i="41"/>
  <c r="W8" i="53"/>
  <c r="X7" i="41"/>
  <c r="W6" i="41"/>
  <c r="W3" i="41"/>
  <c r="W3" i="53"/>
  <c r="X374" i="53"/>
  <c r="Y362" i="53"/>
  <c r="S88" i="50"/>
  <c r="O36" i="52"/>
  <c r="P33" i="52"/>
  <c r="T239" i="53"/>
  <c r="P187" i="50"/>
  <c r="N184" i="52"/>
  <c r="N208" i="52"/>
  <c r="T177" i="53"/>
  <c r="W30" i="38"/>
  <c r="V31" i="38"/>
  <c r="U22" i="54"/>
  <c r="T24" i="54"/>
  <c r="T32" i="54"/>
  <c r="T33" i="54"/>
  <c r="R326" i="53"/>
  <c r="R320" i="53"/>
  <c r="R331" i="53"/>
  <c r="H334" i="52"/>
  <c r="S120" i="38"/>
  <c r="T121" i="53"/>
  <c r="O10" i="53"/>
  <c r="O187" i="52"/>
  <c r="Q237" i="50"/>
  <c r="Q258" i="50"/>
  <c r="O83" i="40"/>
  <c r="O84" i="52"/>
  <c r="O83" i="52"/>
  <c r="O33" i="40"/>
  <c r="O42" i="40"/>
  <c r="O43" i="52"/>
  <c r="O45" i="40"/>
  <c r="O35" i="52"/>
  <c r="O34" i="52"/>
  <c r="H334" i="50"/>
  <c r="K104" i="40"/>
  <c r="K105" i="52"/>
  <c r="K104" i="52"/>
  <c r="N44" i="52"/>
  <c r="M104" i="52"/>
  <c r="M104" i="40"/>
  <c r="M105" i="52"/>
  <c r="R187" i="53"/>
  <c r="O10" i="50"/>
  <c r="T175" i="38"/>
  <c r="T176" i="50"/>
  <c r="T171" i="38"/>
  <c r="T2" i="50"/>
  <c r="T239" i="38"/>
  <c r="T242" i="50"/>
  <c r="T58" i="38"/>
  <c r="T59" i="50"/>
  <c r="T100" i="38"/>
  <c r="T101" i="50"/>
  <c r="T79" i="38"/>
  <c r="T80" i="50"/>
  <c r="V1" i="42"/>
  <c r="W2" i="42"/>
  <c r="V47" i="42"/>
  <c r="I104" i="52"/>
  <c r="I104" i="40"/>
  <c r="I105" i="52"/>
  <c r="R177" i="38"/>
  <c r="R177" i="50"/>
  <c r="V399" i="38"/>
  <c r="U411" i="38"/>
  <c r="U419" i="38"/>
  <c r="U422" i="50"/>
  <c r="R433" i="40"/>
  <c r="R436" i="52"/>
  <c r="I99" i="53"/>
  <c r="F103" i="41"/>
  <c r="F99" i="53"/>
  <c r="R433" i="41"/>
  <c r="R436" i="53"/>
  <c r="M99" i="53"/>
  <c r="M103" i="41"/>
  <c r="H103" i="41"/>
  <c r="H99" i="53"/>
  <c r="G103" i="41"/>
  <c r="G99" i="53"/>
  <c r="O103" i="41"/>
  <c r="O99" i="53"/>
  <c r="L103" i="41"/>
  <c r="L99" i="53"/>
  <c r="U329" i="50"/>
  <c r="I104" i="41"/>
  <c r="I105" i="53"/>
  <c r="J99" i="53"/>
  <c r="J103" i="41"/>
  <c r="P103" i="41"/>
  <c r="P99" i="53"/>
  <c r="N99" i="53"/>
  <c r="N103" i="41"/>
  <c r="Q103" i="41"/>
  <c r="Q99" i="53"/>
  <c r="K103" i="41"/>
  <c r="K99" i="53"/>
  <c r="S385" i="41"/>
  <c r="S388" i="53"/>
  <c r="S375" i="41"/>
  <c r="S378" i="53"/>
  <c r="S374" i="41"/>
  <c r="S377" i="53"/>
  <c r="S391" i="41"/>
  <c r="S394" i="41"/>
  <c r="S397" i="41"/>
  <c r="S390" i="41"/>
  <c r="X117" i="38"/>
  <c r="Y116" i="38"/>
  <c r="U338" i="41"/>
  <c r="T357" i="41"/>
  <c r="R431" i="41"/>
  <c r="R434" i="53"/>
  <c r="R394" i="53"/>
  <c r="W124" i="40"/>
  <c r="V125" i="52"/>
  <c r="R415" i="41"/>
  <c r="R418" i="53"/>
  <c r="R425" i="41"/>
  <c r="R428" i="53"/>
  <c r="R430" i="41"/>
  <c r="R434" i="41"/>
  <c r="R414" i="41"/>
  <c r="R417" i="53"/>
  <c r="Q403" i="41"/>
  <c r="Q433" i="53"/>
  <c r="V328" i="38"/>
  <c r="V317" i="38"/>
  <c r="V323" i="38"/>
  <c r="W294" i="38"/>
  <c r="R363" i="41"/>
  <c r="R393" i="53"/>
  <c r="P416" i="41"/>
  <c r="P419" i="53"/>
  <c r="P406" i="53"/>
  <c r="Q406" i="41"/>
  <c r="Q409" i="53"/>
  <c r="Q437" i="53"/>
  <c r="R366" i="41"/>
  <c r="R369" i="53"/>
  <c r="R397" i="53"/>
  <c r="Z59" i="38"/>
  <c r="Z60" i="50"/>
  <c r="Y60" i="50"/>
  <c r="Q376" i="41"/>
  <c r="Q379" i="53"/>
  <c r="Q366" i="53"/>
  <c r="W118" i="50"/>
  <c r="Q61" i="38"/>
  <c r="Q57" i="50"/>
  <c r="T318" i="52"/>
  <c r="T341" i="52"/>
  <c r="T360" i="52"/>
  <c r="T400" i="52"/>
  <c r="T297" i="52"/>
  <c r="S160" i="53"/>
  <c r="O56" i="38"/>
  <c r="S331" i="52"/>
  <c r="S320" i="52"/>
  <c r="S326" i="52"/>
  <c r="Y55" i="50"/>
  <c r="Y56" i="50"/>
  <c r="Z55" i="50"/>
  <c r="Z56" i="50"/>
  <c r="R56" i="38"/>
  <c r="N56" i="38"/>
  <c r="V54" i="52"/>
  <c r="V165" i="52"/>
  <c r="V75" i="52"/>
  <c r="V96" i="52"/>
  <c r="V117" i="52"/>
  <c r="V141" i="52"/>
  <c r="V31" i="52"/>
  <c r="J56" i="38"/>
  <c r="S38" i="54"/>
  <c r="S69" i="54"/>
  <c r="S41" i="54"/>
  <c r="V74" i="41"/>
  <c r="U75" i="41"/>
  <c r="U76" i="53"/>
  <c r="U77" i="53"/>
  <c r="S56" i="38"/>
  <c r="S276" i="52"/>
  <c r="Y101" i="41"/>
  <c r="X102" i="53"/>
  <c r="U235" i="52"/>
  <c r="U287" i="52"/>
  <c r="U285" i="52"/>
  <c r="U213" i="52"/>
  <c r="U167" i="52"/>
  <c r="W101" i="38"/>
  <c r="V102" i="50"/>
  <c r="U326" i="38"/>
  <c r="S231" i="52"/>
  <c r="S87" i="41"/>
  <c r="S88" i="53"/>
  <c r="T76" i="41"/>
  <c r="U247" i="38"/>
  <c r="U250" i="50"/>
  <c r="V236" i="38"/>
  <c r="V231" i="50"/>
  <c r="R326" i="41"/>
  <c r="X8" i="52"/>
  <c r="Y7" i="40"/>
  <c r="X6" i="40"/>
  <c r="X8" i="40"/>
  <c r="X9" i="52"/>
  <c r="R57" i="54"/>
  <c r="R62" i="54"/>
  <c r="R63" i="54"/>
  <c r="R60" i="54"/>
  <c r="P56" i="38"/>
  <c r="G56" i="38"/>
  <c r="F56" i="38"/>
  <c r="K56" i="38"/>
  <c r="H56" i="38"/>
  <c r="I56" i="38"/>
  <c r="L56" i="38"/>
  <c r="T121" i="41"/>
  <c r="S231" i="53"/>
  <c r="R329" i="53"/>
  <c r="M56" i="38"/>
  <c r="W7" i="52"/>
  <c r="W6" i="52"/>
  <c r="U6" i="47"/>
  <c r="U4" i="47"/>
  <c r="J39" i="47"/>
  <c r="U7" i="47"/>
  <c r="J42" i="47"/>
  <c r="U5" i="47"/>
  <c r="J40" i="47"/>
  <c r="T21" i="54"/>
  <c r="V3" i="47"/>
  <c r="R121" i="41"/>
  <c r="P121" i="41"/>
  <c r="H121" i="41"/>
  <c r="G121" i="41"/>
  <c r="Y118" i="53"/>
  <c r="J122" i="53"/>
  <c r="M121" i="41"/>
  <c r="L121" i="41"/>
  <c r="I121" i="41"/>
  <c r="Q121" i="41"/>
  <c r="J121" i="41"/>
  <c r="F121" i="41"/>
  <c r="N121" i="41"/>
  <c r="S121" i="41"/>
  <c r="K121" i="41"/>
  <c r="O121" i="41"/>
  <c r="W15" i="41"/>
  <c r="V16" i="53"/>
  <c r="W235" i="38"/>
  <c r="W238" i="50"/>
  <c r="X234" i="38"/>
  <c r="T258" i="52"/>
  <c r="T237" i="52"/>
  <c r="W288" i="50"/>
  <c r="W329" i="38"/>
  <c r="X240" i="41"/>
  <c r="W243" i="53"/>
  <c r="W335" i="41"/>
  <c r="W338" i="53"/>
  <c r="W294" i="53"/>
  <c r="U295" i="52"/>
  <c r="W290" i="50"/>
  <c r="W331" i="38"/>
  <c r="T434" i="38"/>
  <c r="T414" i="38"/>
  <c r="T417" i="50"/>
  <c r="T430" i="38"/>
  <c r="T415" i="38"/>
  <c r="T418" i="50"/>
  <c r="T425" i="38"/>
  <c r="T428" i="50"/>
  <c r="V329" i="40"/>
  <c r="V292" i="40"/>
  <c r="V288" i="52"/>
  <c r="S325" i="40"/>
  <c r="S328" i="52"/>
  <c r="S158" i="52"/>
  <c r="S160" i="52"/>
  <c r="T265" i="41"/>
  <c r="T268" i="53"/>
  <c r="T260" i="53"/>
  <c r="T368" i="53"/>
  <c r="T393" i="41"/>
  <c r="T396" i="53"/>
  <c r="T378" i="41"/>
  <c r="T381" i="53"/>
  <c r="T157" i="41"/>
  <c r="T158" i="53"/>
  <c r="T156" i="53"/>
  <c r="T160" i="53"/>
  <c r="T159" i="41"/>
  <c r="S437" i="52"/>
  <c r="S406" i="40"/>
  <c r="S409" i="52"/>
  <c r="Y39" i="50"/>
  <c r="Z38" i="38"/>
  <c r="Z39" i="50"/>
  <c r="S327" i="52"/>
  <c r="V274" i="50"/>
  <c r="V276" i="50"/>
  <c r="V325" i="38"/>
  <c r="V328" i="50"/>
  <c r="V38" i="53"/>
  <c r="W37" i="41"/>
  <c r="S366" i="52"/>
  <c r="S376" i="40"/>
  <c r="S379" i="52"/>
  <c r="X288" i="41"/>
  <c r="X289" i="41"/>
  <c r="X292" i="53"/>
  <c r="Y284" i="41"/>
  <c r="X287" i="41"/>
  <c r="X286" i="41"/>
  <c r="X291" i="41"/>
  <c r="X285" i="41"/>
  <c r="X290" i="41"/>
  <c r="B27" i="35"/>
  <c r="C26" i="35"/>
  <c r="U339" i="50"/>
  <c r="S433" i="50"/>
  <c r="S403" i="38"/>
  <c r="T157" i="40"/>
  <c r="T158" i="52"/>
  <c r="T156" i="52"/>
  <c r="T418" i="40"/>
  <c r="T421" i="52"/>
  <c r="T408" i="52"/>
  <c r="W124" i="41"/>
  <c r="V125" i="53"/>
  <c r="W265" i="38"/>
  <c r="W268" i="50"/>
  <c r="W260" i="50"/>
  <c r="W226" i="38"/>
  <c r="W229" i="50"/>
  <c r="W228" i="50"/>
  <c r="W231" i="50"/>
  <c r="X275" i="38"/>
  <c r="X365" i="38"/>
  <c r="X142" i="38"/>
  <c r="X162" i="38"/>
  <c r="X163" i="50"/>
  <c r="X350" i="38"/>
  <c r="X353" i="50"/>
  <c r="X404" i="38"/>
  <c r="X405" i="38"/>
  <c r="X156" i="38"/>
  <c r="X157" i="50"/>
  <c r="X270" i="38"/>
  <c r="X257" i="38"/>
  <c r="Y140" i="38"/>
  <c r="X225" i="38"/>
  <c r="X212" i="38"/>
  <c r="X230" i="38"/>
  <c r="X233" i="50"/>
  <c r="X364" i="38"/>
  <c r="X272" i="38"/>
  <c r="X275" i="50"/>
  <c r="X155" i="38"/>
  <c r="X227" i="38"/>
  <c r="X230" i="50"/>
  <c r="X158" i="38"/>
  <c r="X159" i="50"/>
  <c r="V335" i="40"/>
  <c r="V338" i="52"/>
  <c r="V294" i="52"/>
  <c r="V334" i="53"/>
  <c r="T228" i="53"/>
  <c r="T226" i="41"/>
  <c r="T229" i="53"/>
  <c r="W123" i="38"/>
  <c r="V124" i="50"/>
  <c r="X102" i="52"/>
  <c r="Y101" i="40"/>
  <c r="W123" i="40"/>
  <c r="V124" i="52"/>
  <c r="W332" i="41"/>
  <c r="W335" i="53"/>
  <c r="W291" i="53"/>
  <c r="U332" i="52"/>
  <c r="U339" i="52"/>
  <c r="U336" i="40"/>
  <c r="U375" i="38"/>
  <c r="U378" i="50"/>
  <c r="U390" i="38"/>
  <c r="U391" i="38"/>
  <c r="U394" i="38"/>
  <c r="U374" i="38"/>
  <c r="U377" i="50"/>
  <c r="U385" i="38"/>
  <c r="U388" i="50"/>
  <c r="U397" i="38"/>
  <c r="T414" i="40"/>
  <c r="T417" i="52"/>
  <c r="T415" i="40"/>
  <c r="T418" i="52"/>
  <c r="T430" i="40"/>
  <c r="T434" i="40"/>
  <c r="T425" i="40"/>
  <c r="T428" i="52"/>
  <c r="V294" i="40"/>
  <c r="U328" i="40"/>
  <c r="U317" i="40"/>
  <c r="U323" i="40"/>
  <c r="V16" i="50"/>
  <c r="W15" i="38"/>
  <c r="W292" i="38"/>
  <c r="W330" i="38"/>
  <c r="W289" i="50"/>
  <c r="V173" i="52"/>
  <c r="W172" i="40"/>
  <c r="X290" i="38"/>
  <c r="X287" i="38"/>
  <c r="X285" i="38"/>
  <c r="Y284" i="38"/>
  <c r="X286" i="38"/>
  <c r="X291" i="38"/>
  <c r="X289" i="38"/>
  <c r="X292" i="50"/>
  <c r="X288" i="38"/>
  <c r="S327" i="53"/>
  <c r="T366" i="38"/>
  <c r="T369" i="50"/>
  <c r="T397" i="50"/>
  <c r="V291" i="52"/>
  <c r="V332" i="40"/>
  <c r="V335" i="52"/>
  <c r="T273" i="53"/>
  <c r="T271" i="41"/>
  <c r="T273" i="41"/>
  <c r="T324" i="41"/>
  <c r="T366" i="40"/>
  <c r="T369" i="52"/>
  <c r="T397" i="52"/>
  <c r="V228" i="38"/>
  <c r="U168" i="50"/>
  <c r="U169" i="50"/>
  <c r="V159" i="38"/>
  <c r="W14" i="40"/>
  <c r="V15" i="52"/>
  <c r="W243" i="50"/>
  <c r="X240" i="38"/>
  <c r="R416" i="38"/>
  <c r="R419" i="50"/>
  <c r="R406" i="50"/>
  <c r="W329" i="41"/>
  <c r="W288" i="53"/>
  <c r="W292" i="41"/>
  <c r="U168" i="38"/>
  <c r="W15" i="40"/>
  <c r="V16" i="52"/>
  <c r="V295" i="50"/>
  <c r="T273" i="52"/>
  <c r="T271" i="40"/>
  <c r="T273" i="40"/>
  <c r="T324" i="40"/>
  <c r="U225" i="40"/>
  <c r="U230" i="40"/>
  <c r="U233" i="52"/>
  <c r="U275" i="40"/>
  <c r="U364" i="40"/>
  <c r="U212" i="40"/>
  <c r="U365" i="40"/>
  <c r="U350" i="40"/>
  <c r="U353" i="52"/>
  <c r="U155" i="40"/>
  <c r="U257" i="40"/>
  <c r="U158" i="40"/>
  <c r="U159" i="52"/>
  <c r="U405" i="40"/>
  <c r="U272" i="40"/>
  <c r="U275" i="52"/>
  <c r="U227" i="40"/>
  <c r="U230" i="52"/>
  <c r="U404" i="40"/>
  <c r="U270" i="40"/>
  <c r="U156" i="40"/>
  <c r="U157" i="52"/>
  <c r="U162" i="40"/>
  <c r="U163" i="52"/>
  <c r="V140" i="40"/>
  <c r="U142" i="40"/>
  <c r="V53" i="41"/>
  <c r="U54" i="41"/>
  <c r="W367" i="50"/>
  <c r="W377" i="38"/>
  <c r="W380" i="50"/>
  <c r="W392" i="38"/>
  <c r="W395" i="50"/>
  <c r="W156" i="50"/>
  <c r="W157" i="38"/>
  <c r="W158" i="50"/>
  <c r="W159" i="38"/>
  <c r="T407" i="53"/>
  <c r="T432" i="41"/>
  <c r="T435" i="53"/>
  <c r="T417" i="41"/>
  <c r="T420" i="53"/>
  <c r="W80" i="40"/>
  <c r="V81" i="52"/>
  <c r="W368" i="50"/>
  <c r="W378" i="38"/>
  <c r="W381" i="50"/>
  <c r="W393" i="38"/>
  <c r="W396" i="50"/>
  <c r="S66" i="41"/>
  <c r="S67" i="53"/>
  <c r="T55" i="41"/>
  <c r="W38" i="40"/>
  <c r="V39" i="52"/>
  <c r="V290" i="52"/>
  <c r="V331" i="40"/>
  <c r="V334" i="52"/>
  <c r="T220" i="41"/>
  <c r="T223" i="53"/>
  <c r="T215" i="53"/>
  <c r="X38" i="50"/>
  <c r="Y37" i="38"/>
  <c r="W334" i="38"/>
  <c r="W337" i="50"/>
  <c r="W293" i="50"/>
  <c r="R326" i="40"/>
  <c r="S274" i="53"/>
  <c r="S276" i="53"/>
  <c r="S325" i="41"/>
  <c r="S328" i="53"/>
  <c r="S329" i="53"/>
  <c r="U433" i="38"/>
  <c r="U436" i="50"/>
  <c r="T431" i="38"/>
  <c r="T434" i="50"/>
  <c r="T394" i="50"/>
  <c r="V289" i="52"/>
  <c r="V330" i="40"/>
  <c r="V333" i="52"/>
  <c r="U364" i="41"/>
  <c r="U212" i="41"/>
  <c r="U162" i="41"/>
  <c r="U163" i="53"/>
  <c r="U142" i="41"/>
  <c r="V140" i="41"/>
  <c r="U404" i="41"/>
  <c r="U405" i="41"/>
  <c r="U158" i="41"/>
  <c r="U159" i="53"/>
  <c r="U230" i="41"/>
  <c r="U233" i="53"/>
  <c r="U227" i="41"/>
  <c r="U230" i="53"/>
  <c r="U257" i="41"/>
  <c r="U225" i="41"/>
  <c r="U156" i="41"/>
  <c r="U157" i="53"/>
  <c r="U272" i="41"/>
  <c r="U275" i="53"/>
  <c r="U275" i="41"/>
  <c r="U155" i="41"/>
  <c r="U350" i="41"/>
  <c r="U353" i="53"/>
  <c r="U270" i="41"/>
  <c r="U365" i="41"/>
  <c r="T143" i="53"/>
  <c r="T150" i="41"/>
  <c r="T151" i="53"/>
  <c r="S228" i="41"/>
  <c r="V167" i="38"/>
  <c r="W166" i="38"/>
  <c r="V160" i="50"/>
  <c r="W76" i="50"/>
  <c r="W77" i="50"/>
  <c r="W39" i="53"/>
  <c r="X38" i="41"/>
  <c r="W14" i="41"/>
  <c r="V15" i="53"/>
  <c r="W330" i="41"/>
  <c r="W333" i="53"/>
  <c r="W289" i="53"/>
  <c r="V295" i="53"/>
  <c r="S406" i="38"/>
  <c r="S409" i="50"/>
  <c r="S437" i="50"/>
  <c r="T220" i="40"/>
  <c r="T223" i="52"/>
  <c r="T215" i="52"/>
  <c r="T55" i="53"/>
  <c r="T56" i="53"/>
  <c r="W417" i="38"/>
  <c r="W420" i="50"/>
  <c r="W432" i="38"/>
  <c r="W435" i="50"/>
  <c r="W407" i="50"/>
  <c r="W418" i="38"/>
  <c r="W421" i="50"/>
  <c r="W408" i="50"/>
  <c r="W80" i="38"/>
  <c r="V81" i="50"/>
  <c r="W332" i="38"/>
  <c r="W335" i="50"/>
  <c r="W291" i="50"/>
  <c r="T393" i="50"/>
  <c r="T363" i="38"/>
  <c r="W288" i="40"/>
  <c r="W285" i="40"/>
  <c r="W291" i="40"/>
  <c r="W287" i="40"/>
  <c r="W290" i="40"/>
  <c r="W286" i="40"/>
  <c r="W289" i="40"/>
  <c r="W292" i="52"/>
  <c r="X284" i="40"/>
  <c r="S376" i="38"/>
  <c r="S379" i="50"/>
  <c r="S366" i="50"/>
  <c r="T394" i="52"/>
  <c r="T431" i="40"/>
  <c r="T434" i="52"/>
  <c r="R406" i="52"/>
  <c r="R416" i="40"/>
  <c r="R419" i="52"/>
  <c r="W173" i="53"/>
  <c r="X172" i="41"/>
  <c r="X166" i="41"/>
  <c r="W167" i="41"/>
  <c r="W168" i="53"/>
  <c r="W169" i="53"/>
  <c r="V243" i="52"/>
  <c r="W240" i="40"/>
  <c r="X123" i="41"/>
  <c r="W124" i="53"/>
  <c r="X75" i="38"/>
  <c r="Y74" i="38"/>
  <c r="W31" i="41"/>
  <c r="X30" i="41"/>
  <c r="W290" i="53"/>
  <c r="W331" i="41"/>
  <c r="W334" i="53"/>
  <c r="T265" i="40"/>
  <c r="T268" i="52"/>
  <c r="T260" i="52"/>
  <c r="T368" i="52"/>
  <c r="T378" i="40"/>
  <c r="T381" i="52"/>
  <c r="T393" i="40"/>
  <c r="T396" i="52"/>
  <c r="W14" i="38"/>
  <c r="V15" i="50"/>
  <c r="W150" i="38"/>
  <c r="W151" i="50"/>
  <c r="W143" i="50"/>
  <c r="Q121" i="40"/>
  <c r="Q126" i="40"/>
  <c r="W335" i="38"/>
  <c r="W338" i="50"/>
  <c r="W294" i="50"/>
  <c r="V357" i="40"/>
  <c r="W338" i="40"/>
  <c r="T377" i="41"/>
  <c r="T380" i="53"/>
  <c r="T367" i="53"/>
  <c r="T392" i="41"/>
  <c r="T395" i="53"/>
  <c r="S403" i="40"/>
  <c r="S433" i="52"/>
  <c r="T363" i="40"/>
  <c r="T393" i="52"/>
  <c r="W37" i="40"/>
  <c r="V38" i="52"/>
  <c r="S273" i="40"/>
  <c r="S159" i="41"/>
  <c r="S228" i="40"/>
  <c r="V32" i="53"/>
  <c r="V332" i="53"/>
  <c r="V336" i="41"/>
  <c r="T143" i="52"/>
  <c r="T150" i="40"/>
  <c r="T151" i="52"/>
  <c r="W125" i="50"/>
  <c r="X124" i="38"/>
  <c r="W220" i="38"/>
  <c r="W223" i="50"/>
  <c r="W215" i="50"/>
  <c r="W273" i="50"/>
  <c r="W271" i="38"/>
  <c r="W273" i="38"/>
  <c r="W324" i="38"/>
  <c r="T407" i="52"/>
  <c r="T432" i="40"/>
  <c r="T435" i="52"/>
  <c r="T417" i="40"/>
  <c r="T420" i="52"/>
  <c r="W338" i="38"/>
  <c r="V357" i="38"/>
  <c r="U397" i="40"/>
  <c r="U385" i="40"/>
  <c r="U388" i="52"/>
  <c r="U390" i="40"/>
  <c r="U375" i="40"/>
  <c r="U378" i="52"/>
  <c r="U394" i="40"/>
  <c r="U374" i="40"/>
  <c r="U377" i="52"/>
  <c r="U391" i="40"/>
  <c r="V334" i="40"/>
  <c r="V337" i="52"/>
  <c r="V293" i="52"/>
  <c r="R329" i="52"/>
  <c r="T408" i="53"/>
  <c r="T418" i="41"/>
  <c r="T421" i="53"/>
  <c r="T278" i="53"/>
  <c r="T280" i="53"/>
  <c r="T311" i="53"/>
  <c r="T277" i="41"/>
  <c r="T308" i="41"/>
  <c r="V332" i="50"/>
  <c r="V336" i="38"/>
  <c r="V327" i="50"/>
  <c r="V329" i="50"/>
  <c r="W172" i="38"/>
  <c r="V173" i="50"/>
  <c r="W334" i="41"/>
  <c r="W337" i="53"/>
  <c r="W293" i="53"/>
  <c r="T278" i="52"/>
  <c r="T280" i="52"/>
  <c r="T311" i="52"/>
  <c r="T277" i="40"/>
  <c r="T308" i="40"/>
  <c r="T377" i="40"/>
  <c r="T380" i="52"/>
  <c r="T367" i="52"/>
  <c r="T392" i="40"/>
  <c r="T395" i="52"/>
  <c r="T228" i="52"/>
  <c r="T226" i="40"/>
  <c r="T229" i="52"/>
  <c r="W278" i="50"/>
  <c r="W280" i="50"/>
  <c r="W311" i="50"/>
  <c r="W277" i="38"/>
  <c r="W308" i="38"/>
  <c r="Q34" i="32"/>
  <c r="P34" i="32"/>
  <c r="O181" i="52"/>
  <c r="Q33" i="52"/>
  <c r="P36" i="52"/>
  <c r="T239" i="40"/>
  <c r="T242" i="52"/>
  <c r="T79" i="40"/>
  <c r="T80" i="52"/>
  <c r="T58" i="40"/>
  <c r="T59" i="52"/>
  <c r="T175" i="40"/>
  <c r="T176" i="52"/>
  <c r="T2" i="52"/>
  <c r="T171" i="40"/>
  <c r="T100" i="40"/>
  <c r="T101" i="52"/>
  <c r="U2" i="40"/>
  <c r="U97" i="41"/>
  <c r="T108" i="41"/>
  <c r="T98" i="41"/>
  <c r="Q109" i="52"/>
  <c r="V172" i="53"/>
  <c r="V174" i="53"/>
  <c r="V173" i="41"/>
  <c r="V176" i="41"/>
  <c r="U9" i="50"/>
  <c r="Z118" i="52"/>
  <c r="G121" i="40"/>
  <c r="F121" i="40"/>
  <c r="H121" i="40"/>
  <c r="I121" i="40"/>
  <c r="L121" i="40"/>
  <c r="J121" i="40"/>
  <c r="R87" i="40"/>
  <c r="S76" i="40"/>
  <c r="R77" i="40"/>
  <c r="T297" i="53"/>
  <c r="T318" i="53"/>
  <c r="T341" i="53"/>
  <c r="T360" i="53"/>
  <c r="T400" i="53"/>
  <c r="S177" i="38"/>
  <c r="S177" i="50"/>
  <c r="H293" i="53"/>
  <c r="H334" i="41"/>
  <c r="H337" i="53"/>
  <c r="S9" i="40"/>
  <c r="S121" i="50"/>
  <c r="S3" i="52"/>
  <c r="T3" i="40"/>
  <c r="O44" i="52"/>
  <c r="V317" i="41"/>
  <c r="V323" i="41"/>
  <c r="V328" i="41"/>
  <c r="W294" i="41"/>
  <c r="R237" i="50"/>
  <c r="R258" i="50"/>
  <c r="O46" i="52"/>
  <c r="T120" i="38"/>
  <c r="W6" i="53"/>
  <c r="W7" i="53"/>
  <c r="W80" i="41"/>
  <c r="V81" i="53"/>
  <c r="V8" i="50"/>
  <c r="V6" i="38"/>
  <c r="W7" i="38"/>
  <c r="V2" i="38"/>
  <c r="V3" i="38"/>
  <c r="V3" i="50"/>
  <c r="V8" i="38"/>
  <c r="P187" i="40"/>
  <c r="P180" i="52"/>
  <c r="P188" i="52"/>
  <c r="U97" i="50"/>
  <c r="U98" i="50"/>
  <c r="T88" i="50"/>
  <c r="R32" i="41"/>
  <c r="Q243" i="40"/>
  <c r="Q246" i="52"/>
  <c r="Q245" i="52"/>
  <c r="Y60" i="52"/>
  <c r="Z59" i="40"/>
  <c r="Z60" i="52"/>
  <c r="P62" i="52"/>
  <c r="P62" i="40"/>
  <c r="P63" i="52"/>
  <c r="Q326" i="50"/>
  <c r="Q320" i="50"/>
  <c r="Q331" i="50"/>
  <c r="Q9" i="41"/>
  <c r="S10" i="52"/>
  <c r="Q88" i="52"/>
  <c r="X402" i="50"/>
  <c r="W414" i="50"/>
  <c r="P10" i="50"/>
  <c r="V22" i="54"/>
  <c r="U24" i="54"/>
  <c r="U32" i="54"/>
  <c r="U33" i="54"/>
  <c r="W2" i="53"/>
  <c r="W175" i="41"/>
  <c r="W176" i="53"/>
  <c r="W239" i="41"/>
  <c r="W242" i="53"/>
  <c r="W58" i="41"/>
  <c r="W59" i="53"/>
  <c r="W79" i="41"/>
  <c r="W80" i="53"/>
  <c r="W100" i="41"/>
  <c r="W101" i="53"/>
  <c r="W171" i="41"/>
  <c r="P187" i="52"/>
  <c r="Y28" i="54"/>
  <c r="X30" i="54"/>
  <c r="S173" i="40"/>
  <c r="S176" i="40"/>
  <c r="S172" i="52"/>
  <c r="S174" i="52"/>
  <c r="U7" i="50"/>
  <c r="U6" i="50"/>
  <c r="P199" i="40"/>
  <c r="P183" i="52"/>
  <c r="P202" i="52"/>
  <c r="Q57" i="52"/>
  <c r="Q61" i="40"/>
  <c r="W95" i="38"/>
  <c r="V96" i="38"/>
  <c r="Q170" i="52"/>
  <c r="Q179" i="40"/>
  <c r="Q180" i="40"/>
  <c r="Q182" i="40"/>
  <c r="S121" i="52"/>
  <c r="Q250" i="52"/>
  <c r="V414" i="53"/>
  <c r="W402" i="53"/>
  <c r="Q187" i="50"/>
  <c r="U235" i="53"/>
  <c r="U287" i="53"/>
  <c r="U285" i="53"/>
  <c r="U213" i="53"/>
  <c r="U167" i="53"/>
  <c r="V75" i="53"/>
  <c r="V96" i="53"/>
  <c r="V117" i="53"/>
  <c r="V141" i="53"/>
  <c r="V54" i="53"/>
  <c r="V31" i="53"/>
  <c r="V165" i="53"/>
  <c r="AQ24" i="35"/>
  <c r="AI25" i="35"/>
  <c r="W47" i="42"/>
  <c r="W1" i="42"/>
  <c r="X2" i="42"/>
  <c r="G290" i="40"/>
  <c r="H290" i="40"/>
  <c r="S331" i="53"/>
  <c r="S326" i="53"/>
  <c r="S320" i="53"/>
  <c r="V32" i="50"/>
  <c r="T178" i="53"/>
  <c r="T186" i="41"/>
  <c r="Y374" i="53"/>
  <c r="Z362" i="53"/>
  <c r="Z374" i="53"/>
  <c r="W9" i="53"/>
  <c r="P189" i="40"/>
  <c r="P191" i="52"/>
  <c r="P205" i="40"/>
  <c r="P183" i="40"/>
  <c r="P194" i="40"/>
  <c r="P196" i="52"/>
  <c r="P190" i="40"/>
  <c r="P192" i="52"/>
  <c r="P195" i="40"/>
  <c r="P197" i="52"/>
  <c r="P192" i="40"/>
  <c r="P194" i="52"/>
  <c r="P193" i="40"/>
  <c r="P195" i="52"/>
  <c r="P197" i="40"/>
  <c r="P199" i="52"/>
  <c r="P191" i="40"/>
  <c r="P193" i="52"/>
  <c r="Q33" i="53"/>
  <c r="S109" i="50"/>
  <c r="S239" i="52"/>
  <c r="R240" i="52"/>
  <c r="U168" i="41"/>
  <c r="U177" i="41"/>
  <c r="Q67" i="52"/>
  <c r="P35" i="52"/>
  <c r="P34" i="52"/>
  <c r="P45" i="40"/>
  <c r="P42" i="40"/>
  <c r="P43" i="52"/>
  <c r="P33" i="40"/>
  <c r="S168" i="40"/>
  <c r="R169" i="40"/>
  <c r="R32" i="38"/>
  <c r="R247" i="40"/>
  <c r="S236" i="40"/>
  <c r="R237" i="40"/>
  <c r="R242" i="40"/>
  <c r="V238" i="53"/>
  <c r="Q40" i="40"/>
  <c r="Q34" i="40"/>
  <c r="X2" i="41"/>
  <c r="X8" i="53"/>
  <c r="X8" i="41"/>
  <c r="Y7" i="41"/>
  <c r="X6" i="41"/>
  <c r="X3" i="41"/>
  <c r="X3" i="53"/>
  <c r="H293" i="50"/>
  <c r="H334" i="38"/>
  <c r="H337" i="50"/>
  <c r="X30" i="38"/>
  <c r="W31" i="38"/>
  <c r="U97" i="38"/>
  <c r="T108" i="38"/>
  <c r="S213" i="50"/>
  <c r="S235" i="50"/>
  <c r="S287" i="50"/>
  <c r="S285" i="50"/>
  <c r="S167" i="50"/>
  <c r="S55" i="40"/>
  <c r="R66" i="40"/>
  <c r="R56" i="40"/>
  <c r="P41" i="52"/>
  <c r="P41" i="40"/>
  <c r="P42" i="52"/>
  <c r="S61" i="38"/>
  <c r="S57" i="50"/>
  <c r="J72" i="54"/>
  <c r="J75" i="54"/>
  <c r="K67" i="54"/>
  <c r="K70" i="54"/>
  <c r="Y374" i="52"/>
  <c r="Z362" i="52"/>
  <c r="Z374" i="52"/>
  <c r="O121" i="40"/>
  <c r="AB24" i="35"/>
  <c r="T25" i="35"/>
  <c r="S31" i="35"/>
  <c r="R32" i="35"/>
  <c r="T165" i="50"/>
  <c r="T54" i="50"/>
  <c r="T75" i="50"/>
  <c r="T96" i="50"/>
  <c r="T117" i="50"/>
  <c r="T141" i="50"/>
  <c r="T31" i="50"/>
  <c r="W235" i="41"/>
  <c r="X234" i="41"/>
  <c r="S32" i="40"/>
  <c r="R35" i="40"/>
  <c r="P104" i="52"/>
  <c r="P104" i="40"/>
  <c r="P105" i="52"/>
  <c r="X402" i="52"/>
  <c r="W414" i="52"/>
  <c r="R177" i="52"/>
  <c r="R177" i="40"/>
  <c r="R104" i="53"/>
  <c r="R104" i="41"/>
  <c r="R105" i="53"/>
  <c r="S187" i="53"/>
  <c r="U2" i="50"/>
  <c r="U175" i="38"/>
  <c r="U176" i="50"/>
  <c r="U58" i="38"/>
  <c r="U59" i="50"/>
  <c r="U171" i="38"/>
  <c r="U239" i="38"/>
  <c r="U242" i="50"/>
  <c r="U100" i="38"/>
  <c r="U101" i="50"/>
  <c r="U79" i="38"/>
  <c r="U80" i="50"/>
  <c r="M119" i="40"/>
  <c r="M126" i="40"/>
  <c r="Q178" i="52"/>
  <c r="Q186" i="40"/>
  <c r="P10" i="53"/>
  <c r="U121" i="53"/>
  <c r="T122" i="53"/>
  <c r="T126" i="41"/>
  <c r="T119" i="41"/>
  <c r="S99" i="53"/>
  <c r="S103" i="41"/>
  <c r="Q99" i="52"/>
  <c r="Q103" i="40"/>
  <c r="F34" i="32"/>
  <c r="AH56" i="32"/>
  <c r="Z362" i="50"/>
  <c r="Z374" i="50"/>
  <c r="Y374" i="50"/>
  <c r="R318" i="50"/>
  <c r="R341" i="50"/>
  <c r="R360" i="50"/>
  <c r="R400" i="50"/>
  <c r="R297" i="50"/>
  <c r="T66" i="38"/>
  <c r="U55" i="38"/>
  <c r="T56" i="38"/>
  <c r="AB27" i="54"/>
  <c r="W239" i="50"/>
  <c r="T250" i="53"/>
  <c r="P83" i="40"/>
  <c r="P84" i="52"/>
  <c r="P83" i="52"/>
  <c r="R121" i="40"/>
  <c r="S120" i="40"/>
  <c r="Q33" i="50"/>
  <c r="O43" i="40"/>
  <c r="V76" i="38"/>
  <c r="U87" i="38"/>
  <c r="W399" i="38"/>
  <c r="V411" i="38"/>
  <c r="V419" i="38"/>
  <c r="V422" i="50"/>
  <c r="R178" i="50"/>
  <c r="R186" i="38"/>
  <c r="T173" i="38"/>
  <c r="T176" i="38"/>
  <c r="T172" i="50"/>
  <c r="T174" i="50"/>
  <c r="O189" i="52"/>
  <c r="U239" i="53"/>
  <c r="Q9" i="38"/>
  <c r="V120" i="41"/>
  <c r="U121" i="41"/>
  <c r="U177" i="53"/>
  <c r="S109" i="53"/>
  <c r="S97" i="40"/>
  <c r="R108" i="40"/>
  <c r="R98" i="40"/>
  <c r="X371" i="40"/>
  <c r="Y359" i="40"/>
  <c r="X379" i="40"/>
  <c r="X382" i="52"/>
  <c r="S67" i="50"/>
  <c r="Y118" i="52"/>
  <c r="P122" i="52"/>
  <c r="P121" i="40"/>
  <c r="N121" i="40"/>
  <c r="K121" i="40"/>
  <c r="Q82" i="40"/>
  <c r="Q78" i="52"/>
  <c r="T237" i="53"/>
  <c r="T258" i="53"/>
  <c r="V236" i="41"/>
  <c r="U247" i="41"/>
  <c r="G293" i="53"/>
  <c r="G334" i="41"/>
  <c r="G293" i="50"/>
  <c r="G334" i="38"/>
  <c r="V326" i="38"/>
  <c r="T228" i="40"/>
  <c r="S326" i="40"/>
  <c r="K104" i="53"/>
  <c r="K104" i="41"/>
  <c r="K105" i="53"/>
  <c r="G104" i="41"/>
  <c r="G105" i="53"/>
  <c r="G104" i="53"/>
  <c r="Q104" i="53"/>
  <c r="Q104" i="41"/>
  <c r="Q105" i="53"/>
  <c r="H104" i="41"/>
  <c r="H105" i="53"/>
  <c r="H104" i="53"/>
  <c r="Q119" i="40"/>
  <c r="Q130" i="40"/>
  <c r="T159" i="40"/>
  <c r="N104" i="53"/>
  <c r="N104" i="41"/>
  <c r="N105" i="53"/>
  <c r="M104" i="53"/>
  <c r="M104" i="41"/>
  <c r="M105" i="53"/>
  <c r="L104" i="53"/>
  <c r="L104" i="41"/>
  <c r="L105" i="53"/>
  <c r="P104" i="41"/>
  <c r="P105" i="53"/>
  <c r="P104" i="53"/>
  <c r="O104" i="41"/>
  <c r="O105" i="53"/>
  <c r="O104" i="53"/>
  <c r="J104" i="53"/>
  <c r="J104" i="41"/>
  <c r="J105" i="53"/>
  <c r="F104" i="53"/>
  <c r="F104" i="41"/>
  <c r="F105" i="53"/>
  <c r="S329" i="52"/>
  <c r="X118" i="50"/>
  <c r="S393" i="53"/>
  <c r="S363" i="41"/>
  <c r="X124" i="40"/>
  <c r="W125" i="52"/>
  <c r="S434" i="41"/>
  <c r="S425" i="41"/>
  <c r="S428" i="53"/>
  <c r="S430" i="41"/>
  <c r="S415" i="41"/>
  <c r="S418" i="53"/>
  <c r="S414" i="41"/>
  <c r="S417" i="53"/>
  <c r="Q416" i="41"/>
  <c r="Q419" i="53"/>
  <c r="Q406" i="53"/>
  <c r="S366" i="41"/>
  <c r="S369" i="53"/>
  <c r="S397" i="53"/>
  <c r="S431" i="41"/>
  <c r="S434" i="53"/>
  <c r="S394" i="53"/>
  <c r="R376" i="41"/>
  <c r="R379" i="53"/>
  <c r="R366" i="53"/>
  <c r="R406" i="41"/>
  <c r="R409" i="53"/>
  <c r="R437" i="53"/>
  <c r="T390" i="41"/>
  <c r="T374" i="41"/>
  <c r="T377" i="53"/>
  <c r="T375" i="41"/>
  <c r="T378" i="53"/>
  <c r="T394" i="41"/>
  <c r="T385" i="41"/>
  <c r="T388" i="53"/>
  <c r="T397" i="41"/>
  <c r="T391" i="41"/>
  <c r="W317" i="38"/>
  <c r="X294" i="38"/>
  <c r="W323" i="38"/>
  <c r="W328" i="38"/>
  <c r="R403" i="41"/>
  <c r="R433" i="53"/>
  <c r="U357" i="41"/>
  <c r="V338" i="41"/>
  <c r="Z116" i="38"/>
  <c r="Z117" i="38"/>
  <c r="Z118" i="50"/>
  <c r="Y117" i="38"/>
  <c r="L121" i="38"/>
  <c r="V247" i="38"/>
  <c r="V250" i="50"/>
  <c r="W236" i="38"/>
  <c r="J119" i="41"/>
  <c r="J126" i="41"/>
  <c r="P126" i="41"/>
  <c r="P119" i="41"/>
  <c r="W75" i="52"/>
  <c r="W96" i="52"/>
  <c r="W117" i="52"/>
  <c r="W141" i="52"/>
  <c r="W54" i="52"/>
  <c r="W31" i="52"/>
  <c r="W165" i="52"/>
  <c r="I57" i="50"/>
  <c r="I61" i="38"/>
  <c r="V167" i="52"/>
  <c r="V287" i="52"/>
  <c r="V285" i="52"/>
  <c r="V235" i="52"/>
  <c r="V213" i="52"/>
  <c r="O61" i="38"/>
  <c r="O57" i="50"/>
  <c r="F126" i="41"/>
  <c r="F119" i="41"/>
  <c r="W160" i="50"/>
  <c r="Q126" i="41"/>
  <c r="Q119" i="41"/>
  <c r="R126" i="41"/>
  <c r="R119" i="41"/>
  <c r="H61" i="38"/>
  <c r="H57" i="50"/>
  <c r="T87" i="41"/>
  <c r="T88" i="53"/>
  <c r="U76" i="41"/>
  <c r="U318" i="52"/>
  <c r="U341" i="52"/>
  <c r="U360" i="52"/>
  <c r="U400" i="52"/>
  <c r="U297" i="52"/>
  <c r="V75" i="41"/>
  <c r="V76" i="53"/>
  <c r="V77" i="53"/>
  <c r="W74" i="41"/>
  <c r="X15" i="41"/>
  <c r="W16" i="53"/>
  <c r="I126" i="41"/>
  <c r="I119" i="41"/>
  <c r="V4" i="47"/>
  <c r="K39" i="47"/>
  <c r="V6" i="47"/>
  <c r="V7" i="47"/>
  <c r="K42" i="47"/>
  <c r="U21" i="54"/>
  <c r="V5" i="47"/>
  <c r="K40" i="47"/>
  <c r="W3" i="47"/>
  <c r="M61" i="38"/>
  <c r="M57" i="50"/>
  <c r="K57" i="50"/>
  <c r="K61" i="38"/>
  <c r="U258" i="52"/>
  <c r="U237" i="52"/>
  <c r="S60" i="54"/>
  <c r="S57" i="54"/>
  <c r="S62" i="54"/>
  <c r="S63" i="54"/>
  <c r="N57" i="50"/>
  <c r="N61" i="38"/>
  <c r="T320" i="52"/>
  <c r="T326" i="52"/>
  <c r="T331" i="52"/>
  <c r="O126" i="41"/>
  <c r="O119" i="41"/>
  <c r="L119" i="41"/>
  <c r="L126" i="41"/>
  <c r="T41" i="54"/>
  <c r="T38" i="54"/>
  <c r="T69" i="54"/>
  <c r="F57" i="50"/>
  <c r="F61" i="38"/>
  <c r="Y8" i="40"/>
  <c r="Z7" i="40"/>
  <c r="Y8" i="52"/>
  <c r="Y6" i="40"/>
  <c r="R61" i="38"/>
  <c r="R57" i="50"/>
  <c r="H126" i="41"/>
  <c r="H119" i="41"/>
  <c r="P181" i="52"/>
  <c r="P184" i="52"/>
  <c r="S326" i="41"/>
  <c r="K126" i="41"/>
  <c r="K119" i="41"/>
  <c r="M119" i="41"/>
  <c r="M126" i="41"/>
  <c r="G61" i="38"/>
  <c r="G57" i="50"/>
  <c r="X6" i="52"/>
  <c r="X7" i="52"/>
  <c r="Y102" i="53"/>
  <c r="Z101" i="41"/>
  <c r="Z102" i="53"/>
  <c r="P189" i="52"/>
  <c r="S433" i="40"/>
  <c r="S436" i="52"/>
  <c r="S433" i="41"/>
  <c r="S436" i="53"/>
  <c r="S119" i="41"/>
  <c r="S126" i="41"/>
  <c r="Q122" i="53"/>
  <c r="K122" i="53"/>
  <c r="I122" i="53"/>
  <c r="P122" i="53"/>
  <c r="L122" i="53"/>
  <c r="O122" i="53"/>
  <c r="F122" i="53"/>
  <c r="S122" i="53"/>
  <c r="M122" i="53"/>
  <c r="N122" i="53"/>
  <c r="H122" i="53"/>
  <c r="R122" i="53"/>
  <c r="G122" i="53"/>
  <c r="J61" i="38"/>
  <c r="J57" i="50"/>
  <c r="X235" i="38"/>
  <c r="Y234" i="38"/>
  <c r="L57" i="50"/>
  <c r="L61" i="38"/>
  <c r="V339" i="53"/>
  <c r="T160" i="52"/>
  <c r="N126" i="41"/>
  <c r="N119" i="41"/>
  <c r="G126" i="41"/>
  <c r="G119" i="41"/>
  <c r="P57" i="50"/>
  <c r="P61" i="38"/>
  <c r="X101" i="38"/>
  <c r="W102" i="50"/>
  <c r="Q62" i="38"/>
  <c r="Q63" i="50"/>
  <c r="Q62" i="50"/>
  <c r="T376" i="40"/>
  <c r="T379" i="52"/>
  <c r="T366" i="52"/>
  <c r="T366" i="50"/>
  <c r="T376" i="38"/>
  <c r="T379" i="50"/>
  <c r="V339" i="50"/>
  <c r="U260" i="52"/>
  <c r="U265" i="40"/>
  <c r="U268" i="52"/>
  <c r="X330" i="38"/>
  <c r="X333" i="50"/>
  <c r="X289" i="50"/>
  <c r="U414" i="38"/>
  <c r="U417" i="50"/>
  <c r="U430" i="38"/>
  <c r="U415" i="38"/>
  <c r="U418" i="50"/>
  <c r="U434" i="38"/>
  <c r="U425" i="38"/>
  <c r="U428" i="50"/>
  <c r="T406" i="38"/>
  <c r="T409" i="50"/>
  <c r="T437" i="50"/>
  <c r="U425" i="40"/>
  <c r="U428" i="52"/>
  <c r="U415" i="40"/>
  <c r="U418" i="52"/>
  <c r="U434" i="40"/>
  <c r="U414" i="40"/>
  <c r="U417" i="52"/>
  <c r="U430" i="40"/>
  <c r="W274" i="50"/>
  <c r="W276" i="50"/>
  <c r="W325" i="38"/>
  <c r="W328" i="50"/>
  <c r="X338" i="40"/>
  <c r="W357" i="40"/>
  <c r="W32" i="53"/>
  <c r="W243" i="52"/>
  <c r="X240" i="40"/>
  <c r="Y38" i="41"/>
  <c r="X39" i="53"/>
  <c r="U278" i="53"/>
  <c r="U280" i="53"/>
  <c r="U311" i="53"/>
  <c r="U277" i="41"/>
  <c r="U308" i="41"/>
  <c r="U418" i="41"/>
  <c r="U421" i="53"/>
  <c r="U408" i="53"/>
  <c r="X38" i="40"/>
  <c r="W39" i="52"/>
  <c r="W81" i="52"/>
  <c r="X80" i="40"/>
  <c r="U157" i="40"/>
  <c r="U158" i="52"/>
  <c r="U156" i="52"/>
  <c r="T327" i="52"/>
  <c r="T327" i="53"/>
  <c r="Y286" i="38"/>
  <c r="Z284" i="38"/>
  <c r="Y288" i="38"/>
  <c r="Y287" i="38"/>
  <c r="Y290" i="38"/>
  <c r="Y291" i="38"/>
  <c r="Y289" i="38"/>
  <c r="Y292" i="50"/>
  <c r="Y285" i="38"/>
  <c r="X157" i="38"/>
  <c r="X158" i="50"/>
  <c r="X156" i="50"/>
  <c r="X159" i="38"/>
  <c r="X273" i="50"/>
  <c r="X271" i="38"/>
  <c r="X273" i="38"/>
  <c r="X324" i="38"/>
  <c r="X278" i="50"/>
  <c r="X280" i="50"/>
  <c r="X311" i="50"/>
  <c r="X277" i="38"/>
  <c r="X308" i="38"/>
  <c r="Y289" i="41"/>
  <c r="Y292" i="53"/>
  <c r="Y288" i="41"/>
  <c r="Y287" i="41"/>
  <c r="Y286" i="41"/>
  <c r="Y290" i="41"/>
  <c r="Y285" i="41"/>
  <c r="Y291" i="41"/>
  <c r="Z284" i="41"/>
  <c r="F32" i="42"/>
  <c r="V295" i="52"/>
  <c r="Y30" i="41"/>
  <c r="X31" i="41"/>
  <c r="W15" i="53"/>
  <c r="X14" i="41"/>
  <c r="U157" i="41"/>
  <c r="U158" i="53"/>
  <c r="U156" i="53"/>
  <c r="U226" i="40"/>
  <c r="U229" i="52"/>
  <c r="U228" i="52"/>
  <c r="U231" i="52"/>
  <c r="X123" i="40"/>
  <c r="W124" i="52"/>
  <c r="X290" i="53"/>
  <c r="X331" i="41"/>
  <c r="X334" i="53"/>
  <c r="W173" i="50"/>
  <c r="X172" i="38"/>
  <c r="V385" i="38"/>
  <c r="V388" i="50"/>
  <c r="V375" i="38"/>
  <c r="V378" i="50"/>
  <c r="V374" i="38"/>
  <c r="V377" i="50"/>
  <c r="V394" i="38"/>
  <c r="V390" i="38"/>
  <c r="V391" i="38"/>
  <c r="V397" i="38"/>
  <c r="S416" i="40"/>
  <c r="S419" i="52"/>
  <c r="S406" i="52"/>
  <c r="V385" i="40"/>
  <c r="V388" i="52"/>
  <c r="V397" i="40"/>
  <c r="V374" i="40"/>
  <c r="V377" i="52"/>
  <c r="V391" i="40"/>
  <c r="V390" i="40"/>
  <c r="V375" i="40"/>
  <c r="V378" i="52"/>
  <c r="V394" i="40"/>
  <c r="Y75" i="38"/>
  <c r="Z74" i="38"/>
  <c r="Z75" i="38"/>
  <c r="V77" i="38"/>
  <c r="W330" i="40"/>
  <c r="W333" i="52"/>
  <c r="W289" i="52"/>
  <c r="U407" i="53"/>
  <c r="U432" i="41"/>
  <c r="U435" i="53"/>
  <c r="U417" i="41"/>
  <c r="U420" i="53"/>
  <c r="Z37" i="38"/>
  <c r="Z38" i="50"/>
  <c r="Y38" i="50"/>
  <c r="U55" i="41"/>
  <c r="T66" i="41"/>
  <c r="T67" i="53"/>
  <c r="U273" i="52"/>
  <c r="U271" i="40"/>
  <c r="U273" i="40"/>
  <c r="U324" i="40"/>
  <c r="T274" i="52"/>
  <c r="T276" i="52"/>
  <c r="T325" i="40"/>
  <c r="T328" i="52"/>
  <c r="Y240" i="38"/>
  <c r="X243" i="50"/>
  <c r="T274" i="53"/>
  <c r="T276" i="53"/>
  <c r="T325" i="41"/>
  <c r="T328" i="53"/>
  <c r="X288" i="50"/>
  <c r="X329" i="38"/>
  <c r="X292" i="38"/>
  <c r="W295" i="50"/>
  <c r="V323" i="40"/>
  <c r="W294" i="40"/>
  <c r="V317" i="40"/>
  <c r="V328" i="40"/>
  <c r="Y102" i="52"/>
  <c r="Z101" i="40"/>
  <c r="Z102" i="52"/>
  <c r="S416" i="38"/>
  <c r="S419" i="50"/>
  <c r="S406" i="50"/>
  <c r="W332" i="50"/>
  <c r="W336" i="38"/>
  <c r="W327" i="50"/>
  <c r="T433" i="40"/>
  <c r="T436" i="52"/>
  <c r="U394" i="52"/>
  <c r="U431" i="40"/>
  <c r="U434" i="52"/>
  <c r="W357" i="38"/>
  <c r="X338" i="38"/>
  <c r="X76" i="50"/>
  <c r="X77" i="50"/>
  <c r="W293" i="52"/>
  <c r="W334" i="40"/>
  <c r="W337" i="52"/>
  <c r="V365" i="41"/>
  <c r="V404" i="41"/>
  <c r="V156" i="41"/>
  <c r="V157" i="53"/>
  <c r="V225" i="41"/>
  <c r="V275" i="41"/>
  <c r="V230" i="41"/>
  <c r="V233" i="53"/>
  <c r="V364" i="41"/>
  <c r="V405" i="41"/>
  <c r="V257" i="41"/>
  <c r="V158" i="41"/>
  <c r="V159" i="53"/>
  <c r="W140" i="41"/>
  <c r="V155" i="41"/>
  <c r="V272" i="41"/>
  <c r="V275" i="53"/>
  <c r="V350" i="41"/>
  <c r="V353" i="53"/>
  <c r="V270" i="41"/>
  <c r="V227" i="41"/>
  <c r="V230" i="53"/>
  <c r="V162" i="41"/>
  <c r="V163" i="53"/>
  <c r="V212" i="41"/>
  <c r="V142" i="41"/>
  <c r="U407" i="52"/>
  <c r="U417" i="40"/>
  <c r="U420" i="52"/>
  <c r="U432" i="40"/>
  <c r="U435" i="52"/>
  <c r="U393" i="40"/>
  <c r="U396" i="52"/>
  <c r="U378" i="40"/>
  <c r="U381" i="52"/>
  <c r="U368" i="52"/>
  <c r="V168" i="38"/>
  <c r="X331" i="38"/>
  <c r="X334" i="50"/>
  <c r="X290" i="50"/>
  <c r="W333" i="50"/>
  <c r="U397" i="50"/>
  <c r="U366" i="38"/>
  <c r="U369" i="50"/>
  <c r="X367" i="50"/>
  <c r="X392" i="38"/>
  <c r="X395" i="50"/>
  <c r="X377" i="38"/>
  <c r="X380" i="50"/>
  <c r="X408" i="50"/>
  <c r="X418" i="38"/>
  <c r="X421" i="50"/>
  <c r="B28" i="35"/>
  <c r="C27" i="35"/>
  <c r="X332" i="41"/>
  <c r="X335" i="53"/>
  <c r="X291" i="53"/>
  <c r="V336" i="40"/>
  <c r="V332" i="52"/>
  <c r="V339" i="52"/>
  <c r="W334" i="50"/>
  <c r="X368" i="50"/>
  <c r="X393" i="38"/>
  <c r="X396" i="50"/>
  <c r="X378" i="38"/>
  <c r="X381" i="50"/>
  <c r="T231" i="52"/>
  <c r="X167" i="41"/>
  <c r="X168" i="53"/>
  <c r="X169" i="53"/>
  <c r="Y166" i="41"/>
  <c r="W290" i="52"/>
  <c r="W331" i="40"/>
  <c r="W334" i="52"/>
  <c r="U226" i="41"/>
  <c r="U229" i="53"/>
  <c r="U228" i="53"/>
  <c r="U150" i="41"/>
  <c r="U151" i="53"/>
  <c r="U143" i="53"/>
  <c r="U55" i="53"/>
  <c r="U56" i="53"/>
  <c r="U215" i="52"/>
  <c r="U220" i="40"/>
  <c r="U223" i="52"/>
  <c r="V433" i="38"/>
  <c r="V436" i="50"/>
  <c r="X334" i="38"/>
  <c r="X337" i="50"/>
  <c r="X293" i="50"/>
  <c r="T406" i="40"/>
  <c r="T409" i="52"/>
  <c r="T437" i="52"/>
  <c r="U431" i="38"/>
  <c r="U434" i="50"/>
  <c r="U394" i="50"/>
  <c r="X407" i="50"/>
  <c r="X432" i="38"/>
  <c r="X435" i="50"/>
  <c r="X417" i="38"/>
  <c r="X420" i="50"/>
  <c r="W228" i="38"/>
  <c r="W433" i="38"/>
  <c r="W436" i="50"/>
  <c r="X124" i="41"/>
  <c r="W125" i="53"/>
  <c r="X293" i="53"/>
  <c r="X334" i="41"/>
  <c r="X337" i="53"/>
  <c r="U397" i="52"/>
  <c r="U366" i="40"/>
  <c r="U369" i="52"/>
  <c r="X37" i="40"/>
  <c r="W38" i="52"/>
  <c r="X173" i="53"/>
  <c r="Y172" i="41"/>
  <c r="W335" i="40"/>
  <c r="W338" i="52"/>
  <c r="W294" i="52"/>
  <c r="U368" i="53"/>
  <c r="U378" i="41"/>
  <c r="U381" i="53"/>
  <c r="U393" i="41"/>
  <c r="U396" i="53"/>
  <c r="U260" i="53"/>
  <c r="U265" i="41"/>
  <c r="U268" i="53"/>
  <c r="W53" i="41"/>
  <c r="V54" i="41"/>
  <c r="U367" i="52"/>
  <c r="U377" i="40"/>
  <c r="U380" i="52"/>
  <c r="U392" i="40"/>
  <c r="U395" i="52"/>
  <c r="W295" i="53"/>
  <c r="X14" i="40"/>
  <c r="W15" i="52"/>
  <c r="X332" i="38"/>
  <c r="X335" i="50"/>
  <c r="X291" i="50"/>
  <c r="X15" i="38"/>
  <c r="W16" i="50"/>
  <c r="T403" i="40"/>
  <c r="T433" i="52"/>
  <c r="U363" i="38"/>
  <c r="U393" i="50"/>
  <c r="W124" i="50"/>
  <c r="X123" i="38"/>
  <c r="X220" i="38"/>
  <c r="X223" i="50"/>
  <c r="X215" i="50"/>
  <c r="X288" i="53"/>
  <c r="X329" i="41"/>
  <c r="X292" i="41"/>
  <c r="X291" i="40"/>
  <c r="Y284" i="40"/>
  <c r="X290" i="40"/>
  <c r="X288" i="40"/>
  <c r="X286" i="40"/>
  <c r="X289" i="40"/>
  <c r="X292" i="52"/>
  <c r="X285" i="40"/>
  <c r="X287" i="40"/>
  <c r="X265" i="38"/>
  <c r="X268" i="50"/>
  <c r="X260" i="50"/>
  <c r="X14" i="38"/>
  <c r="W15" i="50"/>
  <c r="W288" i="52"/>
  <c r="W329" i="40"/>
  <c r="W292" i="40"/>
  <c r="X80" i="38"/>
  <c r="W81" i="50"/>
  <c r="X166" i="38"/>
  <c r="W167" i="38"/>
  <c r="W168" i="50"/>
  <c r="U273" i="53"/>
  <c r="U324" i="41"/>
  <c r="U271" i="41"/>
  <c r="U220" i="41"/>
  <c r="U223" i="53"/>
  <c r="U215" i="53"/>
  <c r="U150" i="40"/>
  <c r="U151" i="52"/>
  <c r="U143" i="52"/>
  <c r="U418" i="40"/>
  <c r="U421" i="52"/>
  <c r="U408" i="52"/>
  <c r="U278" i="52"/>
  <c r="U280" i="52"/>
  <c r="U311" i="52"/>
  <c r="U277" i="40"/>
  <c r="U308" i="40"/>
  <c r="W336" i="41"/>
  <c r="W332" i="53"/>
  <c r="W339" i="53"/>
  <c r="T228" i="41"/>
  <c r="T433" i="41"/>
  <c r="T436" i="53"/>
  <c r="X226" i="38"/>
  <c r="X229" i="50"/>
  <c r="X228" i="50"/>
  <c r="X294" i="53"/>
  <c r="X335" i="41"/>
  <c r="X338" i="53"/>
  <c r="W38" i="53"/>
  <c r="X37" i="41"/>
  <c r="T403" i="38"/>
  <c r="T433" i="50"/>
  <c r="X243" i="53"/>
  <c r="Y240" i="41"/>
  <c r="Q122" i="52"/>
  <c r="U393" i="52"/>
  <c r="U363" i="40"/>
  <c r="X125" i="50"/>
  <c r="Y124" i="38"/>
  <c r="X124" i="53"/>
  <c r="Y123" i="41"/>
  <c r="W291" i="52"/>
  <c r="W332" i="40"/>
  <c r="W335" i="52"/>
  <c r="V168" i="50"/>
  <c r="V169" i="50"/>
  <c r="U367" i="53"/>
  <c r="U392" i="41"/>
  <c r="U395" i="53"/>
  <c r="U377" i="41"/>
  <c r="U380" i="53"/>
  <c r="V162" i="40"/>
  <c r="V163" i="52"/>
  <c r="V212" i="40"/>
  <c r="V350" i="40"/>
  <c r="V353" i="52"/>
  <c r="V225" i="40"/>
  <c r="V230" i="40"/>
  <c r="V233" i="52"/>
  <c r="V158" i="40"/>
  <c r="V159" i="52"/>
  <c r="V155" i="40"/>
  <c r="V257" i="40"/>
  <c r="V275" i="40"/>
  <c r="V404" i="40"/>
  <c r="V365" i="40"/>
  <c r="V227" i="40"/>
  <c r="V230" i="52"/>
  <c r="V364" i="40"/>
  <c r="V405" i="40"/>
  <c r="V272" i="40"/>
  <c r="V275" i="52"/>
  <c r="V156" i="40"/>
  <c r="V157" i="52"/>
  <c r="V270" i="40"/>
  <c r="W140" i="40"/>
  <c r="V142" i="40"/>
  <c r="W16" i="52"/>
  <c r="X15" i="40"/>
  <c r="X335" i="38"/>
  <c r="X338" i="50"/>
  <c r="X294" i="50"/>
  <c r="W173" i="52"/>
  <c r="X172" i="40"/>
  <c r="T231" i="53"/>
  <c r="Y225" i="38"/>
  <c r="Y405" i="38"/>
  <c r="Y156" i="38"/>
  <c r="Y157" i="50"/>
  <c r="Y227" i="38"/>
  <c r="Y230" i="50"/>
  <c r="Y364" i="38"/>
  <c r="Y230" i="38"/>
  <c r="Y233" i="50"/>
  <c r="Y275" i="38"/>
  <c r="Y155" i="38"/>
  <c r="Y162" i="38"/>
  <c r="Y163" i="50"/>
  <c r="Y257" i="38"/>
  <c r="Y404" i="38"/>
  <c r="Y142" i="38"/>
  <c r="Y158" i="38"/>
  <c r="Y159" i="50"/>
  <c r="Z140" i="38"/>
  <c r="Y365" i="38"/>
  <c r="Y350" i="38"/>
  <c r="Y353" i="50"/>
  <c r="Y272" i="38"/>
  <c r="Y275" i="50"/>
  <c r="Y212" i="38"/>
  <c r="Y270" i="38"/>
  <c r="X150" i="38"/>
  <c r="X151" i="50"/>
  <c r="X143" i="50"/>
  <c r="X289" i="53"/>
  <c r="X330" i="41"/>
  <c r="T97" i="40"/>
  <c r="S98" i="40"/>
  <c r="S108" i="40"/>
  <c r="Q10" i="53"/>
  <c r="AB25" i="35"/>
  <c r="T26" i="35"/>
  <c r="R109" i="52"/>
  <c r="W120" i="41"/>
  <c r="V121" i="41"/>
  <c r="T67" i="50"/>
  <c r="S104" i="53"/>
  <c r="S104" i="41"/>
  <c r="S105" i="53"/>
  <c r="P43" i="40"/>
  <c r="S237" i="50"/>
  <c r="S258" i="50"/>
  <c r="V97" i="38"/>
  <c r="U108" i="38"/>
  <c r="X100" i="41"/>
  <c r="X101" i="53"/>
  <c r="X2" i="53"/>
  <c r="X239" i="41"/>
  <c r="X242" i="53"/>
  <c r="X79" i="41"/>
  <c r="X80" i="53"/>
  <c r="X58" i="41"/>
  <c r="X59" i="53"/>
  <c r="X175" i="41"/>
  <c r="X176" i="53"/>
  <c r="X171" i="41"/>
  <c r="R250" i="52"/>
  <c r="H293" i="52"/>
  <c r="H334" i="40"/>
  <c r="H337" i="52"/>
  <c r="U237" i="53"/>
  <c r="U258" i="53"/>
  <c r="Q62" i="40"/>
  <c r="Q63" i="52"/>
  <c r="Q62" i="52"/>
  <c r="W165" i="53"/>
  <c r="W75" i="53"/>
  <c r="W96" i="53"/>
  <c r="W117" i="53"/>
  <c r="W141" i="53"/>
  <c r="W31" i="53"/>
  <c r="W54" i="53"/>
  <c r="T3" i="52"/>
  <c r="U3" i="40"/>
  <c r="S186" i="38"/>
  <c r="S178" i="50"/>
  <c r="J119" i="40"/>
  <c r="J126" i="40"/>
  <c r="V177" i="53"/>
  <c r="Q83" i="40"/>
  <c r="Q84" i="52"/>
  <c r="Q83" i="52"/>
  <c r="T239" i="52"/>
  <c r="S240" i="52"/>
  <c r="K122" i="52"/>
  <c r="AC27" i="54"/>
  <c r="T167" i="50"/>
  <c r="T213" i="50"/>
  <c r="T235" i="50"/>
  <c r="T287" i="50"/>
  <c r="T285" i="50"/>
  <c r="P44" i="52"/>
  <c r="X31" i="38"/>
  <c r="X32" i="50"/>
  <c r="Y30" i="38"/>
  <c r="S32" i="38"/>
  <c r="P46" i="52"/>
  <c r="R33" i="53"/>
  <c r="Q180" i="52"/>
  <c r="Q188" i="52"/>
  <c r="Q187" i="40"/>
  <c r="S177" i="52"/>
  <c r="S177" i="40"/>
  <c r="R9" i="41"/>
  <c r="X80" i="41"/>
  <c r="W81" i="53"/>
  <c r="T320" i="53"/>
  <c r="T326" i="53"/>
  <c r="T331" i="53"/>
  <c r="I119" i="40"/>
  <c r="I126" i="40"/>
  <c r="U175" i="40"/>
  <c r="U176" i="52"/>
  <c r="U58" i="40"/>
  <c r="U59" i="52"/>
  <c r="U79" i="40"/>
  <c r="U80" i="52"/>
  <c r="U171" i="40"/>
  <c r="U239" i="40"/>
  <c r="U242" i="52"/>
  <c r="U100" i="40"/>
  <c r="U101" i="52"/>
  <c r="U2" i="52"/>
  <c r="V2" i="40"/>
  <c r="V235" i="53"/>
  <c r="V287" i="53"/>
  <c r="V285" i="53"/>
  <c r="V213" i="53"/>
  <c r="V167" i="53"/>
  <c r="Q199" i="40"/>
  <c r="Q183" i="52"/>
  <c r="Q202" i="52"/>
  <c r="U250" i="53"/>
  <c r="R9" i="38"/>
  <c r="V247" i="41"/>
  <c r="W236" i="41"/>
  <c r="T120" i="40"/>
  <c r="S121" i="40"/>
  <c r="M122" i="52"/>
  <c r="U173" i="38"/>
  <c r="U176" i="38"/>
  <c r="U172" i="50"/>
  <c r="U174" i="50"/>
  <c r="R40" i="40"/>
  <c r="R34" i="40"/>
  <c r="O126" i="40"/>
  <c r="O119" i="40"/>
  <c r="K72" i="54"/>
  <c r="K75" i="54"/>
  <c r="L67" i="54"/>
  <c r="R61" i="40"/>
  <c r="R57" i="52"/>
  <c r="T187" i="53"/>
  <c r="V2" i="50"/>
  <c r="V58" i="38"/>
  <c r="V59" i="50"/>
  <c r="V175" i="38"/>
  <c r="V176" i="50"/>
  <c r="V100" i="38"/>
  <c r="V101" i="50"/>
  <c r="V239" i="38"/>
  <c r="V242" i="50"/>
  <c r="V171" i="38"/>
  <c r="V79" i="38"/>
  <c r="V80" i="50"/>
  <c r="U120" i="38"/>
  <c r="T121" i="38"/>
  <c r="W328" i="41"/>
  <c r="W323" i="41"/>
  <c r="X294" i="41"/>
  <c r="W317" i="41"/>
  <c r="T121" i="50"/>
  <c r="H126" i="40"/>
  <c r="H119" i="40"/>
  <c r="Q127" i="52"/>
  <c r="Q127" i="40"/>
  <c r="Q128" i="52"/>
  <c r="V239" i="53"/>
  <c r="W411" i="38"/>
  <c r="X399" i="38"/>
  <c r="W419" i="38"/>
  <c r="W422" i="50"/>
  <c r="M127" i="52"/>
  <c r="M127" i="40"/>
  <c r="M128" i="52"/>
  <c r="Y402" i="52"/>
  <c r="X414" i="52"/>
  <c r="S35" i="40"/>
  <c r="T32" i="40"/>
  <c r="R67" i="52"/>
  <c r="R182" i="40"/>
  <c r="R179" i="40"/>
  <c r="R180" i="40"/>
  <c r="R170" i="52"/>
  <c r="Y2" i="42"/>
  <c r="X47" i="42"/>
  <c r="X1" i="42"/>
  <c r="R122" i="52"/>
  <c r="U165" i="50"/>
  <c r="U31" i="50"/>
  <c r="U54" i="50"/>
  <c r="U75" i="50"/>
  <c r="U96" i="50"/>
  <c r="U117" i="50"/>
  <c r="U141" i="50"/>
  <c r="W8" i="38"/>
  <c r="W6" i="38"/>
  <c r="W8" i="50"/>
  <c r="W3" i="38"/>
  <c r="W3" i="50"/>
  <c r="W2" i="38"/>
  <c r="X7" i="38"/>
  <c r="F126" i="40"/>
  <c r="F119" i="40"/>
  <c r="T173" i="40"/>
  <c r="T176" i="40"/>
  <c r="T172" i="52"/>
  <c r="T174" i="52"/>
  <c r="R320" i="50"/>
  <c r="R331" i="50"/>
  <c r="R326" i="50"/>
  <c r="R33" i="52"/>
  <c r="Q36" i="52"/>
  <c r="G337" i="50"/>
  <c r="K126" i="40"/>
  <c r="K119" i="40"/>
  <c r="R119" i="40"/>
  <c r="R126" i="40"/>
  <c r="L122" i="52"/>
  <c r="N119" i="40"/>
  <c r="N126" i="40"/>
  <c r="Z359" i="40"/>
  <c r="Y379" i="40"/>
  <c r="Y382" i="52"/>
  <c r="Y371" i="40"/>
  <c r="U178" i="53"/>
  <c r="U186" i="41"/>
  <c r="U88" i="50"/>
  <c r="N122" i="52"/>
  <c r="T120" i="53"/>
  <c r="T130" i="41"/>
  <c r="T118" i="41"/>
  <c r="Q193" i="40"/>
  <c r="Q195" i="52"/>
  <c r="Q192" i="40"/>
  <c r="Q194" i="52"/>
  <c r="Q183" i="40"/>
  <c r="Q190" i="40"/>
  <c r="Q192" i="52"/>
  <c r="Q191" i="40"/>
  <c r="Q193" i="52"/>
  <c r="Q205" i="40"/>
  <c r="Q195" i="40"/>
  <c r="Q197" i="52"/>
  <c r="Q194" i="40"/>
  <c r="Q196" i="52"/>
  <c r="Q197" i="40"/>
  <c r="Q199" i="52"/>
  <c r="Q189" i="40"/>
  <c r="Q191" i="52"/>
  <c r="M120" i="52"/>
  <c r="M130" i="40"/>
  <c r="X235" i="41"/>
  <c r="Y234" i="41"/>
  <c r="T55" i="40"/>
  <c r="S66" i="40"/>
  <c r="S56" i="40"/>
  <c r="Y8" i="41"/>
  <c r="Y2" i="41"/>
  <c r="Z7" i="41"/>
  <c r="Y6" i="41"/>
  <c r="Y8" i="53"/>
  <c r="Y3" i="41"/>
  <c r="Y3" i="53"/>
  <c r="Q45" i="40"/>
  <c r="Q42" i="40"/>
  <c r="Q43" i="52"/>
  <c r="Q35" i="52"/>
  <c r="Q34" i="52"/>
  <c r="Q33" i="40"/>
  <c r="T168" i="40"/>
  <c r="S169" i="40"/>
  <c r="X402" i="53"/>
  <c r="W414" i="53"/>
  <c r="T121" i="52"/>
  <c r="S122" i="52"/>
  <c r="Z28" i="54"/>
  <c r="Y30" i="54"/>
  <c r="W172" i="53"/>
  <c r="W174" i="53"/>
  <c r="W173" i="41"/>
  <c r="W176" i="41"/>
  <c r="V24" i="54"/>
  <c r="V32" i="54"/>
  <c r="V33" i="54"/>
  <c r="W22" i="54"/>
  <c r="Y402" i="50"/>
  <c r="X414" i="50"/>
  <c r="S32" i="41"/>
  <c r="R78" i="52"/>
  <c r="R82" i="40"/>
  <c r="G119" i="40"/>
  <c r="G126" i="40"/>
  <c r="T99" i="53"/>
  <c r="T103" i="41"/>
  <c r="W32" i="50"/>
  <c r="L119" i="40"/>
  <c r="L126" i="40"/>
  <c r="T177" i="38"/>
  <c r="T177" i="50"/>
  <c r="W76" i="38"/>
  <c r="V87" i="38"/>
  <c r="O122" i="52"/>
  <c r="T61" i="38"/>
  <c r="T57" i="50"/>
  <c r="Q104" i="52"/>
  <c r="Q104" i="40"/>
  <c r="Q105" i="52"/>
  <c r="T127" i="41"/>
  <c r="T128" i="53"/>
  <c r="T127" i="53"/>
  <c r="R178" i="52"/>
  <c r="R186" i="40"/>
  <c r="W238" i="53"/>
  <c r="X9" i="53"/>
  <c r="Q41" i="40"/>
  <c r="Q42" i="52"/>
  <c r="Q41" i="52"/>
  <c r="R243" i="40"/>
  <c r="R246" i="52"/>
  <c r="R245" i="52"/>
  <c r="V168" i="41"/>
  <c r="V177" i="41"/>
  <c r="V97" i="50"/>
  <c r="V98" i="50"/>
  <c r="P208" i="52"/>
  <c r="V6" i="50"/>
  <c r="V7" i="50"/>
  <c r="T76" i="40"/>
  <c r="S87" i="40"/>
  <c r="S77" i="40"/>
  <c r="G122" i="52"/>
  <c r="F122" i="52"/>
  <c r="H122" i="52"/>
  <c r="I122" i="52"/>
  <c r="J122" i="52"/>
  <c r="T109" i="53"/>
  <c r="R187" i="50"/>
  <c r="G293" i="52"/>
  <c r="G334" i="40"/>
  <c r="V9" i="50"/>
  <c r="P126" i="40"/>
  <c r="P119" i="40"/>
  <c r="G337" i="53"/>
  <c r="R103" i="40"/>
  <c r="R99" i="52"/>
  <c r="U119" i="41"/>
  <c r="U126" i="41"/>
  <c r="R33" i="50"/>
  <c r="V55" i="38"/>
  <c r="U66" i="38"/>
  <c r="U56" i="38"/>
  <c r="U122" i="53"/>
  <c r="V121" i="53"/>
  <c r="Q187" i="52"/>
  <c r="R33" i="35"/>
  <c r="S32" i="35"/>
  <c r="S62" i="50"/>
  <c r="S62" i="38"/>
  <c r="S63" i="50"/>
  <c r="S318" i="50"/>
  <c r="S341" i="50"/>
  <c r="S360" i="50"/>
  <c r="S400" i="50"/>
  <c r="S297" i="50"/>
  <c r="T109" i="50"/>
  <c r="X6" i="53"/>
  <c r="X7" i="53"/>
  <c r="T236" i="40"/>
  <c r="S247" i="40"/>
  <c r="S237" i="40"/>
  <c r="S242" i="40"/>
  <c r="AQ25" i="35"/>
  <c r="AI26" i="35"/>
  <c r="U297" i="53"/>
  <c r="U318" i="53"/>
  <c r="U341" i="53"/>
  <c r="U360" i="53"/>
  <c r="U400" i="53"/>
  <c r="X95" i="38"/>
  <c r="W96" i="38"/>
  <c r="Q10" i="50"/>
  <c r="T10" i="52"/>
  <c r="T9" i="40"/>
  <c r="R88" i="52"/>
  <c r="U108" i="41"/>
  <c r="U98" i="41"/>
  <c r="V97" i="41"/>
  <c r="O208" i="52"/>
  <c r="O184" i="52"/>
  <c r="Q181" i="52"/>
  <c r="Q120" i="52"/>
  <c r="Q118" i="40"/>
  <c r="F23" i="42"/>
  <c r="O77" i="38"/>
  <c r="I32" i="42"/>
  <c r="G5" i="42"/>
  <c r="G43" i="42"/>
  <c r="Q189" i="52"/>
  <c r="T329" i="53"/>
  <c r="H14" i="42"/>
  <c r="G14" i="42"/>
  <c r="L119" i="38"/>
  <c r="L126" i="38"/>
  <c r="Y124" i="40"/>
  <c r="X125" i="52"/>
  <c r="N121" i="38"/>
  <c r="W338" i="41"/>
  <c r="V357" i="41"/>
  <c r="T394" i="53"/>
  <c r="T431" i="41"/>
  <c r="T434" i="53"/>
  <c r="S376" i="41"/>
  <c r="S379" i="53"/>
  <c r="S366" i="53"/>
  <c r="K121" i="38"/>
  <c r="U385" i="41"/>
  <c r="U388" i="53"/>
  <c r="U390" i="41"/>
  <c r="U391" i="41"/>
  <c r="U394" i="41"/>
  <c r="U375" i="41"/>
  <c r="U378" i="53"/>
  <c r="U397" i="41"/>
  <c r="U374" i="41"/>
  <c r="U377" i="53"/>
  <c r="T415" i="41"/>
  <c r="T418" i="53"/>
  <c r="T430" i="41"/>
  <c r="T434" i="41"/>
  <c r="T425" i="41"/>
  <c r="T428" i="53"/>
  <c r="T414" i="41"/>
  <c r="T417" i="53"/>
  <c r="P121" i="38"/>
  <c r="H23" i="42"/>
  <c r="G121" i="38"/>
  <c r="J121" i="38"/>
  <c r="R416" i="41"/>
  <c r="R419" i="53"/>
  <c r="R406" i="53"/>
  <c r="T397" i="53"/>
  <c r="T366" i="41"/>
  <c r="T369" i="53"/>
  <c r="S433" i="53"/>
  <c r="S403" i="41"/>
  <c r="O121" i="38"/>
  <c r="R121" i="38"/>
  <c r="F121" i="38"/>
  <c r="H121" i="38"/>
  <c r="S406" i="41"/>
  <c r="S409" i="53"/>
  <c r="S437" i="53"/>
  <c r="Y118" i="50"/>
  <c r="S122" i="50"/>
  <c r="M121" i="38"/>
  <c r="Q121" i="38"/>
  <c r="S121" i="38"/>
  <c r="X328" i="38"/>
  <c r="Y294" i="38"/>
  <c r="X323" i="38"/>
  <c r="X317" i="38"/>
  <c r="T363" i="41"/>
  <c r="T393" i="53"/>
  <c r="I121" i="38"/>
  <c r="T326" i="40"/>
  <c r="M127" i="53"/>
  <c r="M127" i="41"/>
  <c r="K62" i="38"/>
  <c r="K63" i="50"/>
  <c r="K62" i="50"/>
  <c r="U320" i="52"/>
  <c r="U326" i="52"/>
  <c r="U331" i="52"/>
  <c r="Q130" i="41"/>
  <c r="Q131" i="53"/>
  <c r="Q118" i="41"/>
  <c r="Q120" i="53"/>
  <c r="Y101" i="38"/>
  <c r="X102" i="50"/>
  <c r="M120" i="53"/>
  <c r="M130" i="41"/>
  <c r="M131" i="53"/>
  <c r="M118" i="41"/>
  <c r="R62" i="38"/>
  <c r="R63" i="50"/>
  <c r="R62" i="50"/>
  <c r="Q127" i="41"/>
  <c r="Q127" i="53"/>
  <c r="V258" i="52"/>
  <c r="V237" i="52"/>
  <c r="U159" i="41"/>
  <c r="P62" i="38"/>
  <c r="P63" i="50"/>
  <c r="P62" i="50"/>
  <c r="L62" i="38"/>
  <c r="L63" i="50"/>
  <c r="L62" i="50"/>
  <c r="K130" i="41"/>
  <c r="K131" i="53"/>
  <c r="K120" i="53"/>
  <c r="K118" i="41"/>
  <c r="T57" i="54"/>
  <c r="T62" i="54"/>
  <c r="T63" i="54"/>
  <c r="T60" i="54"/>
  <c r="N62" i="38"/>
  <c r="N63" i="50"/>
  <c r="N62" i="50"/>
  <c r="I120" i="53"/>
  <c r="I118" i="41"/>
  <c r="I130" i="41"/>
  <c r="I131" i="53"/>
  <c r="U87" i="41"/>
  <c r="U88" i="53"/>
  <c r="V76" i="41"/>
  <c r="V297" i="52"/>
  <c r="V318" i="52"/>
  <c r="V341" i="52"/>
  <c r="V360" i="52"/>
  <c r="V400" i="52"/>
  <c r="P120" i="53"/>
  <c r="P118" i="41"/>
  <c r="P130" i="41"/>
  <c r="P131" i="53"/>
  <c r="K127" i="41"/>
  <c r="K127" i="53"/>
  <c r="Y6" i="52"/>
  <c r="Y7" i="52"/>
  <c r="L127" i="53"/>
  <c r="L127" i="41"/>
  <c r="M62" i="38"/>
  <c r="M63" i="50"/>
  <c r="M62" i="50"/>
  <c r="I127" i="41"/>
  <c r="I127" i="53"/>
  <c r="P127" i="41"/>
  <c r="P127" i="53"/>
  <c r="G118" i="41"/>
  <c r="G130" i="41"/>
  <c r="G131" i="53"/>
  <c r="G120" i="53"/>
  <c r="Y235" i="38"/>
  <c r="Z234" i="38"/>
  <c r="Z235" i="38"/>
  <c r="Z8" i="52"/>
  <c r="Z6" i="40"/>
  <c r="Z8" i="40"/>
  <c r="L120" i="53"/>
  <c r="L119" i="53"/>
  <c r="L118" i="41"/>
  <c r="L130" i="41"/>
  <c r="L131" i="53"/>
  <c r="W4" i="47"/>
  <c r="L39" i="47"/>
  <c r="W6" i="47"/>
  <c r="X3" i="47"/>
  <c r="W5" i="47"/>
  <c r="L40" i="47"/>
  <c r="V21" i="54"/>
  <c r="W7" i="47"/>
  <c r="L42" i="47"/>
  <c r="F120" i="53"/>
  <c r="F119" i="53"/>
  <c r="F130" i="41"/>
  <c r="F131" i="53"/>
  <c r="F118" i="41"/>
  <c r="I62" i="38"/>
  <c r="I63" i="50"/>
  <c r="I62" i="50"/>
  <c r="J127" i="53"/>
  <c r="J127" i="41"/>
  <c r="W339" i="50"/>
  <c r="X160" i="50"/>
  <c r="G127" i="53"/>
  <c r="G127" i="41"/>
  <c r="X238" i="50"/>
  <c r="X239" i="50"/>
  <c r="S127" i="53"/>
  <c r="S127" i="41"/>
  <c r="S128" i="53"/>
  <c r="X165" i="52"/>
  <c r="X54" i="52"/>
  <c r="X31" i="52"/>
  <c r="X75" i="52"/>
  <c r="X96" i="52"/>
  <c r="X117" i="52"/>
  <c r="X141" i="52"/>
  <c r="Y9" i="52"/>
  <c r="J12" i="40"/>
  <c r="O12" i="40"/>
  <c r="R12" i="40"/>
  <c r="O130" i="41"/>
  <c r="O131" i="53"/>
  <c r="O118" i="41"/>
  <c r="O120" i="53"/>
  <c r="Y15" i="41"/>
  <c r="X16" i="53"/>
  <c r="H62" i="38"/>
  <c r="H63" i="50"/>
  <c r="H62" i="50"/>
  <c r="F127" i="53"/>
  <c r="F127" i="41"/>
  <c r="J120" i="53"/>
  <c r="J118" i="41"/>
  <c r="J130" i="41"/>
  <c r="J131" i="53"/>
  <c r="N118" i="41"/>
  <c r="N130" i="41"/>
  <c r="N131" i="53"/>
  <c r="N120" i="53"/>
  <c r="N119" i="53"/>
  <c r="S120" i="53"/>
  <c r="S118" i="41"/>
  <c r="S130" i="41"/>
  <c r="S131" i="53"/>
  <c r="H118" i="41"/>
  <c r="H120" i="53"/>
  <c r="H119" i="53"/>
  <c r="H130" i="41"/>
  <c r="H131" i="53"/>
  <c r="F62" i="38"/>
  <c r="F63" i="50"/>
  <c r="F62" i="50"/>
  <c r="O127" i="53"/>
  <c r="O127" i="41"/>
  <c r="U41" i="54"/>
  <c r="U69" i="54"/>
  <c r="U38" i="54"/>
  <c r="W75" i="41"/>
  <c r="X74" i="41"/>
  <c r="R120" i="53"/>
  <c r="R130" i="41"/>
  <c r="R131" i="53"/>
  <c r="R118" i="41"/>
  <c r="W167" i="52"/>
  <c r="W287" i="52"/>
  <c r="W285" i="52"/>
  <c r="W235" i="52"/>
  <c r="W213" i="52"/>
  <c r="W247" i="38"/>
  <c r="W250" i="50"/>
  <c r="X236" i="38"/>
  <c r="U228" i="41"/>
  <c r="U228" i="40"/>
  <c r="T329" i="52"/>
  <c r="N127" i="53"/>
  <c r="N127" i="41"/>
  <c r="J62" i="38"/>
  <c r="J63" i="50"/>
  <c r="J62" i="50"/>
  <c r="G62" i="38"/>
  <c r="G63" i="50"/>
  <c r="G62" i="50"/>
  <c r="H127" i="41"/>
  <c r="H127" i="53"/>
  <c r="R127" i="53"/>
  <c r="R127" i="41"/>
  <c r="R128" i="53"/>
  <c r="O62" i="38"/>
  <c r="O63" i="50"/>
  <c r="O62" i="50"/>
  <c r="V368" i="52"/>
  <c r="V393" i="40"/>
  <c r="V396" i="52"/>
  <c r="V378" i="40"/>
  <c r="V381" i="52"/>
  <c r="X294" i="40"/>
  <c r="W323" i="40"/>
  <c r="W317" i="40"/>
  <c r="W328" i="40"/>
  <c r="Y330" i="38"/>
  <c r="Y333" i="50"/>
  <c r="Y289" i="50"/>
  <c r="Y156" i="50"/>
  <c r="Y157" i="38"/>
  <c r="Y158" i="50"/>
  <c r="W270" i="40"/>
  <c r="W404" i="40"/>
  <c r="W275" i="40"/>
  <c r="W162" i="40"/>
  <c r="W163" i="52"/>
  <c r="W142" i="40"/>
  <c r="W257" i="40"/>
  <c r="W225" i="40"/>
  <c r="W272" i="40"/>
  <c r="W275" i="52"/>
  <c r="W158" i="40"/>
  <c r="W159" i="52"/>
  <c r="W350" i="40"/>
  <c r="W353" i="52"/>
  <c r="W230" i="40"/>
  <c r="W233" i="52"/>
  <c r="W364" i="40"/>
  <c r="W212" i="40"/>
  <c r="W405" i="40"/>
  <c r="W227" i="40"/>
  <c r="W230" i="52"/>
  <c r="W156" i="40"/>
  <c r="W157" i="52"/>
  <c r="X140" i="40"/>
  <c r="W155" i="40"/>
  <c r="W365" i="40"/>
  <c r="V407" i="52"/>
  <c r="V417" i="40"/>
  <c r="V420" i="52"/>
  <c r="V432" i="40"/>
  <c r="V435" i="52"/>
  <c r="V215" i="52"/>
  <c r="V220" i="40"/>
  <c r="V223" i="52"/>
  <c r="Y37" i="41"/>
  <c r="X38" i="53"/>
  <c r="W169" i="50"/>
  <c r="Y14" i="38"/>
  <c r="X15" i="50"/>
  <c r="U376" i="38"/>
  <c r="U379" i="50"/>
  <c r="U366" i="50"/>
  <c r="V278" i="53"/>
  <c r="V280" i="53"/>
  <c r="V311" i="53"/>
  <c r="V277" i="41"/>
  <c r="V308" i="41"/>
  <c r="W326" i="38"/>
  <c r="Y243" i="50"/>
  <c r="Z240" i="38"/>
  <c r="Z243" i="50"/>
  <c r="V431" i="38"/>
  <c r="V434" i="50"/>
  <c r="V394" i="50"/>
  <c r="X173" i="50"/>
  <c r="Y172" i="38"/>
  <c r="Z30" i="41"/>
  <c r="Z31" i="41"/>
  <c r="Y31" i="41"/>
  <c r="R35" i="41"/>
  <c r="R34" i="41"/>
  <c r="Z288" i="41"/>
  <c r="Z285" i="41"/>
  <c r="Z289" i="41"/>
  <c r="Z292" i="53"/>
  <c r="Z287" i="41"/>
  <c r="Z291" i="41"/>
  <c r="Z290" i="41"/>
  <c r="D290" i="41"/>
  <c r="Z286" i="41"/>
  <c r="G32" i="42"/>
  <c r="F5" i="42"/>
  <c r="I23" i="42"/>
  <c r="I14" i="42"/>
  <c r="I5" i="42"/>
  <c r="H5" i="42"/>
  <c r="H32" i="42"/>
  <c r="Y288" i="50"/>
  <c r="Y292" i="38"/>
  <c r="Y329" i="38"/>
  <c r="T326" i="41"/>
  <c r="U160" i="52"/>
  <c r="Y226" i="38"/>
  <c r="Y229" i="50"/>
  <c r="Y228" i="50"/>
  <c r="X53" i="41"/>
  <c r="W54" i="41"/>
  <c r="W55" i="53"/>
  <c r="O78" i="50"/>
  <c r="O82" i="38"/>
  <c r="V394" i="52"/>
  <c r="V431" i="40"/>
  <c r="V434" i="52"/>
  <c r="V415" i="38"/>
  <c r="V418" i="50"/>
  <c r="V430" i="38"/>
  <c r="V425" i="38"/>
  <c r="V428" i="50"/>
  <c r="V414" i="38"/>
  <c r="V417" i="50"/>
  <c r="V434" i="38"/>
  <c r="M128" i="40"/>
  <c r="M129" i="52"/>
  <c r="X333" i="53"/>
  <c r="Y368" i="50"/>
  <c r="Y378" i="38"/>
  <c r="Y381" i="50"/>
  <c r="Y393" i="38"/>
  <c r="Y396" i="50"/>
  <c r="Y278" i="50"/>
  <c r="Y280" i="50"/>
  <c r="Y311" i="50"/>
  <c r="Y277" i="38"/>
  <c r="Y308" i="38"/>
  <c r="Y172" i="40"/>
  <c r="X173" i="52"/>
  <c r="V273" i="52"/>
  <c r="V324" i="40"/>
  <c r="V271" i="40"/>
  <c r="V277" i="40"/>
  <c r="V308" i="40"/>
  <c r="V278" i="52"/>
  <c r="V280" i="52"/>
  <c r="V311" i="52"/>
  <c r="Z124" i="38"/>
  <c r="Z125" i="50"/>
  <c r="Y125" i="50"/>
  <c r="Y166" i="38"/>
  <c r="X167" i="38"/>
  <c r="X330" i="40"/>
  <c r="X333" i="52"/>
  <c r="X289" i="52"/>
  <c r="X332" i="53"/>
  <c r="X336" i="41"/>
  <c r="X15" i="52"/>
  <c r="Y14" i="40"/>
  <c r="U231" i="53"/>
  <c r="V157" i="41"/>
  <c r="V158" i="53"/>
  <c r="V156" i="53"/>
  <c r="V228" i="53"/>
  <c r="V226" i="41"/>
  <c r="V229" i="53"/>
  <c r="V228" i="41"/>
  <c r="X357" i="38"/>
  <c r="Y338" i="38"/>
  <c r="W329" i="50"/>
  <c r="V55" i="41"/>
  <c r="U66" i="41"/>
  <c r="U67" i="53"/>
  <c r="V415" i="40"/>
  <c r="V418" i="52"/>
  <c r="V434" i="40"/>
  <c r="V425" i="40"/>
  <c r="V428" i="52"/>
  <c r="V430" i="40"/>
  <c r="V414" i="40"/>
  <c r="V417" i="52"/>
  <c r="V393" i="50"/>
  <c r="V363" i="38"/>
  <c r="Y123" i="40"/>
  <c r="X124" i="52"/>
  <c r="F14" i="42"/>
  <c r="Y335" i="41"/>
  <c r="Y338" i="53"/>
  <c r="Y294" i="53"/>
  <c r="U159" i="40"/>
  <c r="U437" i="50"/>
  <c r="U406" i="38"/>
  <c r="U409" i="50"/>
  <c r="X32" i="53"/>
  <c r="F35" i="41"/>
  <c r="Z405" i="38"/>
  <c r="Z275" i="38"/>
  <c r="Z156" i="38"/>
  <c r="Z157" i="50"/>
  <c r="Z257" i="38"/>
  <c r="Z162" i="38"/>
  <c r="Z163" i="50"/>
  <c r="Z350" i="38"/>
  <c r="Z353" i="50"/>
  <c r="Z270" i="38"/>
  <c r="Z272" i="38"/>
  <c r="Z275" i="50"/>
  <c r="Z365" i="38"/>
  <c r="Z404" i="38"/>
  <c r="Z155" i="38"/>
  <c r="Z158" i="38"/>
  <c r="Z159" i="50"/>
  <c r="Z225" i="38"/>
  <c r="Z230" i="38"/>
  <c r="Z233" i="50"/>
  <c r="Z364" i="38"/>
  <c r="Z227" i="38"/>
  <c r="Z230" i="50"/>
  <c r="Z142" i="38"/>
  <c r="Z212" i="38"/>
  <c r="V260" i="52"/>
  <c r="V265" i="40"/>
  <c r="V268" i="52"/>
  <c r="X332" i="40"/>
  <c r="X335" i="52"/>
  <c r="X291" i="52"/>
  <c r="X295" i="53"/>
  <c r="T406" i="52"/>
  <c r="T416" i="40"/>
  <c r="T419" i="52"/>
  <c r="W168" i="38"/>
  <c r="V143" i="53"/>
  <c r="V150" i="41"/>
  <c r="V151" i="53"/>
  <c r="W350" i="41"/>
  <c r="W353" i="53"/>
  <c r="W364" i="41"/>
  <c r="W405" i="41"/>
  <c r="W230" i="41"/>
  <c r="W233" i="53"/>
  <c r="W162" i="41"/>
  <c r="W163" i="53"/>
  <c r="W365" i="41"/>
  <c r="W404" i="41"/>
  <c r="W227" i="41"/>
  <c r="W230" i="53"/>
  <c r="W142" i="41"/>
  <c r="W275" i="41"/>
  <c r="W272" i="41"/>
  <c r="W275" i="53"/>
  <c r="X140" i="41"/>
  <c r="W257" i="41"/>
  <c r="W155" i="41"/>
  <c r="W225" i="41"/>
  <c r="W212" i="41"/>
  <c r="W270" i="41"/>
  <c r="W156" i="41"/>
  <c r="W157" i="53"/>
  <c r="W158" i="41"/>
  <c r="W159" i="53"/>
  <c r="W374" i="38"/>
  <c r="W377" i="50"/>
  <c r="W385" i="38"/>
  <c r="W388" i="50"/>
  <c r="W397" i="38"/>
  <c r="W394" i="38"/>
  <c r="W390" i="38"/>
  <c r="W375" i="38"/>
  <c r="W378" i="50"/>
  <c r="W391" i="38"/>
  <c r="Z76" i="50"/>
  <c r="I77" i="38"/>
  <c r="G77" i="38"/>
  <c r="H77" i="38"/>
  <c r="K77" i="38"/>
  <c r="F77" i="38"/>
  <c r="L77" i="38"/>
  <c r="M77" i="38"/>
  <c r="J77" i="38"/>
  <c r="V366" i="38"/>
  <c r="V369" i="50"/>
  <c r="V397" i="50"/>
  <c r="Y288" i="53"/>
  <c r="Y329" i="41"/>
  <c r="Y292" i="41"/>
  <c r="Y335" i="38"/>
  <c r="Y338" i="50"/>
  <c r="Y294" i="50"/>
  <c r="V150" i="40"/>
  <c r="V151" i="52"/>
  <c r="V143" i="52"/>
  <c r="Y377" i="38"/>
  <c r="Y380" i="50"/>
  <c r="Y367" i="50"/>
  <c r="Y392" i="38"/>
  <c r="Y395" i="50"/>
  <c r="V156" i="52"/>
  <c r="V157" i="40"/>
  <c r="V158" i="52"/>
  <c r="Y80" i="38"/>
  <c r="X81" i="50"/>
  <c r="X334" i="40"/>
  <c r="X337" i="52"/>
  <c r="X293" i="52"/>
  <c r="Y167" i="41"/>
  <c r="Z166" i="41"/>
  <c r="Z167" i="41"/>
  <c r="Z168" i="53"/>
  <c r="V220" i="41"/>
  <c r="V223" i="53"/>
  <c r="V215" i="53"/>
  <c r="V407" i="53"/>
  <c r="V432" i="41"/>
  <c r="V435" i="53"/>
  <c r="V417" i="41"/>
  <c r="V420" i="53"/>
  <c r="X336" i="38"/>
  <c r="X332" i="50"/>
  <c r="X339" i="50"/>
  <c r="U433" i="40"/>
  <c r="U436" i="52"/>
  <c r="Y76" i="50"/>
  <c r="Y77" i="50"/>
  <c r="U77" i="38"/>
  <c r="U160" i="53"/>
  <c r="G44" i="42"/>
  <c r="Y334" i="41"/>
  <c r="Y293" i="53"/>
  <c r="X327" i="50"/>
  <c r="Y293" i="50"/>
  <c r="Y334" i="38"/>
  <c r="Y337" i="50"/>
  <c r="X81" i="52"/>
  <c r="Y80" i="40"/>
  <c r="U433" i="50"/>
  <c r="U403" i="38"/>
  <c r="X288" i="52"/>
  <c r="X292" i="40"/>
  <c r="X329" i="40"/>
  <c r="Y150" i="38"/>
  <c r="Y151" i="50"/>
  <c r="Y143" i="50"/>
  <c r="V408" i="52"/>
  <c r="V418" i="40"/>
  <c r="V421" i="52"/>
  <c r="Z123" i="41"/>
  <c r="Z124" i="53"/>
  <c r="Y124" i="53"/>
  <c r="U376" i="40"/>
  <c r="U379" i="52"/>
  <c r="U366" i="52"/>
  <c r="Y243" i="53"/>
  <c r="Z240" i="41"/>
  <c r="Z243" i="53"/>
  <c r="Y287" i="40"/>
  <c r="Y288" i="40"/>
  <c r="Y290" i="40"/>
  <c r="Y285" i="40"/>
  <c r="Y291" i="40"/>
  <c r="Y289" i="40"/>
  <c r="Y292" i="52"/>
  <c r="Y286" i="40"/>
  <c r="Z284" i="40"/>
  <c r="F4" i="42"/>
  <c r="Y15" i="38"/>
  <c r="X16" i="50"/>
  <c r="Y173" i="53"/>
  <c r="Z172" i="41"/>
  <c r="Z173" i="53"/>
  <c r="X38" i="52"/>
  <c r="Y37" i="40"/>
  <c r="Y124" i="41"/>
  <c r="X125" i="53"/>
  <c r="C28" i="35"/>
  <c r="B29" i="35"/>
  <c r="V265" i="41"/>
  <c r="V268" i="53"/>
  <c r="V260" i="53"/>
  <c r="V368" i="53"/>
  <c r="V378" i="41"/>
  <c r="V381" i="53"/>
  <c r="V393" i="41"/>
  <c r="V396" i="53"/>
  <c r="R77" i="38"/>
  <c r="X295" i="50"/>
  <c r="U327" i="52"/>
  <c r="V366" i="40"/>
  <c r="V369" i="52"/>
  <c r="V397" i="52"/>
  <c r="Y330" i="41"/>
  <c r="Y333" i="53"/>
  <c r="Y289" i="53"/>
  <c r="Y290" i="50"/>
  <c r="Y331" i="38"/>
  <c r="U433" i="52"/>
  <c r="U403" i="40"/>
  <c r="T416" i="38"/>
  <c r="T419" i="50"/>
  <c r="T406" i="50"/>
  <c r="Q43" i="40"/>
  <c r="Y273" i="50"/>
  <c r="Y324" i="38"/>
  <c r="Y271" i="38"/>
  <c r="Y273" i="38"/>
  <c r="Y407" i="50"/>
  <c r="Y417" i="38"/>
  <c r="Y420" i="50"/>
  <c r="Y432" i="38"/>
  <c r="Y435" i="50"/>
  <c r="X16" i="52"/>
  <c r="Y15" i="40"/>
  <c r="V367" i="52"/>
  <c r="V392" i="40"/>
  <c r="V395" i="52"/>
  <c r="V377" i="40"/>
  <c r="V380" i="52"/>
  <c r="X231" i="50"/>
  <c r="U273" i="41"/>
  <c r="U325" i="41"/>
  <c r="U328" i="53"/>
  <c r="U274" i="53"/>
  <c r="U276" i="53"/>
  <c r="W336" i="40"/>
  <c r="W332" i="52"/>
  <c r="W339" i="52"/>
  <c r="X335" i="40"/>
  <c r="X338" i="52"/>
  <c r="X294" i="52"/>
  <c r="X124" i="50"/>
  <c r="Y123" i="38"/>
  <c r="S77" i="38"/>
  <c r="P77" i="38"/>
  <c r="V408" i="53"/>
  <c r="V418" i="41"/>
  <c r="V421" i="53"/>
  <c r="Q77" i="38"/>
  <c r="N77" i="38"/>
  <c r="U274" i="52"/>
  <c r="U276" i="52"/>
  <c r="U325" i="40"/>
  <c r="U328" i="52"/>
  <c r="X15" i="53"/>
  <c r="Y14" i="41"/>
  <c r="G23" i="42"/>
  <c r="Y331" i="41"/>
  <c r="Y290" i="53"/>
  <c r="X274" i="50"/>
  <c r="X276" i="50"/>
  <c r="X325" i="38"/>
  <c r="X328" i="50"/>
  <c r="Y332" i="38"/>
  <c r="Y335" i="50"/>
  <c r="Y291" i="50"/>
  <c r="Y39" i="53"/>
  <c r="Z38" i="41"/>
  <c r="Z39" i="53"/>
  <c r="W391" i="40"/>
  <c r="W374" i="40"/>
  <c r="W377" i="52"/>
  <c r="W385" i="40"/>
  <c r="W388" i="52"/>
  <c r="W397" i="40"/>
  <c r="W394" i="40"/>
  <c r="W375" i="40"/>
  <c r="W378" i="52"/>
  <c r="W390" i="40"/>
  <c r="Q44" i="52"/>
  <c r="Y220" i="38"/>
  <c r="Y223" i="50"/>
  <c r="Y215" i="50"/>
  <c r="Y260" i="50"/>
  <c r="Y265" i="38"/>
  <c r="Y268" i="50"/>
  <c r="Y408" i="50"/>
  <c r="Y418" i="38"/>
  <c r="Y421" i="50"/>
  <c r="V228" i="52"/>
  <c r="V226" i="40"/>
  <c r="V229" i="52"/>
  <c r="X228" i="38"/>
  <c r="X433" i="38"/>
  <c r="X436" i="50"/>
  <c r="U327" i="53"/>
  <c r="W295" i="52"/>
  <c r="X290" i="52"/>
  <c r="X331" i="40"/>
  <c r="X334" i="52"/>
  <c r="V55" i="53"/>
  <c r="V56" i="53"/>
  <c r="V273" i="53"/>
  <c r="V324" i="41"/>
  <c r="V271" i="41"/>
  <c r="V273" i="41"/>
  <c r="V377" i="41"/>
  <c r="V380" i="53"/>
  <c r="V392" i="41"/>
  <c r="V395" i="53"/>
  <c r="V367" i="53"/>
  <c r="T77" i="38"/>
  <c r="V393" i="52"/>
  <c r="V363" i="40"/>
  <c r="Y332" i="41"/>
  <c r="Y335" i="53"/>
  <c r="Y291" i="53"/>
  <c r="Z287" i="38"/>
  <c r="Z290" i="38"/>
  <c r="D290" i="38"/>
  <c r="Z288" i="38"/>
  <c r="Z285" i="38"/>
  <c r="Z286" i="38"/>
  <c r="Z291" i="38"/>
  <c r="Z289" i="38"/>
  <c r="Z292" i="50"/>
  <c r="Y38" i="40"/>
  <c r="X39" i="52"/>
  <c r="Y240" i="40"/>
  <c r="X243" i="52"/>
  <c r="X357" i="40"/>
  <c r="Y338" i="40"/>
  <c r="U406" i="40"/>
  <c r="U409" i="52"/>
  <c r="U437" i="52"/>
  <c r="V178" i="53"/>
  <c r="V186" i="41"/>
  <c r="U10" i="52"/>
  <c r="U187" i="53"/>
  <c r="U9" i="40"/>
  <c r="T12" i="40"/>
  <c r="U331" i="53"/>
  <c r="U326" i="53"/>
  <c r="U320" i="53"/>
  <c r="V122" i="53"/>
  <c r="W121" i="53"/>
  <c r="S82" i="40"/>
  <c r="S78" i="52"/>
  <c r="L127" i="52"/>
  <c r="L127" i="40"/>
  <c r="L128" i="40"/>
  <c r="L128" i="52"/>
  <c r="G120" i="52"/>
  <c r="G130" i="40"/>
  <c r="G118" i="40"/>
  <c r="AA28" i="54"/>
  <c r="Z30" i="54"/>
  <c r="T66" i="40"/>
  <c r="U55" i="40"/>
  <c r="T56" i="40"/>
  <c r="T177" i="52"/>
  <c r="T177" i="40"/>
  <c r="Z2" i="42"/>
  <c r="Y47" i="42"/>
  <c r="Y1" i="42"/>
  <c r="R183" i="52"/>
  <c r="R202" i="52"/>
  <c r="R199" i="40"/>
  <c r="T35" i="40"/>
  <c r="U32" i="40"/>
  <c r="V120" i="38"/>
  <c r="U121" i="38"/>
  <c r="O130" i="40"/>
  <c r="O120" i="52"/>
  <c r="O118" i="40"/>
  <c r="T121" i="40"/>
  <c r="U120" i="40"/>
  <c r="S9" i="38"/>
  <c r="I127" i="40"/>
  <c r="I128" i="52"/>
  <c r="I127" i="52"/>
  <c r="T32" i="38"/>
  <c r="S187" i="50"/>
  <c r="X120" i="41"/>
  <c r="W121" i="41"/>
  <c r="T27" i="35"/>
  <c r="AB26" i="35"/>
  <c r="G337" i="52"/>
  <c r="S34" i="40"/>
  <c r="S40" i="40"/>
  <c r="S250" i="52"/>
  <c r="U57" i="50"/>
  <c r="U61" i="38"/>
  <c r="U76" i="40"/>
  <c r="T77" i="40"/>
  <c r="T87" i="40"/>
  <c r="R187" i="52"/>
  <c r="Y414" i="50"/>
  <c r="Z402" i="50"/>
  <c r="Z414" i="50"/>
  <c r="U121" i="52"/>
  <c r="T122" i="52"/>
  <c r="Y2" i="53"/>
  <c r="Y79" i="41"/>
  <c r="Y80" i="53"/>
  <c r="Y58" i="41"/>
  <c r="Y59" i="53"/>
  <c r="Y171" i="41"/>
  <c r="Y239" i="41"/>
  <c r="Y242" i="53"/>
  <c r="Y175" i="41"/>
  <c r="Y176" i="53"/>
  <c r="Y100" i="41"/>
  <c r="Y101" i="53"/>
  <c r="F127" i="52"/>
  <c r="F127" i="40"/>
  <c r="F128" i="52"/>
  <c r="F128" i="40"/>
  <c r="W58" i="38"/>
  <c r="W59" i="50"/>
  <c r="W2" i="50"/>
  <c r="W239" i="38"/>
  <c r="W100" i="38"/>
  <c r="W101" i="50"/>
  <c r="W79" i="38"/>
  <c r="W80" i="50"/>
  <c r="W171" i="38"/>
  <c r="W175" i="38"/>
  <c r="W176" i="50"/>
  <c r="X419" i="38"/>
  <c r="X422" i="50"/>
  <c r="X411" i="38"/>
  <c r="Y399" i="38"/>
  <c r="Q128" i="40"/>
  <c r="U121" i="50"/>
  <c r="R35" i="52"/>
  <c r="R34" i="52"/>
  <c r="R33" i="40"/>
  <c r="R45" i="40"/>
  <c r="R42" i="40"/>
  <c r="R43" i="52"/>
  <c r="V297" i="53"/>
  <c r="V318" i="53"/>
  <c r="V341" i="53"/>
  <c r="V360" i="53"/>
  <c r="V400" i="53"/>
  <c r="Q131" i="52"/>
  <c r="U172" i="52"/>
  <c r="U174" i="52"/>
  <c r="U173" i="40"/>
  <c r="U176" i="40"/>
  <c r="S9" i="41"/>
  <c r="S33" i="53"/>
  <c r="U3" i="52"/>
  <c r="V3" i="40"/>
  <c r="R83" i="52"/>
  <c r="R83" i="40"/>
  <c r="R84" i="52"/>
  <c r="Z8" i="53"/>
  <c r="Z2" i="41"/>
  <c r="Z6" i="41"/>
  <c r="Z8" i="41"/>
  <c r="N12" i="41"/>
  <c r="Z3" i="41"/>
  <c r="Z3" i="53"/>
  <c r="X8" i="50"/>
  <c r="X3" i="38"/>
  <c r="X3" i="50"/>
  <c r="X6" i="38"/>
  <c r="Y7" i="38"/>
  <c r="X2" i="38"/>
  <c r="X8" i="38"/>
  <c r="O127" i="52"/>
  <c r="O127" i="40"/>
  <c r="O128" i="52"/>
  <c r="X236" i="41"/>
  <c r="W247" i="41"/>
  <c r="I130" i="40"/>
  <c r="I120" i="52"/>
  <c r="I118" i="40"/>
  <c r="R10" i="50"/>
  <c r="T247" i="40"/>
  <c r="U236" i="40"/>
  <c r="T237" i="40"/>
  <c r="T242" i="40"/>
  <c r="U67" i="50"/>
  <c r="V75" i="50"/>
  <c r="V96" i="50"/>
  <c r="V117" i="50"/>
  <c r="V141" i="50"/>
  <c r="V165" i="50"/>
  <c r="V31" i="50"/>
  <c r="V54" i="50"/>
  <c r="R205" i="40"/>
  <c r="R195" i="40"/>
  <c r="R197" i="52"/>
  <c r="R189" i="40"/>
  <c r="R191" i="52"/>
  <c r="R183" i="40"/>
  <c r="R191" i="40"/>
  <c r="R193" i="52"/>
  <c r="R190" i="40"/>
  <c r="R192" i="52"/>
  <c r="R192" i="40"/>
  <c r="R194" i="52"/>
  <c r="R197" i="40"/>
  <c r="R199" i="52"/>
  <c r="R194" i="40"/>
  <c r="R196" i="52"/>
  <c r="R193" i="40"/>
  <c r="R195" i="52"/>
  <c r="V88" i="50"/>
  <c r="S35" i="41"/>
  <c r="T32" i="41"/>
  <c r="W24" i="54"/>
  <c r="W32" i="54"/>
  <c r="W33" i="54"/>
  <c r="X22" i="54"/>
  <c r="Y9" i="53"/>
  <c r="P12" i="41"/>
  <c r="L12" i="41"/>
  <c r="Y235" i="41"/>
  <c r="Z234" i="41"/>
  <c r="Z235" i="41"/>
  <c r="R36" i="52"/>
  <c r="S33" i="52"/>
  <c r="Z402" i="52"/>
  <c r="Z414" i="52"/>
  <c r="Y414" i="52"/>
  <c r="R41" i="40"/>
  <c r="R42" i="52"/>
  <c r="R41" i="52"/>
  <c r="V250" i="53"/>
  <c r="V258" i="53"/>
  <c r="V237" i="53"/>
  <c r="Y80" i="41"/>
  <c r="X81" i="53"/>
  <c r="R10" i="53"/>
  <c r="S33" i="35"/>
  <c r="R34" i="35"/>
  <c r="W55" i="38"/>
  <c r="V66" i="38"/>
  <c r="V56" i="38"/>
  <c r="U127" i="41"/>
  <c r="U128" i="53"/>
  <c r="U127" i="53"/>
  <c r="P120" i="52"/>
  <c r="P130" i="40"/>
  <c r="P118" i="40"/>
  <c r="W87" i="38"/>
  <c r="X76" i="38"/>
  <c r="W77" i="38"/>
  <c r="Y402" i="53"/>
  <c r="X414" i="53"/>
  <c r="X238" i="53"/>
  <c r="T131" i="53"/>
  <c r="Z379" i="40"/>
  <c r="Z382" i="52"/>
  <c r="Z371" i="40"/>
  <c r="R127" i="52"/>
  <c r="R127" i="40"/>
  <c r="R128" i="52"/>
  <c r="W6" i="50"/>
  <c r="W7" i="50"/>
  <c r="W239" i="53"/>
  <c r="X317" i="41"/>
  <c r="X323" i="41"/>
  <c r="X328" i="41"/>
  <c r="Y294" i="41"/>
  <c r="V173" i="38"/>
  <c r="V176" i="38"/>
  <c r="V172" i="50"/>
  <c r="V174" i="50"/>
  <c r="V58" i="40"/>
  <c r="V59" i="52"/>
  <c r="V171" i="40"/>
  <c r="V100" i="40"/>
  <c r="V101" i="52"/>
  <c r="V79" i="40"/>
  <c r="V80" i="52"/>
  <c r="V175" i="40"/>
  <c r="V176" i="52"/>
  <c r="V2" i="52"/>
  <c r="V239" i="40"/>
  <c r="V242" i="52"/>
  <c r="W2" i="40"/>
  <c r="Z30" i="38"/>
  <c r="Z31" i="38"/>
  <c r="Y31" i="38"/>
  <c r="T318" i="50"/>
  <c r="T341" i="50"/>
  <c r="T360" i="50"/>
  <c r="T400" i="50"/>
  <c r="T297" i="50"/>
  <c r="S109" i="52"/>
  <c r="AI27" i="35"/>
  <c r="AQ26" i="35"/>
  <c r="V108" i="38"/>
  <c r="W97" i="38"/>
  <c r="W97" i="41"/>
  <c r="V108" i="41"/>
  <c r="V98" i="41"/>
  <c r="P127" i="52"/>
  <c r="P127" i="40"/>
  <c r="P128" i="52"/>
  <c r="V82" i="38"/>
  <c r="V78" i="50"/>
  <c r="T104" i="53"/>
  <c r="T104" i="41"/>
  <c r="T105" i="53"/>
  <c r="W177" i="53"/>
  <c r="Q46" i="52"/>
  <c r="N127" i="52"/>
  <c r="N127" i="40"/>
  <c r="N128" i="52"/>
  <c r="R120" i="52"/>
  <c r="R119" i="52"/>
  <c r="R118" i="40"/>
  <c r="R130" i="40"/>
  <c r="R62" i="40"/>
  <c r="R63" i="52"/>
  <c r="R62" i="52"/>
  <c r="U177" i="38"/>
  <c r="U177" i="50"/>
  <c r="S178" i="52"/>
  <c r="S186" i="40"/>
  <c r="T258" i="50"/>
  <c r="T237" i="50"/>
  <c r="AD27" i="54"/>
  <c r="J127" i="52"/>
  <c r="J127" i="40"/>
  <c r="J128" i="52"/>
  <c r="S99" i="52"/>
  <c r="S103" i="40"/>
  <c r="S88" i="52"/>
  <c r="L120" i="52"/>
  <c r="M119" i="52"/>
  <c r="L130" i="40"/>
  <c r="L118" i="40"/>
  <c r="W97" i="50"/>
  <c r="W98" i="50"/>
  <c r="S331" i="50"/>
  <c r="S326" i="50"/>
  <c r="S320" i="50"/>
  <c r="X96" i="38"/>
  <c r="X97" i="50"/>
  <c r="Y95" i="38"/>
  <c r="Q184" i="52"/>
  <c r="Q208" i="52"/>
  <c r="T62" i="38"/>
  <c r="T63" i="50"/>
  <c r="T62" i="50"/>
  <c r="S182" i="40"/>
  <c r="S179" i="40"/>
  <c r="S170" i="52"/>
  <c r="S61" i="40"/>
  <c r="S57" i="52"/>
  <c r="M131" i="52"/>
  <c r="N120" i="52"/>
  <c r="N119" i="52"/>
  <c r="N118" i="40"/>
  <c r="N130" i="40"/>
  <c r="K130" i="40"/>
  <c r="K118" i="40"/>
  <c r="K120" i="52"/>
  <c r="W9" i="50"/>
  <c r="U167" i="50"/>
  <c r="U287" i="50"/>
  <c r="U285" i="50"/>
  <c r="U235" i="50"/>
  <c r="U213" i="50"/>
  <c r="H130" i="40"/>
  <c r="H120" i="52"/>
  <c r="H118" i="40"/>
  <c r="L69" i="54"/>
  <c r="L70" i="54"/>
  <c r="T240" i="52"/>
  <c r="U239" i="52"/>
  <c r="J120" i="52"/>
  <c r="J130" i="40"/>
  <c r="J118" i="40"/>
  <c r="X173" i="41"/>
  <c r="X176" i="41"/>
  <c r="X172" i="53"/>
  <c r="X174" i="53"/>
  <c r="T108" i="40"/>
  <c r="U97" i="40"/>
  <c r="T98" i="40"/>
  <c r="S243" i="40"/>
  <c r="S246" i="52"/>
  <c r="S245" i="52"/>
  <c r="F120" i="52"/>
  <c r="F119" i="52"/>
  <c r="F130" i="40"/>
  <c r="F118" i="40"/>
  <c r="U120" i="53"/>
  <c r="U119" i="53"/>
  <c r="U118" i="41"/>
  <c r="U130" i="41"/>
  <c r="U103" i="41"/>
  <c r="U99" i="53"/>
  <c r="X75" i="53"/>
  <c r="X96" i="53"/>
  <c r="X117" i="53"/>
  <c r="X141" i="53"/>
  <c r="X54" i="53"/>
  <c r="X165" i="53"/>
  <c r="X31" i="53"/>
  <c r="S33" i="50"/>
  <c r="U109" i="53"/>
  <c r="R104" i="52"/>
  <c r="R104" i="40"/>
  <c r="R105" i="52"/>
  <c r="V169" i="41"/>
  <c r="W168" i="41"/>
  <c r="T128" i="41"/>
  <c r="T186" i="38"/>
  <c r="T178" i="50"/>
  <c r="G127" i="40"/>
  <c r="G128" i="52"/>
  <c r="G127" i="52"/>
  <c r="T169" i="40"/>
  <c r="U168" i="40"/>
  <c r="Y6" i="53"/>
  <c r="Y7" i="53"/>
  <c r="S67" i="52"/>
  <c r="M118" i="40"/>
  <c r="K127" i="52"/>
  <c r="K127" i="40"/>
  <c r="K128" i="52"/>
  <c r="R180" i="52"/>
  <c r="R188" i="52"/>
  <c r="R187" i="40"/>
  <c r="H127" i="52"/>
  <c r="H127" i="40"/>
  <c r="H128" i="52"/>
  <c r="T126" i="38"/>
  <c r="T119" i="38"/>
  <c r="S119" i="40"/>
  <c r="S126" i="40"/>
  <c r="W167" i="53"/>
  <c r="W287" i="53"/>
  <c r="W285" i="53"/>
  <c r="W213" i="53"/>
  <c r="W235" i="53"/>
  <c r="U109" i="50"/>
  <c r="V119" i="41"/>
  <c r="V126" i="41"/>
  <c r="M35" i="41"/>
  <c r="T122" i="50"/>
  <c r="W56" i="53"/>
  <c r="W237" i="38"/>
  <c r="W242" i="38"/>
  <c r="X98" i="50"/>
  <c r="H119" i="52"/>
  <c r="Y231" i="50"/>
  <c r="S119" i="53"/>
  <c r="V159" i="40"/>
  <c r="U237" i="38"/>
  <c r="U242" i="38"/>
  <c r="I119" i="38"/>
  <c r="I126" i="38"/>
  <c r="Q119" i="38"/>
  <c r="Q126" i="38"/>
  <c r="N122" i="50"/>
  <c r="U366" i="41"/>
  <c r="U369" i="53"/>
  <c r="U397" i="53"/>
  <c r="U433" i="41"/>
  <c r="U436" i="53"/>
  <c r="I119" i="53"/>
  <c r="M119" i="38"/>
  <c r="M126" i="38"/>
  <c r="O122" i="50"/>
  <c r="U431" i="41"/>
  <c r="U434" i="53"/>
  <c r="U394" i="53"/>
  <c r="V385" i="41"/>
  <c r="V388" i="53"/>
  <c r="V375" i="41"/>
  <c r="V378" i="53"/>
  <c r="V391" i="41"/>
  <c r="V390" i="41"/>
  <c r="V397" i="41"/>
  <c r="V374" i="41"/>
  <c r="V377" i="53"/>
  <c r="V394" i="41"/>
  <c r="T376" i="41"/>
  <c r="T379" i="53"/>
  <c r="T366" i="53"/>
  <c r="J122" i="50"/>
  <c r="H126" i="38"/>
  <c r="H119" i="38"/>
  <c r="T406" i="41"/>
  <c r="T409" i="53"/>
  <c r="T437" i="53"/>
  <c r="U393" i="53"/>
  <c r="U363" i="41"/>
  <c r="X338" i="41"/>
  <c r="W357" i="41"/>
  <c r="R35" i="38"/>
  <c r="P119" i="52"/>
  <c r="V159" i="41"/>
  <c r="T119" i="53"/>
  <c r="Q122" i="50"/>
  <c r="I122" i="50"/>
  <c r="F119" i="38"/>
  <c r="F126" i="38"/>
  <c r="T403" i="41"/>
  <c r="T433" i="53"/>
  <c r="N119" i="38"/>
  <c r="N126" i="38"/>
  <c r="V433" i="41"/>
  <c r="V436" i="53"/>
  <c r="R122" i="50"/>
  <c r="L122" i="50"/>
  <c r="R119" i="38"/>
  <c r="R126" i="38"/>
  <c r="J119" i="38"/>
  <c r="J126" i="38"/>
  <c r="K126" i="38"/>
  <c r="K119" i="38"/>
  <c r="L118" i="38"/>
  <c r="V228" i="40"/>
  <c r="R119" i="53"/>
  <c r="Y328" i="38"/>
  <c r="Y317" i="38"/>
  <c r="Z294" i="38"/>
  <c r="Y323" i="38"/>
  <c r="M122" i="50"/>
  <c r="G122" i="50"/>
  <c r="O126" i="38"/>
  <c r="O119" i="38"/>
  <c r="G119" i="38"/>
  <c r="G126" i="38"/>
  <c r="Z124" i="40"/>
  <c r="Z125" i="52"/>
  <c r="Y125" i="52"/>
  <c r="K122" i="50"/>
  <c r="P122" i="50"/>
  <c r="S406" i="53"/>
  <c r="S416" i="41"/>
  <c r="S419" i="53"/>
  <c r="U425" i="41"/>
  <c r="U428" i="53"/>
  <c r="U434" i="41"/>
  <c r="U414" i="41"/>
  <c r="U417" i="53"/>
  <c r="U415" i="41"/>
  <c r="U418" i="53"/>
  <c r="U430" i="41"/>
  <c r="L127" i="38"/>
  <c r="L128" i="50"/>
  <c r="L127" i="50"/>
  <c r="V231" i="52"/>
  <c r="P237" i="38"/>
  <c r="P242" i="38"/>
  <c r="P245" i="50"/>
  <c r="V237" i="38"/>
  <c r="V242" i="38"/>
  <c r="V243" i="38"/>
  <c r="V246" i="50"/>
  <c r="S119" i="38"/>
  <c r="S126" i="38"/>
  <c r="H122" i="50"/>
  <c r="F122" i="50"/>
  <c r="P126" i="38"/>
  <c r="P119" i="38"/>
  <c r="L130" i="38"/>
  <c r="L131" i="50"/>
  <c r="L120" i="50"/>
  <c r="U245" i="50"/>
  <c r="U243" i="38"/>
  <c r="U246" i="50"/>
  <c r="N128" i="53"/>
  <c r="N128" i="41"/>
  <c r="N129" i="53"/>
  <c r="J11" i="40"/>
  <c r="J17" i="40"/>
  <c r="L128" i="53"/>
  <c r="L128" i="41"/>
  <c r="L129" i="53"/>
  <c r="V231" i="53"/>
  <c r="W76" i="53"/>
  <c r="W77" i="53"/>
  <c r="S237" i="38"/>
  <c r="S242" i="38"/>
  <c r="P119" i="53"/>
  <c r="M119" i="53"/>
  <c r="X75" i="41"/>
  <c r="Y74" i="41"/>
  <c r="W237" i="52"/>
  <c r="W258" i="52"/>
  <c r="Y16" i="53"/>
  <c r="Z15" i="41"/>
  <c r="Z16" i="53"/>
  <c r="T237" i="38"/>
  <c r="T242" i="38"/>
  <c r="J128" i="53"/>
  <c r="J128" i="41"/>
  <c r="J129" i="53"/>
  <c r="V38" i="54"/>
  <c r="V69" i="54"/>
  <c r="V41" i="54"/>
  <c r="P12" i="40"/>
  <c r="H12" i="40"/>
  <c r="A8" i="40"/>
  <c r="S12" i="40"/>
  <c r="I12" i="40"/>
  <c r="N12" i="40"/>
  <c r="K12" i="40"/>
  <c r="F12" i="40"/>
  <c r="Q12" i="40"/>
  <c r="Z9" i="52"/>
  <c r="P13" i="52"/>
  <c r="M12" i="40"/>
  <c r="G12" i="40"/>
  <c r="L12" i="40"/>
  <c r="Z77" i="50"/>
  <c r="L35" i="41"/>
  <c r="L34" i="41"/>
  <c r="Y160" i="50"/>
  <c r="H128" i="53"/>
  <c r="H128" i="41"/>
  <c r="H129" i="53"/>
  <c r="W318" i="52"/>
  <c r="W341" i="52"/>
  <c r="W360" i="52"/>
  <c r="W400" i="52"/>
  <c r="W297" i="52"/>
  <c r="O119" i="53"/>
  <c r="P128" i="53"/>
  <c r="P128" i="41"/>
  <c r="P129" i="53"/>
  <c r="Y75" i="52"/>
  <c r="Y96" i="52"/>
  <c r="Y117" i="52"/>
  <c r="Y141" i="52"/>
  <c r="Y165" i="52"/>
  <c r="Y31" i="52"/>
  <c r="Y54" i="52"/>
  <c r="V320" i="52"/>
  <c r="V326" i="52"/>
  <c r="V331" i="52"/>
  <c r="Z101" i="38"/>
  <c r="Z102" i="50"/>
  <c r="Y102" i="50"/>
  <c r="U326" i="40"/>
  <c r="V160" i="52"/>
  <c r="U57" i="54"/>
  <c r="U62" i="54"/>
  <c r="U63" i="54"/>
  <c r="U60" i="54"/>
  <c r="J119" i="53"/>
  <c r="Y3" i="47"/>
  <c r="W21" i="54"/>
  <c r="X6" i="47"/>
  <c r="X5" i="47"/>
  <c r="M40" i="47"/>
  <c r="X4" i="47"/>
  <c r="M39" i="47"/>
  <c r="X7" i="47"/>
  <c r="M42" i="47"/>
  <c r="Z6" i="52"/>
  <c r="Z7" i="52"/>
  <c r="V87" i="41"/>
  <c r="V88" i="53"/>
  <c r="W76" i="41"/>
  <c r="Q128" i="53"/>
  <c r="Q128" i="41"/>
  <c r="Q129" i="53"/>
  <c r="Q119" i="53"/>
  <c r="M128" i="53"/>
  <c r="M128" i="41"/>
  <c r="M129" i="53"/>
  <c r="P237" i="41"/>
  <c r="P242" i="41"/>
  <c r="V245" i="50"/>
  <c r="O128" i="53"/>
  <c r="O128" i="41"/>
  <c r="O129" i="53"/>
  <c r="F128" i="53"/>
  <c r="F128" i="41"/>
  <c r="F129" i="53"/>
  <c r="X213" i="52"/>
  <c r="X235" i="52"/>
  <c r="X287" i="52"/>
  <c r="X285" i="52"/>
  <c r="X167" i="52"/>
  <c r="Q237" i="38"/>
  <c r="Q242" i="38"/>
  <c r="Z238" i="50"/>
  <c r="I128" i="53"/>
  <c r="I128" i="41"/>
  <c r="I129" i="53"/>
  <c r="K128" i="53"/>
  <c r="K128" i="41"/>
  <c r="K129" i="53"/>
  <c r="Y236" i="38"/>
  <c r="X247" i="38"/>
  <c r="X250" i="50"/>
  <c r="X237" i="38"/>
  <c r="R11" i="40"/>
  <c r="R17" i="40"/>
  <c r="G128" i="53"/>
  <c r="G128" i="41"/>
  <c r="G129" i="53"/>
  <c r="Y238" i="50"/>
  <c r="H237" i="38"/>
  <c r="H242" i="38"/>
  <c r="K237" i="38"/>
  <c r="K242" i="38"/>
  <c r="R237" i="38"/>
  <c r="R242" i="38"/>
  <c r="I237" i="38"/>
  <c r="I242" i="38"/>
  <c r="N237" i="38"/>
  <c r="N242" i="38"/>
  <c r="J237" i="38"/>
  <c r="J242" i="38"/>
  <c r="L237" i="38"/>
  <c r="L242" i="38"/>
  <c r="G237" i="38"/>
  <c r="G242" i="38"/>
  <c r="M237" i="38"/>
  <c r="M242" i="38"/>
  <c r="F237" i="38"/>
  <c r="F242" i="38"/>
  <c r="O237" i="38"/>
  <c r="O242" i="38"/>
  <c r="K119" i="53"/>
  <c r="R128" i="41"/>
  <c r="R129" i="53"/>
  <c r="O11" i="40"/>
  <c r="O17" i="40"/>
  <c r="S128" i="41"/>
  <c r="S129" i="53"/>
  <c r="G119" i="53"/>
  <c r="F41" i="42"/>
  <c r="F42" i="42"/>
  <c r="N128" i="40"/>
  <c r="X390" i="40"/>
  <c r="X394" i="40"/>
  <c r="X391" i="40"/>
  <c r="X397" i="40"/>
  <c r="X375" i="40"/>
  <c r="X378" i="52"/>
  <c r="X385" i="40"/>
  <c r="X388" i="52"/>
  <c r="X374" i="40"/>
  <c r="X377" i="52"/>
  <c r="Z329" i="38"/>
  <c r="Z288" i="50"/>
  <c r="Z292" i="38"/>
  <c r="D285" i="38"/>
  <c r="V376" i="40"/>
  <c r="V379" i="52"/>
  <c r="V366" i="52"/>
  <c r="W425" i="40"/>
  <c r="W428" i="52"/>
  <c r="W430" i="40"/>
  <c r="W414" i="40"/>
  <c r="W417" i="52"/>
  <c r="W415" i="40"/>
  <c r="W418" i="52"/>
  <c r="W434" i="40"/>
  <c r="P78" i="50"/>
  <c r="P82" i="38"/>
  <c r="Y274" i="50"/>
  <c r="Y325" i="38"/>
  <c r="Y328" i="50"/>
  <c r="U416" i="40"/>
  <c r="U419" i="52"/>
  <c r="U406" i="52"/>
  <c r="X332" i="52"/>
  <c r="X339" i="52"/>
  <c r="X336" i="40"/>
  <c r="I82" i="38"/>
  <c r="I78" i="50"/>
  <c r="W418" i="41"/>
  <c r="W421" i="53"/>
  <c r="W408" i="53"/>
  <c r="Z220" i="38"/>
  <c r="Z223" i="50"/>
  <c r="Z215" i="50"/>
  <c r="Z432" i="38"/>
  <c r="Z435" i="50"/>
  <c r="Z407" i="50"/>
  <c r="Z417" i="38"/>
  <c r="Z420" i="50"/>
  <c r="Z277" i="38"/>
  <c r="Z308" i="38"/>
  <c r="Z278" i="50"/>
  <c r="X394" i="38"/>
  <c r="X391" i="38"/>
  <c r="X390" i="38"/>
  <c r="X374" i="38"/>
  <c r="X377" i="50"/>
  <c r="X397" i="38"/>
  <c r="X385" i="38"/>
  <c r="X388" i="50"/>
  <c r="X375" i="38"/>
  <c r="X378" i="50"/>
  <c r="V160" i="53"/>
  <c r="Z172" i="40"/>
  <c r="Z173" i="52"/>
  <c r="Y173" i="52"/>
  <c r="Y228" i="38"/>
  <c r="Z289" i="53"/>
  <c r="D289" i="53"/>
  <c r="Z330" i="41"/>
  <c r="Z333" i="53"/>
  <c r="D333" i="53"/>
  <c r="D286" i="41"/>
  <c r="Z32" i="53"/>
  <c r="J35" i="41"/>
  <c r="X275" i="40"/>
  <c r="X227" i="40"/>
  <c r="X230" i="52"/>
  <c r="X158" i="40"/>
  <c r="X159" i="52"/>
  <c r="X162" i="40"/>
  <c r="X163" i="52"/>
  <c r="Y140" i="40"/>
  <c r="X350" i="40"/>
  <c r="X353" i="52"/>
  <c r="X155" i="40"/>
  <c r="X156" i="40"/>
  <c r="X157" i="52"/>
  <c r="X270" i="40"/>
  <c r="X364" i="40"/>
  <c r="X225" i="40"/>
  <c r="X257" i="40"/>
  <c r="X142" i="40"/>
  <c r="X365" i="40"/>
  <c r="X212" i="40"/>
  <c r="X405" i="40"/>
  <c r="X272" i="40"/>
  <c r="X275" i="52"/>
  <c r="X230" i="40"/>
  <c r="X233" i="52"/>
  <c r="X404" i="40"/>
  <c r="W271" i="40"/>
  <c r="W273" i="40"/>
  <c r="W324" i="40"/>
  <c r="W273" i="52"/>
  <c r="Z291" i="50"/>
  <c r="Z332" i="38"/>
  <c r="Z335" i="50"/>
  <c r="R78" i="50"/>
  <c r="R82" i="38"/>
  <c r="Y294" i="52"/>
  <c r="Y335" i="40"/>
  <c r="Y338" i="52"/>
  <c r="J78" i="50"/>
  <c r="J82" i="38"/>
  <c r="W278" i="53"/>
  <c r="W280" i="53"/>
  <c r="W311" i="53"/>
  <c r="W277" i="41"/>
  <c r="W308" i="41"/>
  <c r="W367" i="53"/>
  <c r="W392" i="41"/>
  <c r="W395" i="53"/>
  <c r="W377" i="41"/>
  <c r="W380" i="53"/>
  <c r="Z150" i="38"/>
  <c r="Z151" i="50"/>
  <c r="Z143" i="50"/>
  <c r="Z378" i="38"/>
  <c r="Z381" i="50"/>
  <c r="Z393" i="38"/>
  <c r="Z396" i="50"/>
  <c r="Z368" i="50"/>
  <c r="Z408" i="50"/>
  <c r="Z418" i="38"/>
  <c r="Z421" i="50"/>
  <c r="V437" i="52"/>
  <c r="V406" i="40"/>
  <c r="V409" i="52"/>
  <c r="V406" i="38"/>
  <c r="V409" i="50"/>
  <c r="V437" i="50"/>
  <c r="N35" i="41"/>
  <c r="Z293" i="53"/>
  <c r="D293" i="53"/>
  <c r="Z334" i="41"/>
  <c r="Z337" i="53"/>
  <c r="Q119" i="52"/>
  <c r="I128" i="40"/>
  <c r="Z240" i="40"/>
  <c r="Z243" i="52"/>
  <c r="Y243" i="52"/>
  <c r="Z293" i="50"/>
  <c r="D293" i="50"/>
  <c r="Z334" i="38"/>
  <c r="Z337" i="50"/>
  <c r="D337" i="50"/>
  <c r="V274" i="53"/>
  <c r="V276" i="53"/>
  <c r="V325" i="41"/>
  <c r="V328" i="53"/>
  <c r="S78" i="50"/>
  <c r="S82" i="38"/>
  <c r="Y326" i="38"/>
  <c r="Y327" i="50"/>
  <c r="Y288" i="52"/>
  <c r="Y292" i="40"/>
  <c r="Y329" i="40"/>
  <c r="X295" i="52"/>
  <c r="Y337" i="53"/>
  <c r="P169" i="41"/>
  <c r="I169" i="41"/>
  <c r="M169" i="41"/>
  <c r="T169" i="41"/>
  <c r="Q169" i="41"/>
  <c r="G169" i="41"/>
  <c r="O169" i="41"/>
  <c r="H169" i="41"/>
  <c r="N169" i="41"/>
  <c r="F169" i="41"/>
  <c r="K169" i="41"/>
  <c r="U169" i="41"/>
  <c r="Y168" i="53"/>
  <c r="Y169" i="53"/>
  <c r="Z169" i="53"/>
  <c r="R169" i="41"/>
  <c r="J169" i="41"/>
  <c r="S169" i="41"/>
  <c r="L169" i="41"/>
  <c r="Y336" i="41"/>
  <c r="Y332" i="53"/>
  <c r="M78" i="50"/>
  <c r="M82" i="38"/>
  <c r="W271" i="41"/>
  <c r="W273" i="41"/>
  <c r="W273" i="53"/>
  <c r="W324" i="41"/>
  <c r="W150" i="41"/>
  <c r="W151" i="53"/>
  <c r="W143" i="53"/>
  <c r="Q35" i="41"/>
  <c r="X168" i="50"/>
  <c r="X169" i="50"/>
  <c r="H44" i="42"/>
  <c r="H43" i="42"/>
  <c r="Z335" i="41"/>
  <c r="Z338" i="53"/>
  <c r="Z294" i="53"/>
  <c r="W226" i="40"/>
  <c r="W229" i="52"/>
  <c r="W228" i="52"/>
  <c r="Y159" i="38"/>
  <c r="Y433" i="38"/>
  <c r="Y436" i="50"/>
  <c r="F31" i="42"/>
  <c r="K119" i="52"/>
  <c r="Z290" i="50"/>
  <c r="D290" i="50"/>
  <c r="Z331" i="38"/>
  <c r="Z334" i="50"/>
  <c r="V327" i="53"/>
  <c r="D287" i="38"/>
  <c r="W431" i="40"/>
  <c r="W434" i="52"/>
  <c r="W394" i="52"/>
  <c r="N78" i="50"/>
  <c r="N82" i="38"/>
  <c r="Z123" i="38"/>
  <c r="Z124" i="50"/>
  <c r="Y124" i="50"/>
  <c r="Z15" i="40"/>
  <c r="Z16" i="52"/>
  <c r="Y16" i="52"/>
  <c r="Y276" i="50"/>
  <c r="Y334" i="50"/>
  <c r="D334" i="50"/>
  <c r="Y293" i="52"/>
  <c r="Y334" i="40"/>
  <c r="U416" i="38"/>
  <c r="U419" i="50"/>
  <c r="U406" i="50"/>
  <c r="Y295" i="53"/>
  <c r="L78" i="50"/>
  <c r="L82" i="38"/>
  <c r="W431" i="38"/>
  <c r="W434" i="50"/>
  <c r="W394" i="50"/>
  <c r="W215" i="53"/>
  <c r="W220" i="41"/>
  <c r="W223" i="53"/>
  <c r="Z367" i="50"/>
  <c r="Z392" i="38"/>
  <c r="Z395" i="50"/>
  <c r="Z377" i="38"/>
  <c r="Z380" i="50"/>
  <c r="Z273" i="50"/>
  <c r="Z271" i="38"/>
  <c r="Z273" i="38"/>
  <c r="Z324" i="38"/>
  <c r="F34" i="41"/>
  <c r="F40" i="41"/>
  <c r="Z123" i="40"/>
  <c r="Z124" i="52"/>
  <c r="Y124" i="52"/>
  <c r="Z166" i="38"/>
  <c r="Z167" i="38"/>
  <c r="Y167" i="38"/>
  <c r="W169" i="38"/>
  <c r="V325" i="40"/>
  <c r="V328" i="52"/>
  <c r="V274" i="52"/>
  <c r="V276" i="52"/>
  <c r="O83" i="50"/>
  <c r="P19" i="47"/>
  <c r="P20" i="47"/>
  <c r="P9" i="47"/>
  <c r="P33" i="47"/>
  <c r="O83" i="38"/>
  <c r="O84" i="50"/>
  <c r="I43" i="42"/>
  <c r="I44" i="42"/>
  <c r="Z290" i="53"/>
  <c r="D290" i="53"/>
  <c r="Z331" i="41"/>
  <c r="Z334" i="53"/>
  <c r="D287" i="41"/>
  <c r="Z172" i="38"/>
  <c r="Y173" i="50"/>
  <c r="Z14" i="38"/>
  <c r="Z15" i="50"/>
  <c r="Y15" i="50"/>
  <c r="W418" i="40"/>
  <c r="W421" i="52"/>
  <c r="W408" i="52"/>
  <c r="W260" i="52"/>
  <c r="W265" i="40"/>
  <c r="W268" i="52"/>
  <c r="R40" i="41"/>
  <c r="Z38" i="40"/>
  <c r="Z39" i="52"/>
  <c r="Y39" i="52"/>
  <c r="U326" i="41"/>
  <c r="Y334" i="53"/>
  <c r="M34" i="41"/>
  <c r="M40" i="41"/>
  <c r="Q78" i="50"/>
  <c r="Q82" i="38"/>
  <c r="Z15" i="38"/>
  <c r="Z16" i="50"/>
  <c r="Y16" i="50"/>
  <c r="Y332" i="40"/>
  <c r="Y335" i="52"/>
  <c r="Y291" i="52"/>
  <c r="F82" i="38"/>
  <c r="F78" i="50"/>
  <c r="W228" i="53"/>
  <c r="W226" i="41"/>
  <c r="W229" i="53"/>
  <c r="W407" i="53"/>
  <c r="W417" i="41"/>
  <c r="W420" i="53"/>
  <c r="W432" i="41"/>
  <c r="W435" i="53"/>
  <c r="G35" i="41"/>
  <c r="V366" i="50"/>
  <c r="V376" i="38"/>
  <c r="V379" i="50"/>
  <c r="W55" i="41"/>
  <c r="V66" i="41"/>
  <c r="V67" i="53"/>
  <c r="Z14" i="40"/>
  <c r="Z15" i="52"/>
  <c r="Y15" i="52"/>
  <c r="V327" i="52"/>
  <c r="V433" i="50"/>
  <c r="V403" i="38"/>
  <c r="Y336" i="38"/>
  <c r="Y332" i="50"/>
  <c r="Y339" i="50"/>
  <c r="W215" i="52"/>
  <c r="W220" i="40"/>
  <c r="W223" i="52"/>
  <c r="W143" i="52"/>
  <c r="W150" i="40"/>
  <c r="W151" i="52"/>
  <c r="Q35" i="38"/>
  <c r="J128" i="40"/>
  <c r="W237" i="41"/>
  <c r="W242" i="41"/>
  <c r="I119" i="52"/>
  <c r="U329" i="53"/>
  <c r="W393" i="52"/>
  <c r="W363" i="40"/>
  <c r="U329" i="52"/>
  <c r="Y290" i="52"/>
  <c r="Y331" i="40"/>
  <c r="P35" i="41"/>
  <c r="K78" i="50"/>
  <c r="K82" i="38"/>
  <c r="W393" i="50"/>
  <c r="W363" i="38"/>
  <c r="W157" i="41"/>
  <c r="W158" i="53"/>
  <c r="W156" i="53"/>
  <c r="W393" i="41"/>
  <c r="W396" i="53"/>
  <c r="W368" i="53"/>
  <c r="W378" i="41"/>
  <c r="W381" i="53"/>
  <c r="O35" i="41"/>
  <c r="Z226" i="38"/>
  <c r="Z229" i="50"/>
  <c r="Z228" i="50"/>
  <c r="Z280" i="50"/>
  <c r="Z311" i="50"/>
  <c r="I35" i="41"/>
  <c r="V273" i="40"/>
  <c r="V433" i="40"/>
  <c r="V436" i="52"/>
  <c r="Z288" i="53"/>
  <c r="D288" i="53"/>
  <c r="Z329" i="41"/>
  <c r="Z292" i="41"/>
  <c r="D285" i="41"/>
  <c r="W377" i="40"/>
  <c r="W380" i="52"/>
  <c r="W367" i="52"/>
  <c r="W392" i="40"/>
  <c r="W395" i="52"/>
  <c r="H128" i="40"/>
  <c r="Z294" i="50"/>
  <c r="Z335" i="38"/>
  <c r="Z338" i="50"/>
  <c r="T78" i="50"/>
  <c r="T82" i="38"/>
  <c r="Z14" i="41"/>
  <c r="Z15" i="53"/>
  <c r="Y15" i="53"/>
  <c r="Y125" i="53"/>
  <c r="Z124" i="41"/>
  <c r="Z125" i="53"/>
  <c r="Z286" i="40"/>
  <c r="Z291" i="40"/>
  <c r="Z290" i="40"/>
  <c r="Z288" i="40"/>
  <c r="Z287" i="40"/>
  <c r="Z285" i="40"/>
  <c r="D285" i="40"/>
  <c r="Z289" i="40"/>
  <c r="Z292" i="52"/>
  <c r="F13" i="42"/>
  <c r="G31" i="42"/>
  <c r="G22" i="42"/>
  <c r="Y81" i="52"/>
  <c r="Z80" i="40"/>
  <c r="Z81" i="52"/>
  <c r="X326" i="38"/>
  <c r="Z80" i="38"/>
  <c r="Z81" i="50"/>
  <c r="Y81" i="50"/>
  <c r="D334" i="38"/>
  <c r="F22" i="42"/>
  <c r="G4" i="42"/>
  <c r="H82" i="38"/>
  <c r="H78" i="50"/>
  <c r="W366" i="38"/>
  <c r="W369" i="50"/>
  <c r="W397" i="50"/>
  <c r="W260" i="53"/>
  <c r="W265" i="41"/>
  <c r="W268" i="53"/>
  <c r="X168" i="38"/>
  <c r="Z265" i="38"/>
  <c r="Z268" i="50"/>
  <c r="Z260" i="50"/>
  <c r="G13" i="42"/>
  <c r="D330" i="41"/>
  <c r="Y53" i="41"/>
  <c r="X54" i="41"/>
  <c r="Y295" i="50"/>
  <c r="F44" i="42"/>
  <c r="F43" i="42"/>
  <c r="Z332" i="41"/>
  <c r="Z335" i="53"/>
  <c r="Z291" i="53"/>
  <c r="Y38" i="53"/>
  <c r="Z37" i="41"/>
  <c r="Z38" i="53"/>
  <c r="W368" i="52"/>
  <c r="W393" i="40"/>
  <c r="W396" i="52"/>
  <c r="W378" i="40"/>
  <c r="W381" i="52"/>
  <c r="W277" i="40"/>
  <c r="W308" i="40"/>
  <c r="W278" i="52"/>
  <c r="W280" i="52"/>
  <c r="W311" i="52"/>
  <c r="Y294" i="40"/>
  <c r="X323" i="40"/>
  <c r="X328" i="40"/>
  <c r="X317" i="40"/>
  <c r="Y357" i="40"/>
  <c r="Z338" i="40"/>
  <c r="Z357" i="40"/>
  <c r="Z289" i="50"/>
  <c r="D289" i="50"/>
  <c r="Z330" i="38"/>
  <c r="D286" i="38"/>
  <c r="W397" i="52"/>
  <c r="W366" i="40"/>
  <c r="W369" i="52"/>
  <c r="C29" i="35"/>
  <c r="B30" i="35"/>
  <c r="Z37" i="40"/>
  <c r="Z38" i="52"/>
  <c r="Y38" i="52"/>
  <c r="Y289" i="52"/>
  <c r="Y330" i="40"/>
  <c r="D286" i="40"/>
  <c r="X329" i="50"/>
  <c r="U78" i="50"/>
  <c r="U82" i="38"/>
  <c r="G82" i="38"/>
  <c r="G78" i="50"/>
  <c r="W430" i="38"/>
  <c r="W434" i="38"/>
  <c r="W415" i="38"/>
  <c r="W418" i="50"/>
  <c r="W414" i="38"/>
  <c r="W417" i="50"/>
  <c r="W425" i="38"/>
  <c r="W428" i="50"/>
  <c r="X156" i="41"/>
  <c r="X157" i="53"/>
  <c r="X142" i="41"/>
  <c r="X212" i="41"/>
  <c r="X365" i="41"/>
  <c r="X350" i="41"/>
  <c r="X353" i="53"/>
  <c r="X155" i="41"/>
  <c r="X257" i="41"/>
  <c r="X158" i="41"/>
  <c r="X159" i="53"/>
  <c r="X270" i="41"/>
  <c r="X364" i="41"/>
  <c r="X230" i="41"/>
  <c r="X233" i="53"/>
  <c r="X275" i="41"/>
  <c r="X162" i="41"/>
  <c r="X163" i="53"/>
  <c r="X225" i="41"/>
  <c r="X272" i="41"/>
  <c r="X275" i="53"/>
  <c r="X404" i="41"/>
  <c r="Y140" i="41"/>
  <c r="X405" i="41"/>
  <c r="X227" i="41"/>
  <c r="X230" i="53"/>
  <c r="Z156" i="50"/>
  <c r="Z157" i="38"/>
  <c r="Z158" i="50"/>
  <c r="V403" i="40"/>
  <c r="V433" i="52"/>
  <c r="Y357" i="38"/>
  <c r="Z338" i="38"/>
  <c r="Z357" i="38"/>
  <c r="X339" i="53"/>
  <c r="K35" i="41"/>
  <c r="Y32" i="53"/>
  <c r="F36" i="53"/>
  <c r="W157" i="40"/>
  <c r="W158" i="52"/>
  <c r="W156" i="52"/>
  <c r="W407" i="52"/>
  <c r="W432" i="40"/>
  <c r="W435" i="52"/>
  <c r="W417" i="40"/>
  <c r="W420" i="52"/>
  <c r="H35" i="41"/>
  <c r="W245" i="53"/>
  <c r="W243" i="41"/>
  <c r="W246" i="53"/>
  <c r="T33" i="50"/>
  <c r="N129" i="52"/>
  <c r="L129" i="52"/>
  <c r="W258" i="53"/>
  <c r="W237" i="53"/>
  <c r="T127" i="38"/>
  <c r="T128" i="50"/>
  <c r="T127" i="50"/>
  <c r="T170" i="52"/>
  <c r="T179" i="40"/>
  <c r="T180" i="40"/>
  <c r="T182" i="40"/>
  <c r="V239" i="52"/>
  <c r="U240" i="52"/>
  <c r="P128" i="40"/>
  <c r="V109" i="50"/>
  <c r="T320" i="50"/>
  <c r="T331" i="50"/>
  <c r="T326" i="50"/>
  <c r="R128" i="40"/>
  <c r="V57" i="50"/>
  <c r="V61" i="38"/>
  <c r="R43" i="40"/>
  <c r="L11" i="41"/>
  <c r="L17" i="41"/>
  <c r="V236" i="40"/>
  <c r="U247" i="40"/>
  <c r="U237" i="40"/>
  <c r="U242" i="40"/>
  <c r="Z9" i="53"/>
  <c r="N13" i="53"/>
  <c r="G12" i="41"/>
  <c r="A8" i="41"/>
  <c r="F12" i="41"/>
  <c r="H12" i="41"/>
  <c r="K12" i="41"/>
  <c r="I12" i="41"/>
  <c r="J12" i="41"/>
  <c r="O12" i="41"/>
  <c r="Q12" i="41"/>
  <c r="M12" i="41"/>
  <c r="R12" i="41"/>
  <c r="W173" i="38"/>
  <c r="W176" i="38"/>
  <c r="W172" i="50"/>
  <c r="W174" i="50"/>
  <c r="Y172" i="53"/>
  <c r="Y174" i="53"/>
  <c r="Y173" i="41"/>
  <c r="Y176" i="41"/>
  <c r="T9" i="38"/>
  <c r="V10" i="52"/>
  <c r="S187" i="40"/>
  <c r="S180" i="52"/>
  <c r="S188" i="52"/>
  <c r="V67" i="50"/>
  <c r="T9" i="41"/>
  <c r="S12" i="41"/>
  <c r="U104" i="53"/>
  <c r="U104" i="41"/>
  <c r="U105" i="53"/>
  <c r="F131" i="52"/>
  <c r="V97" i="40"/>
  <c r="U108" i="40"/>
  <c r="U98" i="40"/>
  <c r="S183" i="52"/>
  <c r="S202" i="52"/>
  <c r="S199" i="40"/>
  <c r="S104" i="52"/>
  <c r="S104" i="40"/>
  <c r="S105" i="52"/>
  <c r="S180" i="40"/>
  <c r="Y32" i="50"/>
  <c r="O35" i="38"/>
  <c r="X239" i="53"/>
  <c r="P243" i="41"/>
  <c r="P246" i="53"/>
  <c r="P245" i="53"/>
  <c r="W78" i="50"/>
  <c r="W82" i="38"/>
  <c r="W66" i="38"/>
  <c r="W56" i="38"/>
  <c r="X55" i="38"/>
  <c r="N17" i="41"/>
  <c r="N11" i="41"/>
  <c r="I131" i="52"/>
  <c r="X2" i="50"/>
  <c r="X171" i="38"/>
  <c r="X100" i="38"/>
  <c r="X101" i="50"/>
  <c r="X239" i="38"/>
  <c r="X58" i="38"/>
  <c r="X59" i="50"/>
  <c r="X79" i="38"/>
  <c r="X80" i="50"/>
  <c r="X175" i="38"/>
  <c r="X176" i="50"/>
  <c r="Z239" i="41"/>
  <c r="Z242" i="53"/>
  <c r="Z79" i="41"/>
  <c r="Z80" i="53"/>
  <c r="Z175" i="41"/>
  <c r="Z176" i="53"/>
  <c r="Z2" i="53"/>
  <c r="Z100" i="41"/>
  <c r="Z101" i="53"/>
  <c r="Z171" i="41"/>
  <c r="Z58" i="41"/>
  <c r="Z59" i="53"/>
  <c r="V331" i="53"/>
  <c r="V320" i="53"/>
  <c r="V326" i="53"/>
  <c r="R35" i="53"/>
  <c r="R42" i="41"/>
  <c r="R43" i="53"/>
  <c r="R45" i="41"/>
  <c r="T88" i="52"/>
  <c r="T126" i="40"/>
  <c r="T119" i="40"/>
  <c r="U126" i="38"/>
  <c r="U119" i="38"/>
  <c r="T186" i="40"/>
  <c r="T178" i="52"/>
  <c r="AB28" i="54"/>
  <c r="AA30" i="54"/>
  <c r="V237" i="41"/>
  <c r="V242" i="41"/>
  <c r="S187" i="52"/>
  <c r="X9" i="50"/>
  <c r="R41" i="53"/>
  <c r="R41" i="41"/>
  <c r="R42" i="53"/>
  <c r="V127" i="41"/>
  <c r="V128" i="53"/>
  <c r="V127" i="53"/>
  <c r="V120" i="53"/>
  <c r="V119" i="53"/>
  <c r="V130" i="41"/>
  <c r="V118" i="41"/>
  <c r="T129" i="53"/>
  <c r="X235" i="53"/>
  <c r="X213" i="53"/>
  <c r="X287" i="53"/>
  <c r="X285" i="53"/>
  <c r="X167" i="53"/>
  <c r="U131" i="53"/>
  <c r="T109" i="52"/>
  <c r="X177" i="53"/>
  <c r="K131" i="52"/>
  <c r="Y96" i="38"/>
  <c r="Z95" i="38"/>
  <c r="Z96" i="38"/>
  <c r="U178" i="50"/>
  <c r="U186" i="38"/>
  <c r="V103" i="41"/>
  <c r="V99" i="53"/>
  <c r="Z32" i="50"/>
  <c r="G35" i="38"/>
  <c r="H35" i="38"/>
  <c r="F35" i="38"/>
  <c r="I35" i="38"/>
  <c r="J35" i="38"/>
  <c r="K35" i="38"/>
  <c r="L35" i="38"/>
  <c r="P35" i="38"/>
  <c r="M35" i="38"/>
  <c r="N35" i="38"/>
  <c r="U237" i="41"/>
  <c r="U242" i="41"/>
  <c r="Y76" i="38"/>
  <c r="X87" i="38"/>
  <c r="X77" i="38"/>
  <c r="P131" i="52"/>
  <c r="W250" i="53"/>
  <c r="Y8" i="50"/>
  <c r="Z7" i="38"/>
  <c r="Y2" i="38"/>
  <c r="Y3" i="38"/>
  <c r="Y3" i="50"/>
  <c r="Y8" i="38"/>
  <c r="Y9" i="50"/>
  <c r="Y6" i="38"/>
  <c r="Z6" i="53"/>
  <c r="Z7" i="53"/>
  <c r="W242" i="50"/>
  <c r="T82" i="40"/>
  <c r="T78" i="52"/>
  <c r="S41" i="40"/>
  <c r="S42" i="52"/>
  <c r="S41" i="52"/>
  <c r="S35" i="38"/>
  <c r="I129" i="52"/>
  <c r="W120" i="38"/>
  <c r="V121" i="38"/>
  <c r="T187" i="50"/>
  <c r="T99" i="52"/>
  <c r="T103" i="40"/>
  <c r="P11" i="41"/>
  <c r="P17" i="41"/>
  <c r="Y411" i="38"/>
  <c r="Z399" i="38"/>
  <c r="Y419" i="38"/>
  <c r="Y422" i="50"/>
  <c r="U121" i="40"/>
  <c r="V120" i="40"/>
  <c r="X168" i="41"/>
  <c r="W169" i="41"/>
  <c r="H131" i="52"/>
  <c r="U237" i="50"/>
  <c r="U258" i="50"/>
  <c r="N131" i="52"/>
  <c r="AE27" i="54"/>
  <c r="W177" i="41"/>
  <c r="V109" i="53"/>
  <c r="W239" i="40"/>
  <c r="W242" i="52"/>
  <c r="W79" i="40"/>
  <c r="W80" i="52"/>
  <c r="W175" i="40"/>
  <c r="W176" i="52"/>
  <c r="W171" i="40"/>
  <c r="W58" i="40"/>
  <c r="W59" i="52"/>
  <c r="W2" i="52"/>
  <c r="W100" i="40"/>
  <c r="W101" i="52"/>
  <c r="X2" i="40"/>
  <c r="V173" i="40"/>
  <c r="V176" i="40"/>
  <c r="V172" i="52"/>
  <c r="V174" i="52"/>
  <c r="V177" i="38"/>
  <c r="V177" i="50"/>
  <c r="W88" i="50"/>
  <c r="S34" i="35"/>
  <c r="R35" i="35"/>
  <c r="S10" i="53"/>
  <c r="Y22" i="54"/>
  <c r="X24" i="54"/>
  <c r="X32" i="54"/>
  <c r="X33" i="54"/>
  <c r="S10" i="50"/>
  <c r="L13" i="53"/>
  <c r="R181" i="52"/>
  <c r="V76" i="40"/>
  <c r="U87" i="40"/>
  <c r="U77" i="40"/>
  <c r="S33" i="40"/>
  <c r="S45" i="40"/>
  <c r="S35" i="52"/>
  <c r="S34" i="52"/>
  <c r="S42" i="40"/>
  <c r="S43" i="52"/>
  <c r="U32" i="38"/>
  <c r="T35" i="38"/>
  <c r="T17" i="40"/>
  <c r="T11" i="40"/>
  <c r="H129" i="52"/>
  <c r="W318" i="53"/>
  <c r="W341" i="53"/>
  <c r="W360" i="53"/>
  <c r="W400" i="53"/>
  <c r="W297" i="53"/>
  <c r="S127" i="52"/>
  <c r="S127" i="40"/>
  <c r="S128" i="52"/>
  <c r="K128" i="40"/>
  <c r="G128" i="40"/>
  <c r="V170" i="53"/>
  <c r="V182" i="41"/>
  <c r="V179" i="41"/>
  <c r="U318" i="50"/>
  <c r="U341" i="50"/>
  <c r="U360" i="50"/>
  <c r="U400" i="50"/>
  <c r="U297" i="50"/>
  <c r="L131" i="52"/>
  <c r="X97" i="41"/>
  <c r="W98" i="41"/>
  <c r="W108" i="41"/>
  <c r="AI28" i="35"/>
  <c r="AQ27" i="35"/>
  <c r="Z294" i="41"/>
  <c r="Y317" i="41"/>
  <c r="Y323" i="41"/>
  <c r="Y328" i="41"/>
  <c r="W54" i="50"/>
  <c r="W31" i="50"/>
  <c r="W75" i="50"/>
  <c r="W96" i="50"/>
  <c r="W117" i="50"/>
  <c r="W141" i="50"/>
  <c r="W165" i="50"/>
  <c r="U128" i="41"/>
  <c r="T33" i="52"/>
  <c r="S36" i="52"/>
  <c r="X237" i="41"/>
  <c r="X242" i="41"/>
  <c r="Y236" i="41"/>
  <c r="X247" i="41"/>
  <c r="U177" i="40"/>
  <c r="U177" i="52"/>
  <c r="R189" i="52"/>
  <c r="U62" i="38"/>
  <c r="U63" i="50"/>
  <c r="U62" i="50"/>
  <c r="AB27" i="35"/>
  <c r="T28" i="35"/>
  <c r="V32" i="40"/>
  <c r="U35" i="40"/>
  <c r="T61" i="40"/>
  <c r="T57" i="52"/>
  <c r="S83" i="52"/>
  <c r="S83" i="40"/>
  <c r="S84" i="52"/>
  <c r="V9" i="40"/>
  <c r="U12" i="40"/>
  <c r="J129" i="52"/>
  <c r="Q40" i="38"/>
  <c r="Q34" i="38"/>
  <c r="S118" i="40"/>
  <c r="S120" i="52"/>
  <c r="S119" i="52"/>
  <c r="S130" i="40"/>
  <c r="Y31" i="53"/>
  <c r="Y75" i="53"/>
  <c r="Y96" i="53"/>
  <c r="Y117" i="53"/>
  <c r="Y141" i="53"/>
  <c r="Y165" i="53"/>
  <c r="Y54" i="53"/>
  <c r="J131" i="52"/>
  <c r="L119" i="52"/>
  <c r="R131" i="52"/>
  <c r="V83" i="38"/>
  <c r="V84" i="50"/>
  <c r="V83" i="50"/>
  <c r="W19" i="47"/>
  <c r="W20" i="47"/>
  <c r="W9" i="47"/>
  <c r="X97" i="38"/>
  <c r="W108" i="38"/>
  <c r="Z402" i="53"/>
  <c r="Z414" i="53"/>
  <c r="Y414" i="53"/>
  <c r="Z238" i="53"/>
  <c r="F237" i="41"/>
  <c r="F242" i="41"/>
  <c r="H237" i="41"/>
  <c r="H242" i="41"/>
  <c r="J237" i="41"/>
  <c r="J242" i="41"/>
  <c r="G237" i="41"/>
  <c r="G242" i="41"/>
  <c r="N237" i="41"/>
  <c r="N242" i="41"/>
  <c r="L237" i="41"/>
  <c r="L242" i="41"/>
  <c r="I237" i="41"/>
  <c r="I242" i="41"/>
  <c r="K237" i="41"/>
  <c r="K242" i="41"/>
  <c r="M237" i="41"/>
  <c r="M242" i="41"/>
  <c r="R237" i="41"/>
  <c r="R242" i="41"/>
  <c r="Q237" i="41"/>
  <c r="Q242" i="41"/>
  <c r="O237" i="41"/>
  <c r="O242" i="41"/>
  <c r="T35" i="41"/>
  <c r="U32" i="41"/>
  <c r="V287" i="50"/>
  <c r="V285" i="50"/>
  <c r="V213" i="50"/>
  <c r="V235" i="50"/>
  <c r="V167" i="50"/>
  <c r="O128" i="40"/>
  <c r="X7" i="50"/>
  <c r="X6" i="50"/>
  <c r="V121" i="50"/>
  <c r="U122" i="50"/>
  <c r="F129" i="52"/>
  <c r="V121" i="52"/>
  <c r="U122" i="52"/>
  <c r="W126" i="41"/>
  <c r="W119" i="41"/>
  <c r="O119" i="52"/>
  <c r="T40" i="40"/>
  <c r="T34" i="40"/>
  <c r="V55" i="40"/>
  <c r="U56" i="40"/>
  <c r="U66" i="40"/>
  <c r="G131" i="52"/>
  <c r="O13" i="53"/>
  <c r="X121" i="53"/>
  <c r="W122" i="53"/>
  <c r="V187" i="53"/>
  <c r="T250" i="52"/>
  <c r="V3" i="52"/>
  <c r="W3" i="40"/>
  <c r="R46" i="52"/>
  <c r="R40" i="38"/>
  <c r="R34" i="38"/>
  <c r="T120" i="50"/>
  <c r="T130" i="38"/>
  <c r="T118" i="38"/>
  <c r="U169" i="40"/>
  <c r="V168" i="40"/>
  <c r="J119" i="52"/>
  <c r="M67" i="54"/>
  <c r="M70" i="54"/>
  <c r="L72" i="54"/>
  <c r="L75" i="54"/>
  <c r="S62" i="52"/>
  <c r="S62" i="40"/>
  <c r="S63" i="52"/>
  <c r="Z80" i="41"/>
  <c r="Z81" i="53"/>
  <c r="Y81" i="53"/>
  <c r="R44" i="52"/>
  <c r="Y238" i="53"/>
  <c r="T237" i="41"/>
  <c r="T242" i="41"/>
  <c r="S237" i="41"/>
  <c r="S242" i="41"/>
  <c r="S34" i="41"/>
  <c r="S40" i="41"/>
  <c r="T245" i="52"/>
  <c r="T243" i="40"/>
  <c r="T246" i="52"/>
  <c r="P13" i="53"/>
  <c r="T33" i="53"/>
  <c r="S36" i="53"/>
  <c r="Q129" i="52"/>
  <c r="Y120" i="41"/>
  <c r="X121" i="41"/>
  <c r="O131" i="52"/>
  <c r="Z47" i="42"/>
  <c r="Z1" i="42"/>
  <c r="T67" i="52"/>
  <c r="G119" i="52"/>
  <c r="Y329" i="50"/>
  <c r="D334" i="41"/>
  <c r="L40" i="41"/>
  <c r="W228" i="41"/>
  <c r="U13" i="52"/>
  <c r="S128" i="40"/>
  <c r="W98" i="38"/>
  <c r="W99" i="50"/>
  <c r="L128" i="38"/>
  <c r="L129" i="50"/>
  <c r="D331" i="41"/>
  <c r="D337" i="53"/>
  <c r="S36" i="50"/>
  <c r="P118" i="38"/>
  <c r="P120" i="50"/>
  <c r="P130" i="38"/>
  <c r="P131" i="50"/>
  <c r="O130" i="38"/>
  <c r="O131" i="50"/>
  <c r="O118" i="38"/>
  <c r="O120" i="50"/>
  <c r="F120" i="50"/>
  <c r="F119" i="50"/>
  <c r="F130" i="38"/>
  <c r="F131" i="50"/>
  <c r="F118" i="38"/>
  <c r="Y338" i="41"/>
  <c r="X357" i="41"/>
  <c r="W159" i="40"/>
  <c r="P243" i="38"/>
  <c r="P246" i="50"/>
  <c r="P127" i="50"/>
  <c r="P127" i="38"/>
  <c r="P128" i="50"/>
  <c r="O127" i="38"/>
  <c r="O128" i="50"/>
  <c r="O127" i="50"/>
  <c r="U366" i="53"/>
  <c r="U376" i="41"/>
  <c r="U379" i="53"/>
  <c r="W160" i="52"/>
  <c r="D331" i="38"/>
  <c r="K118" i="38"/>
  <c r="K130" i="38"/>
  <c r="K131" i="50"/>
  <c r="K120" i="50"/>
  <c r="L119" i="50"/>
  <c r="V366" i="41"/>
  <c r="V369" i="53"/>
  <c r="V397" i="53"/>
  <c r="U433" i="53"/>
  <c r="U403" i="41"/>
  <c r="K127" i="38"/>
  <c r="K128" i="50"/>
  <c r="K127" i="50"/>
  <c r="N127" i="50"/>
  <c r="N127" i="38"/>
  <c r="N128" i="50"/>
  <c r="Q127" i="50"/>
  <c r="Q127" i="38"/>
  <c r="Q128" i="50"/>
  <c r="D334" i="53"/>
  <c r="S127" i="38"/>
  <c r="S127" i="50"/>
  <c r="J127" i="38"/>
  <c r="J128" i="50"/>
  <c r="J127" i="50"/>
  <c r="N130" i="38"/>
  <c r="N131" i="50"/>
  <c r="N120" i="50"/>
  <c r="N118" i="38"/>
  <c r="V434" i="41"/>
  <c r="V415" i="41"/>
  <c r="V418" i="53"/>
  <c r="V414" i="41"/>
  <c r="V417" i="53"/>
  <c r="V425" i="41"/>
  <c r="V428" i="53"/>
  <c r="V430" i="41"/>
  <c r="M127" i="38"/>
  <c r="M128" i="50"/>
  <c r="M127" i="50"/>
  <c r="Q130" i="38"/>
  <c r="Q131" i="50"/>
  <c r="Q118" i="38"/>
  <c r="Q120" i="50"/>
  <c r="Q119" i="50"/>
  <c r="Z159" i="38"/>
  <c r="S120" i="50"/>
  <c r="T119" i="50"/>
  <c r="S130" i="38"/>
  <c r="S131" i="50"/>
  <c r="S118" i="38"/>
  <c r="Z323" i="38"/>
  <c r="Z328" i="38"/>
  <c r="Z317" i="38"/>
  <c r="J118" i="38"/>
  <c r="J120" i="50"/>
  <c r="J130" i="38"/>
  <c r="J131" i="50"/>
  <c r="H120" i="50"/>
  <c r="H118" i="38"/>
  <c r="H130" i="38"/>
  <c r="H131" i="50"/>
  <c r="V363" i="41"/>
  <c r="V393" i="53"/>
  <c r="M130" i="38"/>
  <c r="M131" i="50"/>
  <c r="M118" i="38"/>
  <c r="M120" i="50"/>
  <c r="M119" i="50"/>
  <c r="I127" i="38"/>
  <c r="I128" i="50"/>
  <c r="I127" i="50"/>
  <c r="U406" i="41"/>
  <c r="U409" i="53"/>
  <c r="U437" i="53"/>
  <c r="G127" i="50"/>
  <c r="G127" i="38"/>
  <c r="G128" i="38"/>
  <c r="G129" i="50"/>
  <c r="G128" i="50"/>
  <c r="R127" i="50"/>
  <c r="R127" i="38"/>
  <c r="R128" i="50"/>
  <c r="T416" i="41"/>
  <c r="T419" i="53"/>
  <c r="T406" i="53"/>
  <c r="H127" i="38"/>
  <c r="H128" i="50"/>
  <c r="H127" i="50"/>
  <c r="V431" i="41"/>
  <c r="V434" i="53"/>
  <c r="V394" i="53"/>
  <c r="I118" i="38"/>
  <c r="I120" i="50"/>
  <c r="I119" i="50"/>
  <c r="I130" i="38"/>
  <c r="I131" i="50"/>
  <c r="G120" i="50"/>
  <c r="G130" i="38"/>
  <c r="G131" i="50"/>
  <c r="G118" i="38"/>
  <c r="R130" i="38"/>
  <c r="R131" i="50"/>
  <c r="R118" i="38"/>
  <c r="R120" i="50"/>
  <c r="R119" i="50"/>
  <c r="F127" i="50"/>
  <c r="F127" i="38"/>
  <c r="F128" i="50"/>
  <c r="W397" i="41"/>
  <c r="W394" i="41"/>
  <c r="W391" i="41"/>
  <c r="W374" i="41"/>
  <c r="W377" i="53"/>
  <c r="W390" i="41"/>
  <c r="W385" i="41"/>
  <c r="W388" i="53"/>
  <c r="W375" i="41"/>
  <c r="W378" i="53"/>
  <c r="W160" i="53"/>
  <c r="O12" i="52"/>
  <c r="O19" i="40"/>
  <c r="O20" i="52"/>
  <c r="O22" i="40"/>
  <c r="O23" i="52"/>
  <c r="J245" i="50"/>
  <c r="J243" i="38"/>
  <c r="J246" i="50"/>
  <c r="Z31" i="52"/>
  <c r="Z165" i="52"/>
  <c r="Z75" i="52"/>
  <c r="Z96" i="52"/>
  <c r="Z117" i="52"/>
  <c r="Z141" i="52"/>
  <c r="Z54" i="52"/>
  <c r="W326" i="52"/>
  <c r="W331" i="52"/>
  <c r="W320" i="52"/>
  <c r="G17" i="40"/>
  <c r="G11" i="40"/>
  <c r="S17" i="40"/>
  <c r="S11" i="40"/>
  <c r="Z74" i="41"/>
  <c r="I15" i="47"/>
  <c r="I16" i="47"/>
  <c r="I8" i="47"/>
  <c r="I32" i="47"/>
  <c r="Y75" i="41"/>
  <c r="J18" i="52"/>
  <c r="J18" i="40"/>
  <c r="N243" i="38"/>
  <c r="N246" i="50"/>
  <c r="N245" i="50"/>
  <c r="R18" i="52"/>
  <c r="R18" i="40"/>
  <c r="R19" i="52"/>
  <c r="M11" i="40"/>
  <c r="M17" i="40"/>
  <c r="T243" i="38"/>
  <c r="T246" i="50"/>
  <c r="T245" i="50"/>
  <c r="X76" i="53"/>
  <c r="X77" i="53"/>
  <c r="J22" i="40"/>
  <c r="J23" i="52"/>
  <c r="J19" i="40"/>
  <c r="J20" i="52"/>
  <c r="J12" i="52"/>
  <c r="K36" i="53"/>
  <c r="W159" i="41"/>
  <c r="W433" i="41"/>
  <c r="W436" i="53"/>
  <c r="I245" i="50"/>
  <c r="I243" i="38"/>
  <c r="I246" i="50"/>
  <c r="R12" i="52"/>
  <c r="R22" i="40"/>
  <c r="R23" i="52"/>
  <c r="R19" i="40"/>
  <c r="R20" i="52"/>
  <c r="N13" i="52"/>
  <c r="R13" i="52"/>
  <c r="K13" i="52"/>
  <c r="T13" i="52"/>
  <c r="F13" i="52"/>
  <c r="M13" i="52"/>
  <c r="H13" i="52"/>
  <c r="I13" i="52"/>
  <c r="G13" i="52"/>
  <c r="L13" i="52"/>
  <c r="J13" i="52"/>
  <c r="Q13" i="52"/>
  <c r="H17" i="40"/>
  <c r="H11" i="40"/>
  <c r="V326" i="41"/>
  <c r="O243" i="38"/>
  <c r="O246" i="50"/>
  <c r="O245" i="50"/>
  <c r="R243" i="38"/>
  <c r="R246" i="50"/>
  <c r="R245" i="50"/>
  <c r="W240" i="50"/>
  <c r="Y167" i="52"/>
  <c r="Y213" i="52"/>
  <c r="Y287" i="52"/>
  <c r="Y285" i="52"/>
  <c r="Y235" i="52"/>
  <c r="Q17" i="40"/>
  <c r="Q11" i="40"/>
  <c r="R10" i="40"/>
  <c r="P11" i="40"/>
  <c r="P17" i="40"/>
  <c r="F243" i="38"/>
  <c r="F246" i="50"/>
  <c r="F245" i="50"/>
  <c r="K243" i="38"/>
  <c r="K246" i="50"/>
  <c r="K245" i="50"/>
  <c r="Q243" i="38"/>
  <c r="Q246" i="50"/>
  <c r="Q245" i="50"/>
  <c r="W87" i="41"/>
  <c r="W88" i="53"/>
  <c r="X76" i="41"/>
  <c r="F17" i="40"/>
  <c r="F11" i="40"/>
  <c r="V57" i="54"/>
  <c r="V62" i="54"/>
  <c r="V63" i="54"/>
  <c r="V60" i="54"/>
  <c r="S243" i="38"/>
  <c r="S246" i="50"/>
  <c r="S245" i="50"/>
  <c r="R43" i="41"/>
  <c r="V326" i="40"/>
  <c r="M243" i="38"/>
  <c r="M246" i="50"/>
  <c r="M245" i="50"/>
  <c r="H245" i="50"/>
  <c r="H243" i="38"/>
  <c r="H246" i="50"/>
  <c r="Y247" i="38"/>
  <c r="Y250" i="50"/>
  <c r="Z236" i="38"/>
  <c r="Y237" i="38"/>
  <c r="W41" i="54"/>
  <c r="W38" i="54"/>
  <c r="W69" i="54"/>
  <c r="K17" i="40"/>
  <c r="K11" i="40"/>
  <c r="S13" i="52"/>
  <c r="V329" i="52"/>
  <c r="G243" i="38"/>
  <c r="G246" i="50"/>
  <c r="G245" i="50"/>
  <c r="K240" i="50"/>
  <c r="N240" i="50"/>
  <c r="J240" i="50"/>
  <c r="O240" i="50"/>
  <c r="G240" i="50"/>
  <c r="R240" i="50"/>
  <c r="I240" i="50"/>
  <c r="U240" i="50"/>
  <c r="F240" i="50"/>
  <c r="V240" i="50"/>
  <c r="L240" i="50"/>
  <c r="T240" i="50"/>
  <c r="Y239" i="50"/>
  <c r="S240" i="50"/>
  <c r="M240" i="50"/>
  <c r="X240" i="50"/>
  <c r="Q240" i="50"/>
  <c r="H240" i="50"/>
  <c r="P240" i="50"/>
  <c r="X297" i="52"/>
  <c r="X318" i="52"/>
  <c r="X341" i="52"/>
  <c r="X360" i="52"/>
  <c r="X400" i="52"/>
  <c r="Y5" i="47"/>
  <c r="N40" i="47"/>
  <c r="X21" i="54"/>
  <c r="Y7" i="47"/>
  <c r="N42" i="47"/>
  <c r="Y6" i="47"/>
  <c r="Y4" i="47"/>
  <c r="N39" i="47"/>
  <c r="Z3" i="47"/>
  <c r="N11" i="40"/>
  <c r="O10" i="40"/>
  <c r="N17" i="40"/>
  <c r="O18" i="52"/>
  <c r="O18" i="40"/>
  <c r="L243" i="38"/>
  <c r="L246" i="50"/>
  <c r="L245" i="50"/>
  <c r="X258" i="52"/>
  <c r="X237" i="52"/>
  <c r="L11" i="40"/>
  <c r="L17" i="40"/>
  <c r="I17" i="40"/>
  <c r="I11" i="40"/>
  <c r="O13" i="52"/>
  <c r="S98" i="38"/>
  <c r="V128" i="41"/>
  <c r="Z374" i="38"/>
  <c r="Z377" i="50"/>
  <c r="Z391" i="38"/>
  <c r="Z375" i="38"/>
  <c r="Z378" i="50"/>
  <c r="Z394" i="38"/>
  <c r="Z385" i="38"/>
  <c r="Z388" i="50"/>
  <c r="Z390" i="38"/>
  <c r="Z397" i="38"/>
  <c r="N36" i="53"/>
  <c r="X215" i="53"/>
  <c r="X220" i="41"/>
  <c r="X223" i="53"/>
  <c r="H83" i="50"/>
  <c r="H83" i="38"/>
  <c r="H84" i="50"/>
  <c r="I19" i="47"/>
  <c r="I20" i="47"/>
  <c r="I9" i="47"/>
  <c r="I33" i="47"/>
  <c r="Z334" i="40"/>
  <c r="Z337" i="52"/>
  <c r="Z293" i="52"/>
  <c r="Y334" i="52"/>
  <c r="F41" i="53"/>
  <c r="F41" i="41"/>
  <c r="F42" i="53"/>
  <c r="N83" i="50"/>
  <c r="O19" i="47"/>
  <c r="O20" i="47"/>
  <c r="O9" i="47"/>
  <c r="O33" i="47"/>
  <c r="N83" i="38"/>
  <c r="N84" i="50"/>
  <c r="L170" i="53"/>
  <c r="L182" i="41"/>
  <c r="L179" i="41"/>
  <c r="N182" i="41"/>
  <c r="N170" i="53"/>
  <c r="N179" i="41"/>
  <c r="P179" i="41"/>
  <c r="P182" i="41"/>
  <c r="P170" i="53"/>
  <c r="X367" i="52"/>
  <c r="X377" i="40"/>
  <c r="X380" i="52"/>
  <c r="X392" i="40"/>
  <c r="X395" i="52"/>
  <c r="J34" i="41"/>
  <c r="J40" i="41"/>
  <c r="X425" i="38"/>
  <c r="X428" i="50"/>
  <c r="X414" i="38"/>
  <c r="X417" i="50"/>
  <c r="X434" i="38"/>
  <c r="X415" i="38"/>
  <c r="X418" i="50"/>
  <c r="X430" i="38"/>
  <c r="X414" i="40"/>
  <c r="X417" i="52"/>
  <c r="X415" i="40"/>
  <c r="X418" i="52"/>
  <c r="X434" i="40"/>
  <c r="X425" i="40"/>
  <c r="X428" i="52"/>
  <c r="X430" i="40"/>
  <c r="L41" i="41"/>
  <c r="L42" i="53"/>
  <c r="L41" i="53"/>
  <c r="X278" i="53"/>
  <c r="X280" i="53"/>
  <c r="X311" i="53"/>
  <c r="X277" i="41"/>
  <c r="X308" i="41"/>
  <c r="Z332" i="40"/>
  <c r="Z335" i="52"/>
  <c r="Z291" i="52"/>
  <c r="W376" i="38"/>
  <c r="W379" i="50"/>
  <c r="W366" i="50"/>
  <c r="I179" i="41"/>
  <c r="I182" i="41"/>
  <c r="I170" i="53"/>
  <c r="X226" i="40"/>
  <c r="X229" i="52"/>
  <c r="X228" i="52"/>
  <c r="Y390" i="38"/>
  <c r="Y394" i="38"/>
  <c r="Y391" i="38"/>
  <c r="Y385" i="38"/>
  <c r="Y388" i="50"/>
  <c r="Y374" i="38"/>
  <c r="Y377" i="50"/>
  <c r="Y397" i="38"/>
  <c r="Y375" i="38"/>
  <c r="Y378" i="50"/>
  <c r="M36" i="53"/>
  <c r="X408" i="53"/>
  <c r="X418" i="41"/>
  <c r="X421" i="53"/>
  <c r="X377" i="41"/>
  <c r="X380" i="53"/>
  <c r="X392" i="41"/>
  <c r="X395" i="53"/>
  <c r="X367" i="53"/>
  <c r="X150" i="41"/>
  <c r="X151" i="53"/>
  <c r="X143" i="53"/>
  <c r="G83" i="38"/>
  <c r="G84" i="50"/>
  <c r="H19" i="47"/>
  <c r="H20" i="47"/>
  <c r="H9" i="47"/>
  <c r="H33" i="47"/>
  <c r="G83" i="50"/>
  <c r="X55" i="53"/>
  <c r="X56" i="53"/>
  <c r="W170" i="50"/>
  <c r="W182" i="38"/>
  <c r="W179" i="38"/>
  <c r="G42" i="42"/>
  <c r="G41" i="42"/>
  <c r="Z294" i="52"/>
  <c r="Z335" i="40"/>
  <c r="Z338" i="52"/>
  <c r="I34" i="41"/>
  <c r="I40" i="41"/>
  <c r="K83" i="50"/>
  <c r="K83" i="38"/>
  <c r="K84" i="50"/>
  <c r="L19" i="47"/>
  <c r="L20" i="47"/>
  <c r="L9" i="47"/>
  <c r="L33" i="47"/>
  <c r="V416" i="38"/>
  <c r="V419" i="50"/>
  <c r="V406" i="50"/>
  <c r="F35" i="53"/>
  <c r="F34" i="53"/>
  <c r="F42" i="41"/>
  <c r="F43" i="53"/>
  <c r="F33" i="41"/>
  <c r="F45" i="41"/>
  <c r="F46" i="53"/>
  <c r="W228" i="40"/>
  <c r="S170" i="53"/>
  <c r="S182" i="41"/>
  <c r="S179" i="41"/>
  <c r="H170" i="53"/>
  <c r="H182" i="41"/>
  <c r="H179" i="41"/>
  <c r="X271" i="40"/>
  <c r="X273" i="40"/>
  <c r="X324" i="40"/>
  <c r="X273" i="52"/>
  <c r="X278" i="52"/>
  <c r="X280" i="52"/>
  <c r="X311" i="52"/>
  <c r="X277" i="40"/>
  <c r="X308" i="40"/>
  <c r="L36" i="53"/>
  <c r="X394" i="52"/>
  <c r="X431" i="40"/>
  <c r="X434" i="52"/>
  <c r="L45" i="41"/>
  <c r="L46" i="53"/>
  <c r="L35" i="53"/>
  <c r="L42" i="41"/>
  <c r="L43" i="53"/>
  <c r="W403" i="38"/>
  <c r="W433" i="50"/>
  <c r="Y391" i="40"/>
  <c r="Y390" i="40"/>
  <c r="Y394" i="40"/>
  <c r="Y385" i="40"/>
  <c r="Y388" i="52"/>
  <c r="Y375" i="40"/>
  <c r="Y378" i="52"/>
  <c r="Y374" i="40"/>
  <c r="Y377" i="52"/>
  <c r="Y397" i="40"/>
  <c r="W327" i="53"/>
  <c r="F170" i="53"/>
  <c r="F182" i="41"/>
  <c r="F179" i="41"/>
  <c r="X417" i="40"/>
  <c r="X420" i="52"/>
  <c r="X407" i="52"/>
  <c r="X432" i="40"/>
  <c r="X435" i="52"/>
  <c r="H36" i="53"/>
  <c r="Y405" i="41"/>
  <c r="Y156" i="41"/>
  <c r="Y157" i="53"/>
  <c r="Y142" i="41"/>
  <c r="Y350" i="41"/>
  <c r="Y353" i="53"/>
  <c r="Y404" i="41"/>
  <c r="Y162" i="41"/>
  <c r="Y163" i="53"/>
  <c r="Y257" i="41"/>
  <c r="Y365" i="41"/>
  <c r="Y364" i="41"/>
  <c r="Y212" i="41"/>
  <c r="Z140" i="41"/>
  <c r="Y155" i="41"/>
  <c r="Y275" i="41"/>
  <c r="Y225" i="41"/>
  <c r="Y270" i="41"/>
  <c r="Y230" i="41"/>
  <c r="Y233" i="53"/>
  <c r="Y158" i="41"/>
  <c r="Y159" i="53"/>
  <c r="Y227" i="41"/>
  <c r="Y230" i="53"/>
  <c r="Y272" i="41"/>
  <c r="Y275" i="53"/>
  <c r="X271" i="41"/>
  <c r="X273" i="41"/>
  <c r="X324" i="41"/>
  <c r="X273" i="53"/>
  <c r="V19" i="47"/>
  <c r="V20" i="47"/>
  <c r="V9" i="47"/>
  <c r="K44" i="47"/>
  <c r="U83" i="50"/>
  <c r="U83" i="38"/>
  <c r="U84" i="50"/>
  <c r="B31" i="35"/>
  <c r="C30" i="35"/>
  <c r="Y54" i="41"/>
  <c r="Y55" i="53"/>
  <c r="Z53" i="41"/>
  <c r="Z54" i="41"/>
  <c r="Y168" i="38"/>
  <c r="X169" i="38"/>
  <c r="Z289" i="52"/>
  <c r="D289" i="52"/>
  <c r="Z330" i="40"/>
  <c r="Z333" i="52"/>
  <c r="Z332" i="53"/>
  <c r="Z336" i="41"/>
  <c r="W231" i="53"/>
  <c r="D290" i="40"/>
  <c r="W231" i="52"/>
  <c r="W274" i="53"/>
  <c r="W276" i="53"/>
  <c r="W325" i="41"/>
  <c r="W328" i="53"/>
  <c r="J182" i="41"/>
  <c r="J170" i="53"/>
  <c r="J179" i="41"/>
  <c r="O170" i="53"/>
  <c r="O179" i="41"/>
  <c r="O182" i="41"/>
  <c r="X418" i="40"/>
  <c r="X421" i="52"/>
  <c r="X408" i="52"/>
  <c r="X393" i="50"/>
  <c r="X363" i="38"/>
  <c r="Q19" i="47"/>
  <c r="Q20" i="47"/>
  <c r="Q9" i="47"/>
  <c r="Q33" i="47"/>
  <c r="P83" i="50"/>
  <c r="P83" i="38"/>
  <c r="P84" i="50"/>
  <c r="W406" i="40"/>
  <c r="W409" i="52"/>
  <c r="W437" i="52"/>
  <c r="X366" i="40"/>
  <c r="X369" i="52"/>
  <c r="X397" i="52"/>
  <c r="V416" i="40"/>
  <c r="V419" i="52"/>
  <c r="V406" i="52"/>
  <c r="X407" i="53"/>
  <c r="X432" i="41"/>
  <c r="X435" i="53"/>
  <c r="X417" i="41"/>
  <c r="X420" i="53"/>
  <c r="Y328" i="40"/>
  <c r="Z294" i="40"/>
  <c r="Y317" i="40"/>
  <c r="Y323" i="40"/>
  <c r="Z295" i="53"/>
  <c r="Z231" i="50"/>
  <c r="X55" i="41"/>
  <c r="W66" i="41"/>
  <c r="W67" i="53"/>
  <c r="Q83" i="50"/>
  <c r="Q83" i="38"/>
  <c r="Q84" i="50"/>
  <c r="R19" i="47"/>
  <c r="R20" i="47"/>
  <c r="R9" i="47"/>
  <c r="G44" i="47"/>
  <c r="Z327" i="50"/>
  <c r="Y337" i="52"/>
  <c r="D337" i="52"/>
  <c r="M83" i="50"/>
  <c r="M83" i="38"/>
  <c r="M84" i="50"/>
  <c r="N19" i="47"/>
  <c r="N20" i="47"/>
  <c r="N9" i="47"/>
  <c r="N33" i="47"/>
  <c r="R182" i="41"/>
  <c r="R170" i="53"/>
  <c r="R179" i="41"/>
  <c r="G170" i="53"/>
  <c r="G182" i="41"/>
  <c r="G179" i="41"/>
  <c r="R83" i="38"/>
  <c r="R84" i="50"/>
  <c r="R83" i="50"/>
  <c r="S19" i="47"/>
  <c r="S20" i="47"/>
  <c r="S9" i="47"/>
  <c r="H44" i="47"/>
  <c r="X220" i="40"/>
  <c r="X223" i="52"/>
  <c r="X215" i="52"/>
  <c r="X157" i="40"/>
  <c r="X158" i="52"/>
  <c r="X156" i="52"/>
  <c r="X431" i="38"/>
  <c r="X434" i="50"/>
  <c r="X394" i="50"/>
  <c r="Z295" i="50"/>
  <c r="D288" i="50"/>
  <c r="X393" i="52"/>
  <c r="X363" i="40"/>
  <c r="P40" i="41"/>
  <c r="P34" i="41"/>
  <c r="Z173" i="50"/>
  <c r="I36" i="53"/>
  <c r="R36" i="53"/>
  <c r="O36" i="53"/>
  <c r="G36" i="53"/>
  <c r="X265" i="41"/>
  <c r="X268" i="53"/>
  <c r="X260" i="53"/>
  <c r="Z333" i="50"/>
  <c r="D333" i="50"/>
  <c r="D330" i="38"/>
  <c r="T83" i="50"/>
  <c r="T83" i="38"/>
  <c r="T84" i="50"/>
  <c r="U19" i="47"/>
  <c r="U20" i="47"/>
  <c r="U9" i="47"/>
  <c r="J44" i="47"/>
  <c r="Y168" i="50"/>
  <c r="Y169" i="50"/>
  <c r="V169" i="38"/>
  <c r="T169" i="38"/>
  <c r="U169" i="38"/>
  <c r="Z274" i="50"/>
  <c r="Z276" i="50"/>
  <c r="Z325" i="38"/>
  <c r="Z328" i="50"/>
  <c r="D293" i="52"/>
  <c r="Q40" i="41"/>
  <c r="Q34" i="41"/>
  <c r="Q170" i="53"/>
  <c r="Q182" i="41"/>
  <c r="Q179" i="41"/>
  <c r="Y332" i="52"/>
  <c r="Y336" i="40"/>
  <c r="S83" i="50"/>
  <c r="S83" i="38"/>
  <c r="S84" i="50"/>
  <c r="T19" i="47"/>
  <c r="T20" i="47"/>
  <c r="T9" i="47"/>
  <c r="I44" i="47"/>
  <c r="X368" i="52"/>
  <c r="X393" i="40"/>
  <c r="X396" i="52"/>
  <c r="X378" i="40"/>
  <c r="X381" i="52"/>
  <c r="X397" i="50"/>
  <c r="X366" i="38"/>
  <c r="X369" i="50"/>
  <c r="Z332" i="50"/>
  <c r="Z336" i="38"/>
  <c r="D329" i="38"/>
  <c r="F49" i="42"/>
  <c r="X368" i="53"/>
  <c r="X393" i="41"/>
  <c r="X396" i="53"/>
  <c r="X378" i="41"/>
  <c r="X381" i="53"/>
  <c r="J19" i="47"/>
  <c r="J20" i="47"/>
  <c r="J9" i="47"/>
  <c r="J33" i="47"/>
  <c r="I83" i="38"/>
  <c r="I84" i="50"/>
  <c r="I83" i="50"/>
  <c r="H34" i="41"/>
  <c r="H40" i="41"/>
  <c r="K34" i="41"/>
  <c r="L33" i="41"/>
  <c r="K40" i="41"/>
  <c r="J36" i="53"/>
  <c r="X228" i="53"/>
  <c r="X226" i="41"/>
  <c r="X229" i="53"/>
  <c r="X156" i="53"/>
  <c r="X157" i="41"/>
  <c r="X158" i="53"/>
  <c r="G50" i="42"/>
  <c r="F50" i="42"/>
  <c r="H50" i="42"/>
  <c r="I50" i="42"/>
  <c r="Z288" i="52"/>
  <c r="D288" i="52"/>
  <c r="Z329" i="40"/>
  <c r="D329" i="40"/>
  <c r="Z292" i="40"/>
  <c r="Z228" i="38"/>
  <c r="Z433" i="38"/>
  <c r="Z436" i="50"/>
  <c r="W376" i="40"/>
  <c r="W379" i="52"/>
  <c r="W366" i="52"/>
  <c r="M41" i="53"/>
  <c r="M41" i="41"/>
  <c r="M42" i="53"/>
  <c r="S169" i="38"/>
  <c r="Z168" i="50"/>
  <c r="I169" i="38"/>
  <c r="P169" i="38"/>
  <c r="O169" i="38"/>
  <c r="M169" i="38"/>
  <c r="F169" i="38"/>
  <c r="G169" i="38"/>
  <c r="K169" i="38"/>
  <c r="H169" i="38"/>
  <c r="L169" i="38"/>
  <c r="N169" i="38"/>
  <c r="J169" i="38"/>
  <c r="L83" i="50"/>
  <c r="L83" i="38"/>
  <c r="L84" i="50"/>
  <c r="M19" i="47"/>
  <c r="M20" i="47"/>
  <c r="M9" i="47"/>
  <c r="M33" i="47"/>
  <c r="R169" i="38"/>
  <c r="D329" i="41"/>
  <c r="U170" i="53"/>
  <c r="U182" i="41"/>
  <c r="U179" i="41"/>
  <c r="T182" i="41"/>
  <c r="T170" i="53"/>
  <c r="T179" i="41"/>
  <c r="N40" i="41"/>
  <c r="N34" i="41"/>
  <c r="W327" i="52"/>
  <c r="X143" i="52"/>
  <c r="X150" i="40"/>
  <c r="X151" i="52"/>
  <c r="Y155" i="40"/>
  <c r="Y162" i="40"/>
  <c r="Y163" i="52"/>
  <c r="Y275" i="40"/>
  <c r="Y270" i="40"/>
  <c r="Y227" i="40"/>
  <c r="Y230" i="52"/>
  <c r="Y156" i="40"/>
  <c r="Y157" i="52"/>
  <c r="Y405" i="40"/>
  <c r="Y350" i="40"/>
  <c r="Y353" i="52"/>
  <c r="Y364" i="40"/>
  <c r="Y257" i="40"/>
  <c r="Y212" i="40"/>
  <c r="Y225" i="40"/>
  <c r="Y272" i="40"/>
  <c r="Y275" i="52"/>
  <c r="Y230" i="40"/>
  <c r="Y233" i="52"/>
  <c r="Y365" i="40"/>
  <c r="Y158" i="40"/>
  <c r="Y159" i="52"/>
  <c r="Y142" i="40"/>
  <c r="Y404" i="40"/>
  <c r="Z140" i="40"/>
  <c r="W403" i="40"/>
  <c r="W433" i="52"/>
  <c r="Q36" i="53"/>
  <c r="Z160" i="50"/>
  <c r="W437" i="50"/>
  <c r="W406" i="38"/>
  <c r="W409" i="50"/>
  <c r="Y333" i="52"/>
  <c r="Z374" i="40"/>
  <c r="Z377" i="52"/>
  <c r="Z375" i="40"/>
  <c r="Z378" i="52"/>
  <c r="Z385" i="40"/>
  <c r="Z388" i="52"/>
  <c r="Z394" i="40"/>
  <c r="Z390" i="40"/>
  <c r="Z397" i="40"/>
  <c r="Z391" i="40"/>
  <c r="D287" i="40"/>
  <c r="Z331" i="40"/>
  <c r="Z334" i="52"/>
  <c r="D334" i="52"/>
  <c r="Z290" i="52"/>
  <c r="D290" i="52"/>
  <c r="O34" i="41"/>
  <c r="O40" i="41"/>
  <c r="G34" i="41"/>
  <c r="G40" i="41"/>
  <c r="F83" i="38"/>
  <c r="F84" i="50"/>
  <c r="G19" i="47"/>
  <c r="G20" i="47"/>
  <c r="G9" i="47"/>
  <c r="G33" i="47"/>
  <c r="F83" i="50"/>
  <c r="M33" i="41"/>
  <c r="M45" i="41"/>
  <c r="M46" i="53"/>
  <c r="M42" i="41"/>
  <c r="M43" i="53"/>
  <c r="M35" i="53"/>
  <c r="Q169" i="38"/>
  <c r="Y339" i="53"/>
  <c r="K182" i="41"/>
  <c r="K170" i="53"/>
  <c r="K179" i="41"/>
  <c r="M170" i="53"/>
  <c r="M182" i="41"/>
  <c r="M179" i="41"/>
  <c r="Y295" i="52"/>
  <c r="V329" i="53"/>
  <c r="J83" i="50"/>
  <c r="K19" i="47"/>
  <c r="K20" i="47"/>
  <c r="K9" i="47"/>
  <c r="K33" i="47"/>
  <c r="J83" i="38"/>
  <c r="J84" i="50"/>
  <c r="W325" i="40"/>
  <c r="W328" i="52"/>
  <c r="W274" i="52"/>
  <c r="W276" i="52"/>
  <c r="X260" i="52"/>
  <c r="X265" i="40"/>
  <c r="X268" i="52"/>
  <c r="P36" i="53"/>
  <c r="S103" i="38"/>
  <c r="S99" i="50"/>
  <c r="L44" i="47"/>
  <c r="W178" i="53"/>
  <c r="W186" i="41"/>
  <c r="X88" i="50"/>
  <c r="T187" i="52"/>
  <c r="U33" i="53"/>
  <c r="T36" i="53"/>
  <c r="S243" i="41"/>
  <c r="S246" i="53"/>
  <c r="S245" i="53"/>
  <c r="N67" i="54"/>
  <c r="N70" i="54"/>
  <c r="M72" i="54"/>
  <c r="M75" i="54"/>
  <c r="U61" i="40"/>
  <c r="U57" i="52"/>
  <c r="K245" i="53"/>
  <c r="K243" i="41"/>
  <c r="K246" i="53"/>
  <c r="H240" i="53"/>
  <c r="J240" i="53"/>
  <c r="I240" i="53"/>
  <c r="G240" i="53"/>
  <c r="F240" i="53"/>
  <c r="K240" i="53"/>
  <c r="L240" i="53"/>
  <c r="O240" i="53"/>
  <c r="N240" i="53"/>
  <c r="P240" i="53"/>
  <c r="M240" i="53"/>
  <c r="Y97" i="38"/>
  <c r="X108" i="38"/>
  <c r="X98" i="38"/>
  <c r="Y235" i="53"/>
  <c r="Y167" i="53"/>
  <c r="Y213" i="53"/>
  <c r="Y287" i="53"/>
  <c r="Y285" i="53"/>
  <c r="W32" i="40"/>
  <c r="V35" i="40"/>
  <c r="Y247" i="41"/>
  <c r="Z236" i="41"/>
  <c r="Y237" i="41"/>
  <c r="Y242" i="41"/>
  <c r="W103" i="41"/>
  <c r="W99" i="53"/>
  <c r="K129" i="52"/>
  <c r="T40" i="38"/>
  <c r="T34" i="38"/>
  <c r="U82" i="40"/>
  <c r="U78" i="52"/>
  <c r="T10" i="53"/>
  <c r="S13" i="53"/>
  <c r="Y168" i="41"/>
  <c r="Y177" i="41"/>
  <c r="X169" i="41"/>
  <c r="Z419" i="38"/>
  <c r="Z422" i="50"/>
  <c r="Z411" i="38"/>
  <c r="P34" i="38"/>
  <c r="Q33" i="38"/>
  <c r="P40" i="38"/>
  <c r="H36" i="50"/>
  <c r="G36" i="50"/>
  <c r="I36" i="50"/>
  <c r="F36" i="50"/>
  <c r="J36" i="50"/>
  <c r="K36" i="50"/>
  <c r="L36" i="50"/>
  <c r="X297" i="53"/>
  <c r="X318" i="53"/>
  <c r="X341" i="53"/>
  <c r="X360" i="53"/>
  <c r="X400" i="53"/>
  <c r="V131" i="53"/>
  <c r="U127" i="50"/>
  <c r="U127" i="38"/>
  <c r="U128" i="50"/>
  <c r="N18" i="53"/>
  <c r="N18" i="41"/>
  <c r="N19" i="53"/>
  <c r="S191" i="40"/>
  <c r="S193" i="52"/>
  <c r="S205" i="40"/>
  <c r="S195" i="40"/>
  <c r="S197" i="52"/>
  <c r="S197" i="40"/>
  <c r="S199" i="52"/>
  <c r="S189" i="40"/>
  <c r="S191" i="52"/>
  <c r="S194" i="40"/>
  <c r="S196" i="52"/>
  <c r="S192" i="40"/>
  <c r="S194" i="52"/>
  <c r="S183" i="40"/>
  <c r="S193" i="40"/>
  <c r="S195" i="52"/>
  <c r="S190" i="40"/>
  <c r="S192" i="52"/>
  <c r="W177" i="38"/>
  <c r="W177" i="50"/>
  <c r="H17" i="41"/>
  <c r="H11" i="41"/>
  <c r="X119" i="41"/>
  <c r="X126" i="41"/>
  <c r="V122" i="50"/>
  <c r="W121" i="50"/>
  <c r="V318" i="50"/>
  <c r="V341" i="50"/>
  <c r="V360" i="50"/>
  <c r="V400" i="50"/>
  <c r="V297" i="50"/>
  <c r="Q42" i="38"/>
  <c r="Q43" i="50"/>
  <c r="Q45" i="38"/>
  <c r="Q35" i="50"/>
  <c r="V187" i="41"/>
  <c r="V180" i="53"/>
  <c r="V180" i="41"/>
  <c r="U35" i="38"/>
  <c r="V32" i="38"/>
  <c r="AF27" i="54"/>
  <c r="S40" i="38"/>
  <c r="S34" i="38"/>
  <c r="L40" i="38"/>
  <c r="L34" i="38"/>
  <c r="T120" i="52"/>
  <c r="T119" i="52"/>
  <c r="T118" i="40"/>
  <c r="T130" i="40"/>
  <c r="Z173" i="41"/>
  <c r="Z176" i="41"/>
  <c r="Z172" i="53"/>
  <c r="Z174" i="53"/>
  <c r="X66" i="38"/>
  <c r="Y55" i="38"/>
  <c r="X56" i="38"/>
  <c r="W10" i="52"/>
  <c r="V13" i="52"/>
  <c r="U9" i="38"/>
  <c r="F11" i="41"/>
  <c r="F17" i="41"/>
  <c r="L18" i="53"/>
  <c r="L18" i="41"/>
  <c r="L19" i="53"/>
  <c r="Z120" i="41"/>
  <c r="Z121" i="41"/>
  <c r="Y121" i="41"/>
  <c r="S240" i="53"/>
  <c r="U240" i="53"/>
  <c r="R240" i="53"/>
  <c r="V240" i="53"/>
  <c r="V169" i="40"/>
  <c r="W168" i="40"/>
  <c r="R41" i="38"/>
  <c r="R42" i="50"/>
  <c r="R41" i="50"/>
  <c r="W3" i="52"/>
  <c r="X3" i="40"/>
  <c r="W127" i="53"/>
  <c r="W127" i="41"/>
  <c r="W128" i="53"/>
  <c r="X75" i="50"/>
  <c r="X96" i="50"/>
  <c r="X117" i="50"/>
  <c r="X141" i="50"/>
  <c r="X165" i="50"/>
  <c r="X31" i="50"/>
  <c r="X54" i="50"/>
  <c r="U35" i="41"/>
  <c r="V32" i="41"/>
  <c r="L243" i="41"/>
  <c r="L246" i="53"/>
  <c r="L245" i="53"/>
  <c r="Q41" i="38"/>
  <c r="Q42" i="50"/>
  <c r="Q41" i="50"/>
  <c r="Z317" i="41"/>
  <c r="Z323" i="41"/>
  <c r="Z328" i="41"/>
  <c r="V199" i="41"/>
  <c r="V183" i="53"/>
  <c r="V202" i="53"/>
  <c r="W76" i="40"/>
  <c r="V87" i="40"/>
  <c r="V77" i="40"/>
  <c r="T10" i="50"/>
  <c r="R36" i="35"/>
  <c r="S35" i="35"/>
  <c r="P18" i="53"/>
  <c r="P18" i="41"/>
  <c r="P19" i="53"/>
  <c r="S43" i="40"/>
  <c r="W243" i="38"/>
  <c r="W246" i="50"/>
  <c r="W245" i="50"/>
  <c r="K40" i="38"/>
  <c r="K34" i="38"/>
  <c r="V104" i="53"/>
  <c r="V104" i="41"/>
  <c r="V105" i="53"/>
  <c r="X177" i="41"/>
  <c r="X258" i="53"/>
  <c r="X237" i="53"/>
  <c r="R44" i="53"/>
  <c r="T127" i="52"/>
  <c r="T127" i="40"/>
  <c r="T128" i="52"/>
  <c r="W61" i="38"/>
  <c r="W57" i="50"/>
  <c r="W240" i="53"/>
  <c r="U109" i="52"/>
  <c r="M17" i="41"/>
  <c r="M11" i="41"/>
  <c r="L22" i="41"/>
  <c r="L12" i="53"/>
  <c r="L19" i="41"/>
  <c r="L20" i="53"/>
  <c r="R129" i="52"/>
  <c r="T128" i="38"/>
  <c r="U33" i="50"/>
  <c r="T36" i="50"/>
  <c r="R35" i="50"/>
  <c r="R33" i="38"/>
  <c r="R45" i="38"/>
  <c r="R42" i="38"/>
  <c r="R43" i="50"/>
  <c r="V56" i="40"/>
  <c r="V66" i="40"/>
  <c r="W55" i="40"/>
  <c r="I243" i="41"/>
  <c r="I246" i="53"/>
  <c r="I245" i="53"/>
  <c r="W103" i="38"/>
  <c r="X243" i="41"/>
  <c r="X246" i="53"/>
  <c r="X245" i="53"/>
  <c r="Y97" i="41"/>
  <c r="X98" i="41"/>
  <c r="X108" i="41"/>
  <c r="U320" i="50"/>
  <c r="U331" i="50"/>
  <c r="U326" i="50"/>
  <c r="S129" i="52"/>
  <c r="U88" i="52"/>
  <c r="T104" i="52"/>
  <c r="T104" i="40"/>
  <c r="T105" i="52"/>
  <c r="Z75" i="53"/>
  <c r="Z96" i="53"/>
  <c r="Z117" i="53"/>
  <c r="Z141" i="53"/>
  <c r="Z165" i="53"/>
  <c r="Z54" i="53"/>
  <c r="Z31" i="53"/>
  <c r="Y239" i="53"/>
  <c r="X240" i="53"/>
  <c r="U103" i="40"/>
  <c r="U99" i="52"/>
  <c r="R17" i="41"/>
  <c r="R11" i="41"/>
  <c r="U170" i="52"/>
  <c r="U182" i="40"/>
  <c r="U179" i="40"/>
  <c r="U180" i="40"/>
  <c r="Y121" i="53"/>
  <c r="X122" i="53"/>
  <c r="T40" i="41"/>
  <c r="T34" i="41"/>
  <c r="N245" i="53"/>
  <c r="N243" i="41"/>
  <c r="N246" i="53"/>
  <c r="T62" i="52"/>
  <c r="T62" i="40"/>
  <c r="T63" i="52"/>
  <c r="R184" i="52"/>
  <c r="R208" i="52"/>
  <c r="P22" i="41"/>
  <c r="P12" i="53"/>
  <c r="P19" i="41"/>
  <c r="P20" i="53"/>
  <c r="S44" i="52"/>
  <c r="X78" i="50"/>
  <c r="X82" i="38"/>
  <c r="J40" i="38"/>
  <c r="J34" i="38"/>
  <c r="T98" i="38"/>
  <c r="AC28" i="54"/>
  <c r="AB30" i="54"/>
  <c r="W67" i="50"/>
  <c r="V108" i="40"/>
  <c r="V98" i="40"/>
  <c r="W97" i="40"/>
  <c r="Q11" i="41"/>
  <c r="Q17" i="41"/>
  <c r="G17" i="41"/>
  <c r="G11" i="41"/>
  <c r="P129" i="52"/>
  <c r="T240" i="53"/>
  <c r="G243" i="41"/>
  <c r="G246" i="53"/>
  <c r="G245" i="53"/>
  <c r="U129" i="53"/>
  <c r="W83" i="38"/>
  <c r="W84" i="50"/>
  <c r="W83" i="50"/>
  <c r="X19" i="47"/>
  <c r="X20" i="47"/>
  <c r="X9" i="47"/>
  <c r="T41" i="52"/>
  <c r="T41" i="40"/>
  <c r="T42" i="52"/>
  <c r="V122" i="52"/>
  <c r="W121" i="52"/>
  <c r="Q245" i="53"/>
  <c r="Q243" i="41"/>
  <c r="Q246" i="53"/>
  <c r="J243" i="41"/>
  <c r="J246" i="53"/>
  <c r="J245" i="53"/>
  <c r="U17" i="40"/>
  <c r="U11" i="40"/>
  <c r="T36" i="52"/>
  <c r="U33" i="52"/>
  <c r="T10" i="40"/>
  <c r="T12" i="52"/>
  <c r="T22" i="40"/>
  <c r="T19" i="40"/>
  <c r="T20" i="52"/>
  <c r="Z22" i="54"/>
  <c r="Y24" i="54"/>
  <c r="Y32" i="54"/>
  <c r="Y33" i="54"/>
  <c r="W173" i="40"/>
  <c r="W176" i="40"/>
  <c r="W172" i="52"/>
  <c r="W174" i="52"/>
  <c r="U119" i="40"/>
  <c r="U126" i="40"/>
  <c r="V119" i="38"/>
  <c r="V126" i="38"/>
  <c r="Y100" i="38"/>
  <c r="Y101" i="50"/>
  <c r="Y58" i="38"/>
  <c r="Y59" i="50"/>
  <c r="Y2" i="50"/>
  <c r="Y239" i="38"/>
  <c r="Y171" i="38"/>
  <c r="Y175" i="38"/>
  <c r="Y176" i="50"/>
  <c r="Y79" i="38"/>
  <c r="Y80" i="50"/>
  <c r="Y87" i="38"/>
  <c r="Z76" i="38"/>
  <c r="Y77" i="38"/>
  <c r="F40" i="38"/>
  <c r="F34" i="38"/>
  <c r="Y97" i="50"/>
  <c r="Y98" i="50"/>
  <c r="U98" i="38"/>
  <c r="V129" i="53"/>
  <c r="S181" i="52"/>
  <c r="T192" i="40"/>
  <c r="T194" i="52"/>
  <c r="T183" i="40"/>
  <c r="T205" i="40"/>
  <c r="T190" i="40"/>
  <c r="T192" i="52"/>
  <c r="T193" i="40"/>
  <c r="T195" i="52"/>
  <c r="T195" i="40"/>
  <c r="T197" i="52"/>
  <c r="T197" i="40"/>
  <c r="T199" i="52"/>
  <c r="T194" i="40"/>
  <c r="T196" i="52"/>
  <c r="T189" i="40"/>
  <c r="T191" i="52"/>
  <c r="T191" i="40"/>
  <c r="T193" i="52"/>
  <c r="Q36" i="50"/>
  <c r="N36" i="50"/>
  <c r="O36" i="50"/>
  <c r="P36" i="50"/>
  <c r="M36" i="50"/>
  <c r="R36" i="50"/>
  <c r="U9" i="41"/>
  <c r="T12" i="41"/>
  <c r="Y177" i="53"/>
  <c r="J17" i="41"/>
  <c r="J11" i="41"/>
  <c r="U245" i="52"/>
  <c r="U243" i="40"/>
  <c r="U246" i="52"/>
  <c r="T199" i="40"/>
  <c r="T183" i="52"/>
  <c r="T202" i="52"/>
  <c r="T245" i="53"/>
  <c r="T243" i="41"/>
  <c r="T246" i="53"/>
  <c r="T35" i="52"/>
  <c r="T34" i="52"/>
  <c r="T42" i="40"/>
  <c r="T43" i="52"/>
  <c r="T45" i="40"/>
  <c r="T33" i="40"/>
  <c r="O243" i="41"/>
  <c r="O246" i="53"/>
  <c r="O245" i="53"/>
  <c r="AB28" i="35"/>
  <c r="T29" i="35"/>
  <c r="V186" i="38"/>
  <c r="V178" i="50"/>
  <c r="I34" i="38"/>
  <c r="I40" i="38"/>
  <c r="X242" i="50"/>
  <c r="X242" i="38"/>
  <c r="O40" i="38"/>
  <c r="O34" i="38"/>
  <c r="S17" i="41"/>
  <c r="S11" i="41"/>
  <c r="O11" i="41"/>
  <c r="P10" i="41"/>
  <c r="O17" i="41"/>
  <c r="H13" i="53"/>
  <c r="J13" i="53"/>
  <c r="I13" i="53"/>
  <c r="G13" i="53"/>
  <c r="F13" i="53"/>
  <c r="K13" i="53"/>
  <c r="M13" i="53"/>
  <c r="S41" i="53"/>
  <c r="S41" i="41"/>
  <c r="S42" i="53"/>
  <c r="R245" i="53"/>
  <c r="R243" i="41"/>
  <c r="R246" i="53"/>
  <c r="H243" i="41"/>
  <c r="H246" i="53"/>
  <c r="H245" i="53"/>
  <c r="S131" i="52"/>
  <c r="W9" i="40"/>
  <c r="V12" i="40"/>
  <c r="U178" i="52"/>
  <c r="U186" i="40"/>
  <c r="AI29" i="35"/>
  <c r="AQ28" i="35"/>
  <c r="W320" i="53"/>
  <c r="W331" i="53"/>
  <c r="W326" i="53"/>
  <c r="T18" i="52"/>
  <c r="T18" i="40"/>
  <c r="T19" i="52"/>
  <c r="S46" i="52"/>
  <c r="V177" i="52"/>
  <c r="V177" i="40"/>
  <c r="X120" i="38"/>
  <c r="W121" i="38"/>
  <c r="T83" i="52"/>
  <c r="T83" i="40"/>
  <c r="T84" i="52"/>
  <c r="Z8" i="50"/>
  <c r="Z8" i="38"/>
  <c r="Z6" i="38"/>
  <c r="F36" i="28"/>
  <c r="Z2" i="38"/>
  <c r="Z3" i="38"/>
  <c r="Z3" i="50"/>
  <c r="U245" i="53"/>
  <c r="U243" i="41"/>
  <c r="U246" i="53"/>
  <c r="N34" i="38"/>
  <c r="N40" i="38"/>
  <c r="H40" i="38"/>
  <c r="H34" i="38"/>
  <c r="S189" i="52"/>
  <c r="R46" i="53"/>
  <c r="X173" i="38"/>
  <c r="X176" i="38"/>
  <c r="X172" i="50"/>
  <c r="X174" i="50"/>
  <c r="I11" i="41"/>
  <c r="I17" i="41"/>
  <c r="U250" i="52"/>
  <c r="T187" i="40"/>
  <c r="T180" i="52"/>
  <c r="T188" i="52"/>
  <c r="W120" i="53"/>
  <c r="W119" i="53"/>
  <c r="W118" i="41"/>
  <c r="W130" i="41"/>
  <c r="O129" i="52"/>
  <c r="G129" i="52"/>
  <c r="W120" i="40"/>
  <c r="V121" i="40"/>
  <c r="Z97" i="50"/>
  <c r="F98" i="38"/>
  <c r="G98" i="38"/>
  <c r="H98" i="38"/>
  <c r="J98" i="38"/>
  <c r="I98" i="38"/>
  <c r="L98" i="38"/>
  <c r="K98" i="38"/>
  <c r="O98" i="38"/>
  <c r="M98" i="38"/>
  <c r="N98" i="38"/>
  <c r="P98" i="38"/>
  <c r="Q98" i="38"/>
  <c r="R98" i="38"/>
  <c r="S35" i="53"/>
  <c r="S34" i="53"/>
  <c r="S33" i="41"/>
  <c r="S45" i="41"/>
  <c r="S42" i="41"/>
  <c r="S43" i="53"/>
  <c r="V98" i="38"/>
  <c r="T131" i="50"/>
  <c r="U67" i="52"/>
  <c r="V258" i="50"/>
  <c r="V237" i="50"/>
  <c r="M243" i="41"/>
  <c r="M246" i="53"/>
  <c r="M245" i="53"/>
  <c r="F243" i="41"/>
  <c r="F246" i="53"/>
  <c r="F245" i="53"/>
  <c r="W109" i="50"/>
  <c r="U34" i="40"/>
  <c r="U40" i="40"/>
  <c r="X250" i="53"/>
  <c r="W167" i="50"/>
  <c r="W287" i="50"/>
  <c r="W285" i="50"/>
  <c r="W213" i="50"/>
  <c r="W235" i="50"/>
  <c r="W109" i="53"/>
  <c r="R13" i="53"/>
  <c r="X58" i="40"/>
  <c r="X59" i="52"/>
  <c r="X2" i="52"/>
  <c r="X79" i="40"/>
  <c r="X80" i="52"/>
  <c r="X171" i="40"/>
  <c r="X175" i="40"/>
  <c r="X176" i="52"/>
  <c r="X239" i="40"/>
  <c r="X242" i="52"/>
  <c r="X100" i="40"/>
  <c r="X101" i="52"/>
  <c r="Y2" i="40"/>
  <c r="W170" i="53"/>
  <c r="W182" i="41"/>
  <c r="W179" i="41"/>
  <c r="W180" i="41"/>
  <c r="Y6" i="50"/>
  <c r="Y7" i="50"/>
  <c r="Q13" i="53"/>
  <c r="M34" i="38"/>
  <c r="M40" i="38"/>
  <c r="G40" i="38"/>
  <c r="G34" i="38"/>
  <c r="U187" i="50"/>
  <c r="V245" i="53"/>
  <c r="V243" i="41"/>
  <c r="V246" i="53"/>
  <c r="U130" i="38"/>
  <c r="U120" i="50"/>
  <c r="U119" i="50"/>
  <c r="U118" i="38"/>
  <c r="N10" i="41"/>
  <c r="N19" i="41"/>
  <c r="N20" i="53"/>
  <c r="N22" i="41"/>
  <c r="N12" i="53"/>
  <c r="Q240" i="53"/>
  <c r="K11" i="41"/>
  <c r="L10" i="41"/>
  <c r="K17" i="41"/>
  <c r="V237" i="40"/>
  <c r="V242" i="40"/>
  <c r="V247" i="40"/>
  <c r="W236" i="40"/>
  <c r="V62" i="50"/>
  <c r="V62" i="38"/>
  <c r="V63" i="50"/>
  <c r="W239" i="52"/>
  <c r="V240" i="52"/>
  <c r="M34" i="53"/>
  <c r="F128" i="38"/>
  <c r="F129" i="50"/>
  <c r="R34" i="50"/>
  <c r="N128" i="38"/>
  <c r="N129" i="50"/>
  <c r="O128" i="38"/>
  <c r="O129" i="50"/>
  <c r="X231" i="53"/>
  <c r="W433" i="40"/>
  <c r="W436" i="52"/>
  <c r="O119" i="50"/>
  <c r="G119" i="50"/>
  <c r="W128" i="41"/>
  <c r="M128" i="38"/>
  <c r="M129" i="50"/>
  <c r="P128" i="38"/>
  <c r="P129" i="50"/>
  <c r="N119" i="50"/>
  <c r="Q128" i="38"/>
  <c r="Q129" i="50"/>
  <c r="D334" i="40"/>
  <c r="Y56" i="53"/>
  <c r="J119" i="50"/>
  <c r="J128" i="38"/>
  <c r="J129" i="50"/>
  <c r="Q44" i="50"/>
  <c r="Q43" i="38"/>
  <c r="W366" i="41"/>
  <c r="W369" i="53"/>
  <c r="W397" i="53"/>
  <c r="H128" i="38"/>
  <c r="H129" i="50"/>
  <c r="S119" i="50"/>
  <c r="U406" i="53"/>
  <c r="U416" i="41"/>
  <c r="U419" i="53"/>
  <c r="G49" i="42"/>
  <c r="V376" i="41"/>
  <c r="V379" i="53"/>
  <c r="V366" i="53"/>
  <c r="K119" i="50"/>
  <c r="X397" i="41"/>
  <c r="X375" i="41"/>
  <c r="X378" i="53"/>
  <c r="X391" i="41"/>
  <c r="X394" i="41"/>
  <c r="X374" i="41"/>
  <c r="X377" i="53"/>
  <c r="X390" i="41"/>
  <c r="X385" i="41"/>
  <c r="X388" i="53"/>
  <c r="W393" i="53"/>
  <c r="W363" i="41"/>
  <c r="R128" i="38"/>
  <c r="R129" i="50"/>
  <c r="I128" i="38"/>
  <c r="I129" i="50"/>
  <c r="V437" i="53"/>
  <c r="V406" i="41"/>
  <c r="V409" i="53"/>
  <c r="S128" i="50"/>
  <c r="S128" i="38"/>
  <c r="S129" i="50"/>
  <c r="K128" i="38"/>
  <c r="K129" i="50"/>
  <c r="Y357" i="41"/>
  <c r="Z338" i="41"/>
  <c r="Z357" i="41"/>
  <c r="P119" i="50"/>
  <c r="W434" i="41"/>
  <c r="W415" i="41"/>
  <c r="W418" i="53"/>
  <c r="W414" i="41"/>
  <c r="W417" i="53"/>
  <c r="W430" i="41"/>
  <c r="W425" i="41"/>
  <c r="W428" i="53"/>
  <c r="V403" i="41"/>
  <c r="V433" i="53"/>
  <c r="W431" i="41"/>
  <c r="W434" i="53"/>
  <c r="W394" i="53"/>
  <c r="H119" i="50"/>
  <c r="I22" i="40"/>
  <c r="I23" i="52"/>
  <c r="I19" i="40"/>
  <c r="I20" i="52"/>
  <c r="I10" i="40"/>
  <c r="I12" i="52"/>
  <c r="J10" i="40"/>
  <c r="O19" i="52"/>
  <c r="O20" i="40"/>
  <c r="O21" i="52"/>
  <c r="X38" i="54"/>
  <c r="X41" i="54"/>
  <c r="X69" i="54"/>
  <c r="H12" i="52"/>
  <c r="H10" i="40"/>
  <c r="H19" i="40"/>
  <c r="H20" i="52"/>
  <c r="H22" i="40"/>
  <c r="H23" i="52"/>
  <c r="J19" i="52"/>
  <c r="J20" i="40"/>
  <c r="J21" i="52"/>
  <c r="W56" i="41"/>
  <c r="I18" i="52"/>
  <c r="I18" i="40"/>
  <c r="Z237" i="38"/>
  <c r="Z247" i="38"/>
  <c r="Z250" i="50"/>
  <c r="P18" i="40"/>
  <c r="P19" i="52"/>
  <c r="P18" i="52"/>
  <c r="H18" i="40"/>
  <c r="H18" i="52"/>
  <c r="W57" i="54"/>
  <c r="W62" i="54"/>
  <c r="W63" i="54"/>
  <c r="W60" i="54"/>
  <c r="F33" i="47"/>
  <c r="X228" i="41"/>
  <c r="Z326" i="38"/>
  <c r="L18" i="40"/>
  <c r="L19" i="52"/>
  <c r="L18" i="52"/>
  <c r="N18" i="40"/>
  <c r="N18" i="52"/>
  <c r="Y240" i="50"/>
  <c r="Z239" i="50"/>
  <c r="Z240" i="50"/>
  <c r="P10" i="40"/>
  <c r="P19" i="40"/>
  <c r="P20" i="52"/>
  <c r="P12" i="52"/>
  <c r="P11" i="52"/>
  <c r="P22" i="40"/>
  <c r="P23" i="52"/>
  <c r="M18" i="52"/>
  <c r="M18" i="40"/>
  <c r="M19" i="52"/>
  <c r="Y76" i="53"/>
  <c r="Y77" i="53"/>
  <c r="X87" i="41"/>
  <c r="X88" i="53"/>
  <c r="Y76" i="41"/>
  <c r="L20" i="41"/>
  <c r="S56" i="41"/>
  <c r="F43" i="41"/>
  <c r="L22" i="40"/>
  <c r="L23" i="52"/>
  <c r="L19" i="40"/>
  <c r="L20" i="52"/>
  <c r="L10" i="40"/>
  <c r="L12" i="52"/>
  <c r="N19" i="40"/>
  <c r="N20" i="52"/>
  <c r="N12" i="52"/>
  <c r="N22" i="40"/>
  <c r="N23" i="52"/>
  <c r="N10" i="40"/>
  <c r="X326" i="52"/>
  <c r="X320" i="52"/>
  <c r="X331" i="52"/>
  <c r="K22" i="40"/>
  <c r="K23" i="52"/>
  <c r="K19" i="40"/>
  <c r="K20" i="52"/>
  <c r="K10" i="40"/>
  <c r="K12" i="52"/>
  <c r="K11" i="52"/>
  <c r="Q10" i="40"/>
  <c r="Q19" i="40"/>
  <c r="Q20" i="52"/>
  <c r="Q12" i="52"/>
  <c r="Q22" i="40"/>
  <c r="Q23" i="52"/>
  <c r="M22" i="40"/>
  <c r="M23" i="52"/>
  <c r="M10" i="40"/>
  <c r="M12" i="52"/>
  <c r="M19" i="40"/>
  <c r="M20" i="52"/>
  <c r="Z75" i="41"/>
  <c r="V77" i="41"/>
  <c r="H15" i="47"/>
  <c r="H16" i="47"/>
  <c r="H8" i="47"/>
  <c r="H32" i="47"/>
  <c r="G15" i="47"/>
  <c r="G16" i="47"/>
  <c r="G8" i="47"/>
  <c r="J15" i="47"/>
  <c r="J16" i="47"/>
  <c r="J8" i="47"/>
  <c r="J32" i="47"/>
  <c r="G18" i="40"/>
  <c r="G18" i="52"/>
  <c r="Z5" i="47"/>
  <c r="O40" i="47"/>
  <c r="Z4" i="47"/>
  <c r="O39" i="47"/>
  <c r="Y21" i="54"/>
  <c r="Z7" i="47"/>
  <c r="O42" i="47"/>
  <c r="Z6" i="47"/>
  <c r="AA3" i="47"/>
  <c r="K18" i="52"/>
  <c r="K18" i="40"/>
  <c r="Q18" i="52"/>
  <c r="Q18" i="40"/>
  <c r="S22" i="40"/>
  <c r="S23" i="52"/>
  <c r="S10" i="40"/>
  <c r="S12" i="52"/>
  <c r="S11" i="52"/>
  <c r="S19" i="40"/>
  <c r="S20" i="52"/>
  <c r="F19" i="40"/>
  <c r="F20" i="52"/>
  <c r="F10" i="40"/>
  <c r="F22" i="40"/>
  <c r="F23" i="52"/>
  <c r="F12" i="52"/>
  <c r="F11" i="52"/>
  <c r="Y258" i="52"/>
  <c r="Y237" i="52"/>
  <c r="S18" i="52"/>
  <c r="S18" i="40"/>
  <c r="S19" i="52"/>
  <c r="Z287" i="52"/>
  <c r="Z285" i="52"/>
  <c r="Z235" i="52"/>
  <c r="Z213" i="52"/>
  <c r="Z167" i="52"/>
  <c r="D330" i="40"/>
  <c r="F18" i="40"/>
  <c r="F19" i="52"/>
  <c r="F18" i="52"/>
  <c r="Y318" i="52"/>
  <c r="Y341" i="52"/>
  <c r="Y360" i="52"/>
  <c r="Y400" i="52"/>
  <c r="Y297" i="52"/>
  <c r="R20" i="40"/>
  <c r="R21" i="52"/>
  <c r="F77" i="41"/>
  <c r="G12" i="52"/>
  <c r="G10" i="40"/>
  <c r="G19" i="40"/>
  <c r="G20" i="52"/>
  <c r="G22" i="40"/>
  <c r="G23" i="52"/>
  <c r="M77" i="41"/>
  <c r="Q170" i="50"/>
  <c r="Q182" i="38"/>
  <c r="Q179" i="38"/>
  <c r="Y368" i="52"/>
  <c r="Y393" i="40"/>
  <c r="Y396" i="52"/>
  <c r="Y378" i="40"/>
  <c r="Y381" i="52"/>
  <c r="Y418" i="40"/>
  <c r="Y421" i="52"/>
  <c r="Y408" i="52"/>
  <c r="T180" i="53"/>
  <c r="T187" i="41"/>
  <c r="T180" i="41"/>
  <c r="K179" i="38"/>
  <c r="K182" i="38"/>
  <c r="K170" i="50"/>
  <c r="S170" i="50"/>
  <c r="S182" i="38"/>
  <c r="S179" i="38"/>
  <c r="Z336" i="40"/>
  <c r="Z332" i="52"/>
  <c r="Z339" i="52"/>
  <c r="X160" i="53"/>
  <c r="H35" i="53"/>
  <c r="H42" i="41"/>
  <c r="H43" i="53"/>
  <c r="H45" i="41"/>
  <c r="H46" i="53"/>
  <c r="V170" i="50"/>
  <c r="V179" i="38"/>
  <c r="V182" i="38"/>
  <c r="P41" i="53"/>
  <c r="P41" i="41"/>
  <c r="P42" i="53"/>
  <c r="Z329" i="50"/>
  <c r="J180" i="41"/>
  <c r="J187" i="41"/>
  <c r="J180" i="53"/>
  <c r="Y169" i="38"/>
  <c r="Z168" i="38"/>
  <c r="Z169" i="38"/>
  <c r="Y273" i="53"/>
  <c r="Y271" i="41"/>
  <c r="Y324" i="41"/>
  <c r="Y265" i="41"/>
  <c r="Y268" i="53"/>
  <c r="Y260" i="53"/>
  <c r="Y393" i="52"/>
  <c r="Y363" i="40"/>
  <c r="H183" i="53"/>
  <c r="H202" i="53"/>
  <c r="H199" i="41"/>
  <c r="T56" i="41"/>
  <c r="I183" i="53"/>
  <c r="I202" i="53"/>
  <c r="I199" i="41"/>
  <c r="L43" i="41"/>
  <c r="X403" i="38"/>
  <c r="X433" i="50"/>
  <c r="N180" i="41"/>
  <c r="N187" i="41"/>
  <c r="N180" i="53"/>
  <c r="Z431" i="38"/>
  <c r="Z434" i="50"/>
  <c r="Z394" i="50"/>
  <c r="M187" i="41"/>
  <c r="M180" i="53"/>
  <c r="M180" i="41"/>
  <c r="G41" i="53"/>
  <c r="G41" i="41"/>
  <c r="G42" i="53"/>
  <c r="W326" i="40"/>
  <c r="G170" i="50"/>
  <c r="G179" i="38"/>
  <c r="G182" i="38"/>
  <c r="M43" i="41"/>
  <c r="Z295" i="52"/>
  <c r="Q33" i="41"/>
  <c r="Q42" i="41"/>
  <c r="Q43" i="53"/>
  <c r="Q35" i="53"/>
  <c r="Q45" i="41"/>
  <c r="Q46" i="53"/>
  <c r="R33" i="41"/>
  <c r="Z169" i="50"/>
  <c r="R183" i="53"/>
  <c r="R202" i="53"/>
  <c r="R199" i="41"/>
  <c r="X366" i="50"/>
  <c r="X376" i="38"/>
  <c r="X379" i="50"/>
  <c r="Z55" i="53"/>
  <c r="J56" i="41"/>
  <c r="G56" i="41"/>
  <c r="F56" i="41"/>
  <c r="M56" i="41"/>
  <c r="K56" i="41"/>
  <c r="I56" i="41"/>
  <c r="H56" i="41"/>
  <c r="Q56" i="41"/>
  <c r="O56" i="41"/>
  <c r="L56" i="41"/>
  <c r="N56" i="41"/>
  <c r="P56" i="41"/>
  <c r="Y228" i="53"/>
  <c r="Y226" i="41"/>
  <c r="Y229" i="53"/>
  <c r="Y394" i="52"/>
  <c r="Y431" i="40"/>
  <c r="Y434" i="52"/>
  <c r="Y431" i="38"/>
  <c r="Y434" i="50"/>
  <c r="Y394" i="50"/>
  <c r="I180" i="41"/>
  <c r="I187" i="41"/>
  <c r="I180" i="53"/>
  <c r="L44" i="53"/>
  <c r="M183" i="53"/>
  <c r="M202" i="53"/>
  <c r="M199" i="41"/>
  <c r="H33" i="41"/>
  <c r="G35" i="53"/>
  <c r="G34" i="53"/>
  <c r="G42" i="41"/>
  <c r="G43" i="53"/>
  <c r="G45" i="41"/>
  <c r="G46" i="53"/>
  <c r="G33" i="41"/>
  <c r="W329" i="52"/>
  <c r="T183" i="53"/>
  <c r="T202" i="53"/>
  <c r="T199" i="41"/>
  <c r="F182" i="38"/>
  <c r="F179" i="38"/>
  <c r="F170" i="50"/>
  <c r="Q41" i="41"/>
  <c r="Q42" i="53"/>
  <c r="Q41" i="53"/>
  <c r="J199" i="41"/>
  <c r="J183" i="53"/>
  <c r="J202" i="53"/>
  <c r="Z56" i="53"/>
  <c r="X327" i="53"/>
  <c r="Y278" i="53"/>
  <c r="Y280" i="53"/>
  <c r="Y311" i="53"/>
  <c r="Y277" i="41"/>
  <c r="Y308" i="41"/>
  <c r="Y407" i="53"/>
  <c r="Y432" i="41"/>
  <c r="Y435" i="53"/>
  <c r="Y417" i="41"/>
  <c r="Y420" i="53"/>
  <c r="X327" i="52"/>
  <c r="S180" i="53"/>
  <c r="S187" i="41"/>
  <c r="S180" i="41"/>
  <c r="W187" i="38"/>
  <c r="W180" i="50"/>
  <c r="W188" i="50"/>
  <c r="Y366" i="38"/>
  <c r="Y369" i="50"/>
  <c r="Y397" i="50"/>
  <c r="X406" i="38"/>
  <c r="X409" i="50"/>
  <c r="X437" i="50"/>
  <c r="N183" i="53"/>
  <c r="N202" i="53"/>
  <c r="N199" i="41"/>
  <c r="W406" i="52"/>
  <c r="W416" i="40"/>
  <c r="W419" i="52"/>
  <c r="Y228" i="52"/>
  <c r="Y226" i="40"/>
  <c r="Y229" i="52"/>
  <c r="Y231" i="52"/>
  <c r="Y273" i="52"/>
  <c r="Y271" i="40"/>
  <c r="Y273" i="40"/>
  <c r="Y324" i="40"/>
  <c r="N45" i="41"/>
  <c r="N46" i="53"/>
  <c r="N33" i="41"/>
  <c r="N42" i="41"/>
  <c r="N43" i="53"/>
  <c r="N35" i="53"/>
  <c r="N34" i="53"/>
  <c r="U180" i="53"/>
  <c r="U187" i="41"/>
  <c r="U180" i="41"/>
  <c r="M170" i="50"/>
  <c r="M179" i="38"/>
  <c r="M182" i="38"/>
  <c r="M44" i="53"/>
  <c r="Z323" i="40"/>
  <c r="Z317" i="40"/>
  <c r="Z328" i="40"/>
  <c r="X274" i="53"/>
  <c r="X276" i="53"/>
  <c r="X325" i="41"/>
  <c r="X328" i="53"/>
  <c r="Y156" i="53"/>
  <c r="Y157" i="41"/>
  <c r="Y158" i="53"/>
  <c r="F187" i="41"/>
  <c r="F180" i="41"/>
  <c r="F180" i="53"/>
  <c r="Y434" i="40"/>
  <c r="Y425" i="40"/>
  <c r="Y428" i="52"/>
  <c r="Y415" i="40"/>
  <c r="Y418" i="52"/>
  <c r="Y414" i="40"/>
  <c r="Y417" i="52"/>
  <c r="Y430" i="40"/>
  <c r="W406" i="50"/>
  <c r="W416" i="38"/>
  <c r="W419" i="50"/>
  <c r="X274" i="52"/>
  <c r="X276" i="52"/>
  <c r="X325" i="40"/>
  <c r="X328" i="52"/>
  <c r="S199" i="41"/>
  <c r="S183" i="53"/>
  <c r="S202" i="53"/>
  <c r="I41" i="41"/>
  <c r="I42" i="53"/>
  <c r="I41" i="53"/>
  <c r="W199" i="38"/>
  <c r="W183" i="50"/>
  <c r="W202" i="50"/>
  <c r="Y393" i="50"/>
  <c r="Y363" i="38"/>
  <c r="X403" i="40"/>
  <c r="X433" i="52"/>
  <c r="L180" i="41"/>
  <c r="L187" i="41"/>
  <c r="L180" i="53"/>
  <c r="Z425" i="38"/>
  <c r="Z428" i="50"/>
  <c r="Z434" i="38"/>
  <c r="Z415" i="38"/>
  <c r="Z418" i="50"/>
  <c r="Z414" i="38"/>
  <c r="Z417" i="50"/>
  <c r="Z430" i="38"/>
  <c r="K180" i="53"/>
  <c r="K187" i="41"/>
  <c r="K180" i="41"/>
  <c r="Z431" i="40"/>
  <c r="Z434" i="52"/>
  <c r="Z394" i="52"/>
  <c r="Z155" i="40"/>
  <c r="Z227" i="40"/>
  <c r="Z230" i="52"/>
  <c r="Z275" i="40"/>
  <c r="Z162" i="40"/>
  <c r="Z163" i="52"/>
  <c r="Z272" i="40"/>
  <c r="Z275" i="52"/>
  <c r="Z270" i="40"/>
  <c r="Z365" i="40"/>
  <c r="Z212" i="40"/>
  <c r="Z230" i="40"/>
  <c r="Z233" i="52"/>
  <c r="Z404" i="40"/>
  <c r="Z142" i="40"/>
  <c r="Z257" i="40"/>
  <c r="Z405" i="40"/>
  <c r="Z350" i="40"/>
  <c r="Z353" i="52"/>
  <c r="Z156" i="40"/>
  <c r="Z157" i="52"/>
  <c r="Z225" i="40"/>
  <c r="Z158" i="40"/>
  <c r="Z159" i="52"/>
  <c r="Z364" i="40"/>
  <c r="Y220" i="40"/>
  <c r="Y223" i="52"/>
  <c r="Y215" i="52"/>
  <c r="Y278" i="52"/>
  <c r="Y280" i="52"/>
  <c r="Y311" i="52"/>
  <c r="Y277" i="40"/>
  <c r="Y308" i="40"/>
  <c r="N41" i="53"/>
  <c r="N41" i="41"/>
  <c r="N42" i="53"/>
  <c r="U183" i="53"/>
  <c r="U202" i="53"/>
  <c r="U199" i="41"/>
  <c r="J170" i="50"/>
  <c r="J179" i="38"/>
  <c r="J182" i="38"/>
  <c r="O179" i="38"/>
  <c r="O170" i="50"/>
  <c r="O182" i="38"/>
  <c r="X366" i="52"/>
  <c r="X376" i="40"/>
  <c r="X379" i="52"/>
  <c r="G187" i="41"/>
  <c r="G180" i="41"/>
  <c r="G180" i="53"/>
  <c r="Z339" i="53"/>
  <c r="D332" i="53"/>
  <c r="B32" i="35"/>
  <c r="C31" i="35"/>
  <c r="Z158" i="41"/>
  <c r="Z159" i="53"/>
  <c r="Z404" i="41"/>
  <c r="Z272" i="41"/>
  <c r="Z275" i="53"/>
  <c r="Z156" i="41"/>
  <c r="Z157" i="53"/>
  <c r="Z257" i="41"/>
  <c r="Z212" i="41"/>
  <c r="Z270" i="41"/>
  <c r="Z364" i="41"/>
  <c r="Z365" i="41"/>
  <c r="Z275" i="41"/>
  <c r="Z405" i="41"/>
  <c r="Z225" i="41"/>
  <c r="Z142" i="41"/>
  <c r="Z350" i="41"/>
  <c r="Z353" i="53"/>
  <c r="Z162" i="41"/>
  <c r="Z163" i="53"/>
  <c r="Z230" i="41"/>
  <c r="Z233" i="53"/>
  <c r="Z227" i="41"/>
  <c r="Z230" i="53"/>
  <c r="Z155" i="41"/>
  <c r="Y150" i="41"/>
  <c r="Y151" i="53"/>
  <c r="Y143" i="53"/>
  <c r="F183" i="53"/>
  <c r="F202" i="53"/>
  <c r="F199" i="41"/>
  <c r="V56" i="41"/>
  <c r="I35" i="53"/>
  <c r="I42" i="41"/>
  <c r="I43" i="53"/>
  <c r="I45" i="41"/>
  <c r="I46" i="53"/>
  <c r="I33" i="41"/>
  <c r="X231" i="52"/>
  <c r="L183" i="53"/>
  <c r="L202" i="53"/>
  <c r="L199" i="41"/>
  <c r="Z393" i="50"/>
  <c r="Z363" i="38"/>
  <c r="O41" i="53"/>
  <c r="O41" i="41"/>
  <c r="O42" i="53"/>
  <c r="Z430" i="40"/>
  <c r="Z425" i="40"/>
  <c r="Z428" i="52"/>
  <c r="Z434" i="40"/>
  <c r="Z415" i="40"/>
  <c r="Z418" i="52"/>
  <c r="Z414" i="40"/>
  <c r="Z417" i="52"/>
  <c r="Y417" i="40"/>
  <c r="Y420" i="52"/>
  <c r="Y407" i="52"/>
  <c r="Y432" i="40"/>
  <c r="Y435" i="52"/>
  <c r="Y265" i="40"/>
  <c r="Y268" i="52"/>
  <c r="Y260" i="52"/>
  <c r="N170" i="50"/>
  <c r="N179" i="38"/>
  <c r="N182" i="38"/>
  <c r="P182" i="38"/>
  <c r="P170" i="50"/>
  <c r="P179" i="38"/>
  <c r="K41" i="41"/>
  <c r="K42" i="53"/>
  <c r="K41" i="53"/>
  <c r="Y339" i="52"/>
  <c r="X159" i="40"/>
  <c r="G183" i="53"/>
  <c r="G202" i="53"/>
  <c r="G199" i="41"/>
  <c r="X66" i="41"/>
  <c r="X67" i="53"/>
  <c r="Y55" i="41"/>
  <c r="X56" i="41"/>
  <c r="O199" i="41"/>
  <c r="O183" i="53"/>
  <c r="O202" i="53"/>
  <c r="D333" i="52"/>
  <c r="Y220" i="41"/>
  <c r="Y223" i="53"/>
  <c r="Y215" i="53"/>
  <c r="R56" i="41"/>
  <c r="X228" i="40"/>
  <c r="X406" i="40"/>
  <c r="X409" i="52"/>
  <c r="X437" i="52"/>
  <c r="J41" i="53"/>
  <c r="J41" i="41"/>
  <c r="J42" i="53"/>
  <c r="F44" i="53"/>
  <c r="R43" i="38"/>
  <c r="K183" i="53"/>
  <c r="K202" i="53"/>
  <c r="K199" i="41"/>
  <c r="O35" i="53"/>
  <c r="O34" i="53"/>
  <c r="O33" i="41"/>
  <c r="O42" i="41"/>
  <c r="O43" i="53"/>
  <c r="O45" i="41"/>
  <c r="O46" i="53"/>
  <c r="Z363" i="40"/>
  <c r="Z393" i="52"/>
  <c r="Y143" i="52"/>
  <c r="Y150" i="40"/>
  <c r="Y151" i="52"/>
  <c r="Y377" i="40"/>
  <c r="Y380" i="52"/>
  <c r="Y367" i="52"/>
  <c r="Y392" i="40"/>
  <c r="Y395" i="52"/>
  <c r="Y156" i="52"/>
  <c r="Y157" i="40"/>
  <c r="Y158" i="52"/>
  <c r="L179" i="38"/>
  <c r="L170" i="50"/>
  <c r="L182" i="38"/>
  <c r="I170" i="50"/>
  <c r="I179" i="38"/>
  <c r="I182" i="38"/>
  <c r="X159" i="41"/>
  <c r="X433" i="41"/>
  <c r="X436" i="53"/>
  <c r="K45" i="41"/>
  <c r="K46" i="53"/>
  <c r="K42" i="41"/>
  <c r="K43" i="53"/>
  <c r="K35" i="53"/>
  <c r="K33" i="41"/>
  <c r="Q180" i="53"/>
  <c r="Q187" i="41"/>
  <c r="Q180" i="41"/>
  <c r="U170" i="50"/>
  <c r="U182" i="38"/>
  <c r="U179" i="38"/>
  <c r="X160" i="52"/>
  <c r="W61" i="41"/>
  <c r="W57" i="53"/>
  <c r="O180" i="53"/>
  <c r="O187" i="41"/>
  <c r="O180" i="41"/>
  <c r="Y367" i="53"/>
  <c r="Y392" i="41"/>
  <c r="Y395" i="53"/>
  <c r="Y377" i="41"/>
  <c r="Y380" i="53"/>
  <c r="Y418" i="41"/>
  <c r="Y421" i="53"/>
  <c r="Y408" i="53"/>
  <c r="W326" i="41"/>
  <c r="U56" i="41"/>
  <c r="Y414" i="38"/>
  <c r="Y417" i="50"/>
  <c r="Y415" i="38"/>
  <c r="Y418" i="50"/>
  <c r="Y430" i="38"/>
  <c r="Y425" i="38"/>
  <c r="Y428" i="50"/>
  <c r="Y434" i="38"/>
  <c r="J45" i="41"/>
  <c r="J46" i="53"/>
  <c r="J35" i="53"/>
  <c r="J33" i="41"/>
  <c r="J42" i="41"/>
  <c r="J43" i="53"/>
  <c r="P183" i="53"/>
  <c r="P202" i="53"/>
  <c r="P199" i="41"/>
  <c r="D331" i="40"/>
  <c r="Z397" i="50"/>
  <c r="Z366" i="38"/>
  <c r="Z369" i="50"/>
  <c r="Z397" i="52"/>
  <c r="Z366" i="40"/>
  <c r="Z369" i="52"/>
  <c r="R182" i="38"/>
  <c r="R170" i="50"/>
  <c r="R179" i="38"/>
  <c r="H179" i="38"/>
  <c r="H170" i="50"/>
  <c r="H182" i="38"/>
  <c r="H41" i="41"/>
  <c r="H42" i="53"/>
  <c r="H41" i="53"/>
  <c r="Z339" i="50"/>
  <c r="D332" i="50"/>
  <c r="Q199" i="41"/>
  <c r="Q183" i="53"/>
  <c r="Q202" i="53"/>
  <c r="T170" i="50"/>
  <c r="T182" i="38"/>
  <c r="T179" i="38"/>
  <c r="P45" i="41"/>
  <c r="P46" i="53"/>
  <c r="P35" i="53"/>
  <c r="P42" i="41"/>
  <c r="P43" i="53"/>
  <c r="P33" i="41"/>
  <c r="R180" i="53"/>
  <c r="R187" i="41"/>
  <c r="R180" i="41"/>
  <c r="X170" i="50"/>
  <c r="X179" i="38"/>
  <c r="X182" i="38"/>
  <c r="Y378" i="41"/>
  <c r="Y381" i="53"/>
  <c r="Y368" i="53"/>
  <c r="Y393" i="41"/>
  <c r="Y396" i="53"/>
  <c r="W329" i="53"/>
  <c r="Y366" i="40"/>
  <c r="Y369" i="52"/>
  <c r="Y397" i="52"/>
  <c r="H180" i="53"/>
  <c r="H180" i="41"/>
  <c r="H187" i="41"/>
  <c r="S61" i="41"/>
  <c r="S57" i="53"/>
  <c r="P180" i="41"/>
  <c r="P180" i="53"/>
  <c r="P187" i="41"/>
  <c r="W194" i="41"/>
  <c r="W196" i="53"/>
  <c r="W183" i="41"/>
  <c r="W189" i="41"/>
  <c r="W191" i="53"/>
  <c r="W195" i="41"/>
  <c r="W197" i="53"/>
  <c r="W193" i="41"/>
  <c r="W195" i="53"/>
  <c r="W191" i="41"/>
  <c r="W193" i="53"/>
  <c r="W205" i="41"/>
  <c r="W197" i="41"/>
  <c r="W199" i="53"/>
  <c r="W192" i="41"/>
  <c r="W194" i="53"/>
  <c r="W190" i="41"/>
  <c r="W192" i="53"/>
  <c r="W258" i="50"/>
  <c r="W237" i="50"/>
  <c r="K103" i="38"/>
  <c r="K99" i="50"/>
  <c r="X121" i="38"/>
  <c r="Y120" i="38"/>
  <c r="T11" i="41"/>
  <c r="T17" i="41"/>
  <c r="Z239" i="53"/>
  <c r="Z240" i="53"/>
  <c r="Y240" i="53"/>
  <c r="V33" i="50"/>
  <c r="U36" i="50"/>
  <c r="U83" i="52"/>
  <c r="U83" i="40"/>
  <c r="U84" i="52"/>
  <c r="V250" i="52"/>
  <c r="N23" i="53"/>
  <c r="M41" i="50"/>
  <c r="M41" i="38"/>
  <c r="M42" i="50"/>
  <c r="Y58" i="40"/>
  <c r="Y59" i="52"/>
  <c r="Y239" i="40"/>
  <c r="Y242" i="52"/>
  <c r="Y2" i="52"/>
  <c r="Y175" i="40"/>
  <c r="Y176" i="52"/>
  <c r="Y100" i="40"/>
  <c r="Y101" i="52"/>
  <c r="Y79" i="40"/>
  <c r="Y80" i="52"/>
  <c r="Y171" i="40"/>
  <c r="Z2" i="40"/>
  <c r="U41" i="52"/>
  <c r="U41" i="40"/>
  <c r="U42" i="52"/>
  <c r="O103" i="38"/>
  <c r="O99" i="50"/>
  <c r="I22" i="41"/>
  <c r="I10" i="41"/>
  <c r="I12" i="53"/>
  <c r="I19" i="41"/>
  <c r="I20" i="53"/>
  <c r="H35" i="50"/>
  <c r="H45" i="38"/>
  <c r="H33" i="38"/>
  <c r="F77" i="28"/>
  <c r="H42" i="38"/>
  <c r="H43" i="50"/>
  <c r="Z2" i="50"/>
  <c r="Z79" i="38"/>
  <c r="Z80" i="50"/>
  <c r="Z58" i="38"/>
  <c r="Z59" i="50"/>
  <c r="Z239" i="38"/>
  <c r="Z175" i="38"/>
  <c r="Z176" i="50"/>
  <c r="Z171" i="38"/>
  <c r="Z100" i="38"/>
  <c r="Z101" i="50"/>
  <c r="W119" i="38"/>
  <c r="W126" i="38"/>
  <c r="I45" i="38"/>
  <c r="I35" i="50"/>
  <c r="I33" i="38"/>
  <c r="G77" i="28"/>
  <c r="I42" i="38"/>
  <c r="I43" i="50"/>
  <c r="Z98" i="50"/>
  <c r="G19" i="41"/>
  <c r="G20" i="53"/>
  <c r="G12" i="53"/>
  <c r="G22" i="41"/>
  <c r="G10" i="41"/>
  <c r="V109" i="52"/>
  <c r="J41" i="50"/>
  <c r="J41" i="38"/>
  <c r="J42" i="50"/>
  <c r="Y122" i="53"/>
  <c r="Z121" i="53"/>
  <c r="Z122" i="53"/>
  <c r="Z167" i="53"/>
  <c r="Z235" i="53"/>
  <c r="Z213" i="53"/>
  <c r="Z287" i="53"/>
  <c r="Z285" i="53"/>
  <c r="F40" i="28"/>
  <c r="E43" i="28"/>
  <c r="R37" i="35"/>
  <c r="S36" i="35"/>
  <c r="V188" i="53"/>
  <c r="V189" i="53"/>
  <c r="V181" i="53"/>
  <c r="X121" i="50"/>
  <c r="W122" i="50"/>
  <c r="X32" i="40"/>
  <c r="W35" i="40"/>
  <c r="O67" i="54"/>
  <c r="O70" i="54"/>
  <c r="N72" i="54"/>
  <c r="N75" i="54"/>
  <c r="X236" i="40"/>
  <c r="W237" i="40"/>
  <c r="W242" i="40"/>
  <c r="W247" i="40"/>
  <c r="U131" i="50"/>
  <c r="L103" i="38"/>
  <c r="L99" i="50"/>
  <c r="X120" i="40"/>
  <c r="W121" i="40"/>
  <c r="N41" i="50"/>
  <c r="N41" i="38"/>
  <c r="N42" i="50"/>
  <c r="Z9" i="50"/>
  <c r="T13" i="50"/>
  <c r="G12" i="38"/>
  <c r="F12" i="38"/>
  <c r="A8" i="38"/>
  <c r="I12" i="38"/>
  <c r="H12" i="38"/>
  <c r="J12" i="38"/>
  <c r="L12" i="38"/>
  <c r="K12" i="38"/>
  <c r="N12" i="38"/>
  <c r="Q12" i="38"/>
  <c r="P12" i="38"/>
  <c r="M12" i="38"/>
  <c r="R12" i="38"/>
  <c r="T20" i="40"/>
  <c r="W12" i="40"/>
  <c r="X9" i="40"/>
  <c r="S18" i="41"/>
  <c r="S19" i="53"/>
  <c r="S18" i="53"/>
  <c r="V187" i="50"/>
  <c r="T46" i="52"/>
  <c r="V9" i="41"/>
  <c r="U12" i="41"/>
  <c r="F35" i="50"/>
  <c r="F34" i="50"/>
  <c r="F45" i="38"/>
  <c r="F42" i="38"/>
  <c r="F43" i="50"/>
  <c r="F33" i="38"/>
  <c r="V127" i="38"/>
  <c r="V128" i="50"/>
  <c r="V127" i="50"/>
  <c r="U10" i="40"/>
  <c r="U22" i="40"/>
  <c r="U12" i="52"/>
  <c r="U11" i="52"/>
  <c r="U19" i="40"/>
  <c r="U20" i="52"/>
  <c r="X121" i="52"/>
  <c r="W122" i="52"/>
  <c r="Q18" i="41"/>
  <c r="Q19" i="53"/>
  <c r="Q18" i="53"/>
  <c r="U180" i="52"/>
  <c r="U188" i="52"/>
  <c r="U187" i="40"/>
  <c r="R22" i="41"/>
  <c r="R19" i="41"/>
  <c r="R20" i="53"/>
  <c r="R12" i="53"/>
  <c r="R10" i="41"/>
  <c r="V67" i="52"/>
  <c r="T128" i="40"/>
  <c r="X186" i="41"/>
  <c r="X178" i="53"/>
  <c r="E40" i="28"/>
  <c r="E37" i="28"/>
  <c r="P20" i="41"/>
  <c r="U10" i="50"/>
  <c r="X167" i="50"/>
  <c r="X213" i="50"/>
  <c r="X287" i="50"/>
  <c r="X285" i="50"/>
  <c r="X235" i="50"/>
  <c r="R44" i="50"/>
  <c r="X61" i="38"/>
  <c r="X57" i="50"/>
  <c r="L35" i="50"/>
  <c r="L33" i="38"/>
  <c r="J77" i="28"/>
  <c r="L45" i="38"/>
  <c r="L42" i="38"/>
  <c r="L43" i="50"/>
  <c r="S41" i="50"/>
  <c r="S41" i="38"/>
  <c r="S42" i="50"/>
  <c r="H22" i="41"/>
  <c r="H12" i="53"/>
  <c r="H10" i="41"/>
  <c r="H19" i="41"/>
  <c r="H20" i="53"/>
  <c r="T35" i="50"/>
  <c r="T33" i="38"/>
  <c r="T45" i="38"/>
  <c r="T42" i="38"/>
  <c r="T43" i="50"/>
  <c r="H41" i="38"/>
  <c r="H42" i="50"/>
  <c r="H41" i="50"/>
  <c r="V11" i="40"/>
  <c r="V17" i="40"/>
  <c r="G18" i="53"/>
  <c r="G18" i="41"/>
  <c r="G19" i="53"/>
  <c r="F41" i="28"/>
  <c r="W104" i="53"/>
  <c r="W104" i="41"/>
  <c r="W105" i="53"/>
  <c r="I103" i="38"/>
  <c r="I99" i="50"/>
  <c r="N35" i="50"/>
  <c r="N33" i="38"/>
  <c r="N42" i="38"/>
  <c r="N43" i="50"/>
  <c r="N45" i="38"/>
  <c r="Z6" i="50"/>
  <c r="Z7" i="50"/>
  <c r="AQ29" i="35"/>
  <c r="AI30" i="35"/>
  <c r="O33" i="38"/>
  <c r="O45" i="38"/>
  <c r="O42" i="38"/>
  <c r="O43" i="50"/>
  <c r="O35" i="50"/>
  <c r="J22" i="41"/>
  <c r="J12" i="53"/>
  <c r="J10" i="41"/>
  <c r="J19" i="41"/>
  <c r="J20" i="53"/>
  <c r="S184" i="52"/>
  <c r="S208" i="52"/>
  <c r="F41" i="50"/>
  <c r="F41" i="38"/>
  <c r="F42" i="50"/>
  <c r="V120" i="50"/>
  <c r="V119" i="50"/>
  <c r="V118" i="38"/>
  <c r="V130" i="38"/>
  <c r="W177" i="52"/>
  <c r="W177" i="40"/>
  <c r="U18" i="52"/>
  <c r="U18" i="40"/>
  <c r="U19" i="52"/>
  <c r="Q19" i="41"/>
  <c r="Q20" i="53"/>
  <c r="Q12" i="53"/>
  <c r="Q11" i="53"/>
  <c r="Q22" i="41"/>
  <c r="Q10" i="41"/>
  <c r="P23" i="53"/>
  <c r="U199" i="40"/>
  <c r="U183" i="52"/>
  <c r="U202" i="52"/>
  <c r="R18" i="53"/>
  <c r="R18" i="41"/>
  <c r="R19" i="53"/>
  <c r="V57" i="52"/>
  <c r="V61" i="40"/>
  <c r="T129" i="50"/>
  <c r="L23" i="53"/>
  <c r="E32" i="28"/>
  <c r="F37" i="28"/>
  <c r="F38" i="28"/>
  <c r="V78" i="52"/>
  <c r="V82" i="40"/>
  <c r="Z55" i="38"/>
  <c r="Y66" i="38"/>
  <c r="Y56" i="38"/>
  <c r="L41" i="38"/>
  <c r="L42" i="50"/>
  <c r="L41" i="50"/>
  <c r="AG27" i="54"/>
  <c r="X127" i="53"/>
  <c r="X127" i="41"/>
  <c r="X128" i="53"/>
  <c r="H18" i="53"/>
  <c r="H18" i="41"/>
  <c r="H19" i="53"/>
  <c r="T41" i="50"/>
  <c r="T41" i="38"/>
  <c r="T42" i="50"/>
  <c r="Y245" i="53"/>
  <c r="Y243" i="41"/>
  <c r="Y246" i="53"/>
  <c r="X103" i="38"/>
  <c r="X99" i="50"/>
  <c r="T181" i="52"/>
  <c r="V243" i="40"/>
  <c r="V246" i="52"/>
  <c r="V245" i="52"/>
  <c r="W199" i="41"/>
  <c r="W183" i="53"/>
  <c r="W202" i="53"/>
  <c r="V99" i="50"/>
  <c r="V103" i="38"/>
  <c r="Q99" i="50"/>
  <c r="Q103" i="38"/>
  <c r="J99" i="50"/>
  <c r="J103" i="38"/>
  <c r="O41" i="38"/>
  <c r="O42" i="50"/>
  <c r="O41" i="50"/>
  <c r="T30" i="35"/>
  <c r="AB29" i="35"/>
  <c r="J18" i="53"/>
  <c r="J18" i="41"/>
  <c r="J19" i="53"/>
  <c r="O12" i="38"/>
  <c r="Y78" i="50"/>
  <c r="Y82" i="38"/>
  <c r="U127" i="40"/>
  <c r="U128" i="52"/>
  <c r="U127" i="52"/>
  <c r="AD28" i="54"/>
  <c r="AC30" i="54"/>
  <c r="T35" i="53"/>
  <c r="T34" i="53"/>
  <c r="T33" i="41"/>
  <c r="T45" i="41"/>
  <c r="T42" i="41"/>
  <c r="T43" i="53"/>
  <c r="X109" i="53"/>
  <c r="W104" i="38"/>
  <c r="W105" i="50"/>
  <c r="W104" i="50"/>
  <c r="M12" i="53"/>
  <c r="M11" i="53"/>
  <c r="M10" i="41"/>
  <c r="M19" i="41"/>
  <c r="M20" i="53"/>
  <c r="M22" i="41"/>
  <c r="E36" i="28"/>
  <c r="F34" i="28"/>
  <c r="E41" i="28"/>
  <c r="V88" i="52"/>
  <c r="W169" i="40"/>
  <c r="X168" i="40"/>
  <c r="Y126" i="41"/>
  <c r="Y119" i="41"/>
  <c r="F18" i="53"/>
  <c r="F18" i="41"/>
  <c r="F19" i="53"/>
  <c r="X67" i="50"/>
  <c r="Q46" i="50"/>
  <c r="X120" i="53"/>
  <c r="X119" i="53"/>
  <c r="X118" i="41"/>
  <c r="X130" i="41"/>
  <c r="N20" i="41"/>
  <c r="X170" i="53"/>
  <c r="X182" i="41"/>
  <c r="X179" i="41"/>
  <c r="Z237" i="41"/>
  <c r="Z242" i="41"/>
  <c r="Z247" i="41"/>
  <c r="Y297" i="53"/>
  <c r="Y318" i="53"/>
  <c r="Y341" i="53"/>
  <c r="Y360" i="53"/>
  <c r="Y400" i="53"/>
  <c r="X109" i="50"/>
  <c r="T189" i="52"/>
  <c r="M35" i="50"/>
  <c r="M45" i="38"/>
  <c r="M33" i="38"/>
  <c r="M42" i="38"/>
  <c r="M43" i="50"/>
  <c r="U33" i="40"/>
  <c r="U45" i="40"/>
  <c r="U35" i="52"/>
  <c r="U34" i="52"/>
  <c r="U42" i="40"/>
  <c r="U43" i="52"/>
  <c r="X10" i="52"/>
  <c r="W13" i="52"/>
  <c r="S35" i="50"/>
  <c r="S34" i="50"/>
  <c r="S33" i="38"/>
  <c r="S45" i="38"/>
  <c r="S42" i="38"/>
  <c r="S43" i="50"/>
  <c r="P99" i="50"/>
  <c r="P103" i="38"/>
  <c r="H103" i="38"/>
  <c r="H99" i="50"/>
  <c r="W131" i="53"/>
  <c r="V186" i="40"/>
  <c r="V178" i="52"/>
  <c r="U187" i="52"/>
  <c r="S43" i="41"/>
  <c r="O18" i="41"/>
  <c r="O19" i="53"/>
  <c r="O18" i="53"/>
  <c r="X243" i="38"/>
  <c r="X246" i="50"/>
  <c r="X245" i="50"/>
  <c r="Z87" i="38"/>
  <c r="Z77" i="38"/>
  <c r="Y173" i="38"/>
  <c r="Y176" i="38"/>
  <c r="Y172" i="50"/>
  <c r="Y174" i="50"/>
  <c r="U120" i="52"/>
  <c r="U119" i="52"/>
  <c r="U118" i="40"/>
  <c r="U130" i="40"/>
  <c r="AA22" i="54"/>
  <c r="Z24" i="54"/>
  <c r="Z32" i="54"/>
  <c r="Z33" i="54"/>
  <c r="T43" i="40"/>
  <c r="T41" i="53"/>
  <c r="T41" i="41"/>
  <c r="T42" i="53"/>
  <c r="X103" i="41"/>
  <c r="X99" i="53"/>
  <c r="R46" i="50"/>
  <c r="M18" i="41"/>
  <c r="M19" i="53"/>
  <c r="M18" i="53"/>
  <c r="F32" i="28"/>
  <c r="F39" i="28"/>
  <c r="W87" i="40"/>
  <c r="X76" i="40"/>
  <c r="W77" i="40"/>
  <c r="W129" i="53"/>
  <c r="V182" i="40"/>
  <c r="V179" i="40"/>
  <c r="V170" i="52"/>
  <c r="Z126" i="41"/>
  <c r="Z119" i="41"/>
  <c r="F22" i="41"/>
  <c r="F10" i="41"/>
  <c r="F19" i="41"/>
  <c r="F20" i="53"/>
  <c r="F12" i="53"/>
  <c r="F11" i="53"/>
  <c r="W32" i="38"/>
  <c r="V35" i="38"/>
  <c r="W180" i="38"/>
  <c r="W186" i="38"/>
  <c r="W178" i="50"/>
  <c r="X320" i="53"/>
  <c r="X331" i="53"/>
  <c r="X326" i="53"/>
  <c r="P41" i="50"/>
  <c r="P41" i="38"/>
  <c r="P42" i="50"/>
  <c r="Z168" i="41"/>
  <c r="Z169" i="41"/>
  <c r="Y169" i="41"/>
  <c r="Y250" i="53"/>
  <c r="Y98" i="38"/>
  <c r="Y108" i="38"/>
  <c r="Z97" i="38"/>
  <c r="U62" i="52"/>
  <c r="U62" i="40"/>
  <c r="U63" i="52"/>
  <c r="W187" i="53"/>
  <c r="V119" i="40"/>
  <c r="V126" i="40"/>
  <c r="S12" i="53"/>
  <c r="S11" i="53"/>
  <c r="S19" i="41"/>
  <c r="S20" i="53"/>
  <c r="S22" i="41"/>
  <c r="S10" i="41"/>
  <c r="X83" i="38"/>
  <c r="X84" i="50"/>
  <c r="X83" i="50"/>
  <c r="Y19" i="47"/>
  <c r="Y20" i="47"/>
  <c r="Y9" i="47"/>
  <c r="E34" i="28"/>
  <c r="L21" i="53"/>
  <c r="W187" i="41"/>
  <c r="W180" i="53"/>
  <c r="W188" i="53"/>
  <c r="W318" i="50"/>
  <c r="W341" i="50"/>
  <c r="W360" i="50"/>
  <c r="W400" i="50"/>
  <c r="W297" i="50"/>
  <c r="R99" i="50"/>
  <c r="R103" i="38"/>
  <c r="K18" i="41"/>
  <c r="K19" i="53"/>
  <c r="K18" i="53"/>
  <c r="X239" i="52"/>
  <c r="W240" i="52"/>
  <c r="K19" i="41"/>
  <c r="K20" i="53"/>
  <c r="K12" i="53"/>
  <c r="K22" i="41"/>
  <c r="K10" i="41"/>
  <c r="G35" i="50"/>
  <c r="G45" i="38"/>
  <c r="G42" i="38"/>
  <c r="G43" i="50"/>
  <c r="G33" i="38"/>
  <c r="E77" i="28"/>
  <c r="Y54" i="50"/>
  <c r="Y31" i="50"/>
  <c r="Y75" i="50"/>
  <c r="Y96" i="50"/>
  <c r="Y117" i="50"/>
  <c r="Y141" i="50"/>
  <c r="Y165" i="50"/>
  <c r="X173" i="40"/>
  <c r="X176" i="40"/>
  <c r="X172" i="52"/>
  <c r="X174" i="52"/>
  <c r="S46" i="53"/>
  <c r="N103" i="38"/>
  <c r="N99" i="50"/>
  <c r="G99" i="50"/>
  <c r="G103" i="38"/>
  <c r="X177" i="50"/>
  <c r="X177" i="38"/>
  <c r="U192" i="40"/>
  <c r="U194" i="52"/>
  <c r="U197" i="40"/>
  <c r="U199" i="52"/>
  <c r="U189" i="40"/>
  <c r="U191" i="52"/>
  <c r="U205" i="40"/>
  <c r="U190" i="40"/>
  <c r="U192" i="52"/>
  <c r="U183" i="40"/>
  <c r="U194" i="40"/>
  <c r="U196" i="52"/>
  <c r="U191" i="40"/>
  <c r="U193" i="52"/>
  <c r="U193" i="40"/>
  <c r="U195" i="52"/>
  <c r="U195" i="40"/>
  <c r="U197" i="52"/>
  <c r="O10" i="41"/>
  <c r="O22" i="41"/>
  <c r="O12" i="53"/>
  <c r="O11" i="53"/>
  <c r="O19" i="41"/>
  <c r="O20" i="53"/>
  <c r="Y178" i="53"/>
  <c r="Y186" i="41"/>
  <c r="Y88" i="50"/>
  <c r="Y242" i="50"/>
  <c r="Y242" i="38"/>
  <c r="U36" i="52"/>
  <c r="V33" i="52"/>
  <c r="T44" i="52"/>
  <c r="X97" i="40"/>
  <c r="W108" i="40"/>
  <c r="W98" i="40"/>
  <c r="T99" i="50"/>
  <c r="T103" i="38"/>
  <c r="Z97" i="41"/>
  <c r="Y98" i="41"/>
  <c r="Y108" i="41"/>
  <c r="W62" i="38"/>
  <c r="W63" i="50"/>
  <c r="W62" i="50"/>
  <c r="K33" i="38"/>
  <c r="I77" i="28"/>
  <c r="K42" i="38"/>
  <c r="K43" i="50"/>
  <c r="K35" i="50"/>
  <c r="K45" i="38"/>
  <c r="E39" i="28"/>
  <c r="W32" i="41"/>
  <c r="V35" i="41"/>
  <c r="T12" i="38"/>
  <c r="Z177" i="53"/>
  <c r="Z177" i="41"/>
  <c r="U40" i="38"/>
  <c r="U34" i="38"/>
  <c r="V331" i="50"/>
  <c r="V326" i="50"/>
  <c r="V320" i="50"/>
  <c r="S12" i="38"/>
  <c r="U128" i="38"/>
  <c r="P35" i="50"/>
  <c r="P34" i="50"/>
  <c r="P42" i="38"/>
  <c r="P43" i="50"/>
  <c r="P45" i="38"/>
  <c r="P33" i="38"/>
  <c r="U36" i="53"/>
  <c r="V33" i="53"/>
  <c r="S104" i="38"/>
  <c r="S105" i="50"/>
  <c r="S104" i="50"/>
  <c r="M90" i="28"/>
  <c r="M101" i="28"/>
  <c r="N92" i="28"/>
  <c r="N34" i="28"/>
  <c r="H94" i="28"/>
  <c r="D34" i="28"/>
  <c r="K96" i="28"/>
  <c r="N95" i="28"/>
  <c r="F90" i="28"/>
  <c r="D37" i="28"/>
  <c r="D41" i="28"/>
  <c r="K26" i="28"/>
  <c r="K56" i="28"/>
  <c r="H26" i="28"/>
  <c r="H56" i="28"/>
  <c r="E101" i="28"/>
  <c r="E94" i="28"/>
  <c r="D36" i="28"/>
  <c r="L50" i="28"/>
  <c r="L59" i="28"/>
  <c r="M92" i="28"/>
  <c r="D43" i="28"/>
  <c r="E90" i="28"/>
  <c r="G96" i="28"/>
  <c r="K38" i="28"/>
  <c r="G84" i="28"/>
  <c r="G97" i="28"/>
  <c r="I43" i="28"/>
  <c r="D40" i="28"/>
  <c r="D38" i="28"/>
  <c r="H41" i="28"/>
  <c r="G43" i="28"/>
  <c r="G25" i="28"/>
  <c r="G55" i="28"/>
  <c r="M46" i="28"/>
  <c r="G40" i="28"/>
  <c r="I95" i="28"/>
  <c r="D32" i="28"/>
  <c r="F25" i="28"/>
  <c r="F55" i="28"/>
  <c r="N41" i="28"/>
  <c r="M96" i="28"/>
  <c r="H32" i="28"/>
  <c r="D39" i="28"/>
  <c r="K46" i="28"/>
  <c r="K39" i="28"/>
  <c r="G45" i="28"/>
  <c r="G37" i="28"/>
  <c r="K43" i="28"/>
  <c r="E92" i="28"/>
  <c r="I94" i="28"/>
  <c r="L25" i="28"/>
  <c r="L55" i="28"/>
  <c r="L36" i="28"/>
  <c r="N32" i="28"/>
  <c r="N96" i="28"/>
  <c r="F92" i="28"/>
  <c r="M43" i="28"/>
  <c r="I25" i="28"/>
  <c r="I55" i="28"/>
  <c r="K50" i="28"/>
  <c r="K59" i="28"/>
  <c r="H38" i="28"/>
  <c r="G94" i="28"/>
  <c r="J84" i="28"/>
  <c r="J97" i="28"/>
  <c r="I37" i="28"/>
  <c r="M38" i="28"/>
  <c r="L90" i="28"/>
  <c r="N85" i="28"/>
  <c r="N98" i="28"/>
  <c r="I101" i="28"/>
  <c r="K37" i="28"/>
  <c r="L32" i="28"/>
  <c r="J101" i="28"/>
  <c r="J92" i="28"/>
  <c r="K45" i="28"/>
  <c r="G39" i="28"/>
  <c r="D25" i="28"/>
  <c r="D55" i="28"/>
  <c r="N36" i="28"/>
  <c r="N39" i="28"/>
  <c r="L95" i="28"/>
  <c r="G38" i="28"/>
  <c r="G34" i="28"/>
  <c r="L94" i="28"/>
  <c r="M39" i="28"/>
  <c r="H34" i="28"/>
  <c r="H40" i="28"/>
  <c r="F84" i="28"/>
  <c r="F97" i="28"/>
  <c r="N37" i="28"/>
  <c r="F26" i="28"/>
  <c r="F56" i="28"/>
  <c r="F94" i="28"/>
  <c r="K41" i="28"/>
  <c r="K32" i="28"/>
  <c r="L101" i="28"/>
  <c r="N45" i="28"/>
  <c r="H44" i="28"/>
  <c r="H36" i="28"/>
  <c r="M45" i="28"/>
  <c r="H84" i="28"/>
  <c r="H97" i="28"/>
  <c r="I90" i="28"/>
  <c r="M37" i="28"/>
  <c r="H37" i="28"/>
  <c r="I40" i="28"/>
  <c r="F95" i="28"/>
  <c r="M25" i="28"/>
  <c r="M55" i="28"/>
  <c r="J26" i="28"/>
  <c r="J56" i="28"/>
  <c r="N43" i="28"/>
  <c r="J38" i="28"/>
  <c r="H95" i="28"/>
  <c r="L39" i="28"/>
  <c r="J34" i="28"/>
  <c r="K36" i="28"/>
  <c r="H45" i="28"/>
  <c r="H101" i="28"/>
  <c r="M36" i="28"/>
  <c r="J45" i="28"/>
  <c r="I44" i="28"/>
  <c r="H39" i="28"/>
  <c r="G26" i="28"/>
  <c r="G56" i="28"/>
  <c r="L44" i="28"/>
  <c r="I34" i="28"/>
  <c r="E95" i="28"/>
  <c r="K34" i="28"/>
  <c r="L92" i="28"/>
  <c r="K90" i="28"/>
  <c r="I92" i="28"/>
  <c r="I32" i="28"/>
  <c r="M22" i="28"/>
  <c r="E84" i="28"/>
  <c r="E97" i="28"/>
  <c r="G41" i="28"/>
  <c r="G44" i="28"/>
  <c r="K84" i="28"/>
  <c r="K97" i="28"/>
  <c r="N77" i="28"/>
  <c r="I96" i="28"/>
  <c r="J94" i="28"/>
  <c r="G32" i="28"/>
  <c r="N40" i="28"/>
  <c r="K92" i="28"/>
  <c r="M50" i="28"/>
  <c r="M59" i="28"/>
  <c r="J39" i="28"/>
  <c r="L37" i="28"/>
  <c r="H96" i="28"/>
  <c r="K40" i="28"/>
  <c r="M41" i="28"/>
  <c r="J90" i="28"/>
  <c r="J41" i="28"/>
  <c r="L45" i="28"/>
  <c r="M44" i="28"/>
  <c r="I38" i="28"/>
  <c r="G36" i="28"/>
  <c r="L41" i="28"/>
  <c r="L96" i="28"/>
  <c r="L38" i="28"/>
  <c r="N90" i="28"/>
  <c r="H25" i="28"/>
  <c r="H55" i="28"/>
  <c r="L46" i="28"/>
  <c r="N38" i="28"/>
  <c r="H43" i="28"/>
  <c r="K25" i="28"/>
  <c r="K55" i="28"/>
  <c r="N22" i="28"/>
  <c r="J44" i="28"/>
  <c r="M84" i="28"/>
  <c r="M97" i="28"/>
  <c r="M34" i="28"/>
  <c r="M26" i="28"/>
  <c r="M56" i="28"/>
  <c r="K95" i="28"/>
  <c r="I84" i="28"/>
  <c r="I97" i="28"/>
  <c r="I39" i="28"/>
  <c r="I36" i="28"/>
  <c r="F96" i="28"/>
  <c r="J37" i="28"/>
  <c r="G95" i="28"/>
  <c r="I45" i="28"/>
  <c r="M94" i="28"/>
  <c r="I26" i="28"/>
  <c r="I56" i="28"/>
  <c r="L34" i="28"/>
  <c r="L43" i="28"/>
  <c r="J32" i="28"/>
  <c r="E96" i="28"/>
  <c r="K101" i="28"/>
  <c r="D26" i="28"/>
  <c r="D56" i="28"/>
  <c r="F101" i="28"/>
  <c r="N101" i="28"/>
  <c r="N44" i="28"/>
  <c r="N50" i="28"/>
  <c r="N59" i="28"/>
  <c r="K44" i="28"/>
  <c r="N84" i="28"/>
  <c r="N97" i="28"/>
  <c r="N94" i="28"/>
  <c r="M32" i="28"/>
  <c r="L40" i="28"/>
  <c r="E25" i="28"/>
  <c r="E55" i="28"/>
  <c r="K94" i="28"/>
  <c r="J95" i="28"/>
  <c r="M95" i="28"/>
  <c r="J40" i="28"/>
  <c r="M40" i="28"/>
  <c r="E26" i="28"/>
  <c r="E56" i="28"/>
  <c r="L84" i="28"/>
  <c r="L97" i="28"/>
  <c r="I41" i="28"/>
  <c r="L26" i="28"/>
  <c r="L56" i="28"/>
  <c r="J96" i="28"/>
  <c r="G101" i="28"/>
  <c r="H85" i="28"/>
  <c r="H98" i="28"/>
  <c r="D50" i="28"/>
  <c r="D59" i="28"/>
  <c r="E85" i="28"/>
  <c r="E98" i="28"/>
  <c r="I86" i="28"/>
  <c r="I99" i="28"/>
  <c r="H90" i="28"/>
  <c r="N46" i="28"/>
  <c r="J43" i="28"/>
  <c r="F85" i="28"/>
  <c r="F98" i="28"/>
  <c r="J36" i="28"/>
  <c r="G90" i="28"/>
  <c r="J25" i="28"/>
  <c r="J55" i="28"/>
  <c r="H92" i="28"/>
  <c r="F86" i="28"/>
  <c r="F99" i="28"/>
  <c r="I85" i="28"/>
  <c r="I98" i="28"/>
  <c r="D44" i="28"/>
  <c r="E86" i="28"/>
  <c r="E99" i="28"/>
  <c r="H86" i="28"/>
  <c r="H99" i="28"/>
  <c r="K85" i="28"/>
  <c r="K98" i="28"/>
  <c r="F44" i="28"/>
  <c r="K86" i="28"/>
  <c r="K99" i="28"/>
  <c r="G92" i="28"/>
  <c r="J86" i="28"/>
  <c r="J99" i="28"/>
  <c r="F45" i="28"/>
  <c r="J85" i="28"/>
  <c r="J98" i="28"/>
  <c r="L86" i="28"/>
  <c r="L99" i="28"/>
  <c r="G85" i="28"/>
  <c r="G98" i="28"/>
  <c r="E44" i="28"/>
  <c r="G86" i="28"/>
  <c r="G99" i="28"/>
  <c r="D45" i="28"/>
  <c r="E45" i="28"/>
  <c r="M44" i="47"/>
  <c r="X55" i="40"/>
  <c r="W56" i="40"/>
  <c r="W66" i="40"/>
  <c r="G41" i="38"/>
  <c r="G42" i="50"/>
  <c r="G41" i="50"/>
  <c r="M99" i="50"/>
  <c r="M103" i="38"/>
  <c r="F103" i="38"/>
  <c r="F99" i="50"/>
  <c r="I18" i="53"/>
  <c r="I18" i="41"/>
  <c r="I19" i="53"/>
  <c r="I20" i="41"/>
  <c r="S44" i="53"/>
  <c r="I41" i="38"/>
  <c r="I42" i="50"/>
  <c r="I41" i="50"/>
  <c r="U103" i="38"/>
  <c r="U99" i="50"/>
  <c r="T23" i="52"/>
  <c r="V99" i="52"/>
  <c r="V103" i="40"/>
  <c r="J33" i="38"/>
  <c r="H77" i="28"/>
  <c r="J35" i="50"/>
  <c r="J34" i="50"/>
  <c r="J42" i="38"/>
  <c r="J43" i="50"/>
  <c r="J45" i="38"/>
  <c r="U104" i="52"/>
  <c r="U104" i="40"/>
  <c r="U105" i="52"/>
  <c r="K41" i="38"/>
  <c r="K42" i="50"/>
  <c r="K41" i="50"/>
  <c r="E38" i="28"/>
  <c r="F43" i="28"/>
  <c r="U40" i="41"/>
  <c r="U34" i="41"/>
  <c r="X3" i="52"/>
  <c r="Y3" i="40"/>
  <c r="V9" i="38"/>
  <c r="U12" i="38"/>
  <c r="T131" i="52"/>
  <c r="V191" i="41"/>
  <c r="V193" i="53"/>
  <c r="V192" i="41"/>
  <c r="V194" i="53"/>
  <c r="V205" i="41"/>
  <c r="V194" i="41"/>
  <c r="V196" i="53"/>
  <c r="V183" i="41"/>
  <c r="V189" i="41"/>
  <c r="V191" i="53"/>
  <c r="V193" i="41"/>
  <c r="V195" i="53"/>
  <c r="V195" i="41"/>
  <c r="V197" i="53"/>
  <c r="V190" i="41"/>
  <c r="V192" i="53"/>
  <c r="V197" i="41"/>
  <c r="V199" i="53"/>
  <c r="U10" i="53"/>
  <c r="T13" i="53"/>
  <c r="V34" i="40"/>
  <c r="V40" i="40"/>
  <c r="Y237" i="53"/>
  <c r="Y258" i="53"/>
  <c r="M34" i="50"/>
  <c r="G34" i="50"/>
  <c r="I34" i="53"/>
  <c r="Q77" i="41"/>
  <c r="F20" i="40"/>
  <c r="F21" i="52"/>
  <c r="D332" i="52"/>
  <c r="T11" i="52"/>
  <c r="J34" i="53"/>
  <c r="M20" i="41"/>
  <c r="J11" i="53"/>
  <c r="T34" i="50"/>
  <c r="M11" i="52"/>
  <c r="W406" i="41"/>
  <c r="W409" i="53"/>
  <c r="W437" i="53"/>
  <c r="X397" i="53"/>
  <c r="X366" i="41"/>
  <c r="X369" i="53"/>
  <c r="X329" i="53"/>
  <c r="X394" i="53"/>
  <c r="X431" i="41"/>
  <c r="X434" i="53"/>
  <c r="Z374" i="41"/>
  <c r="Z377" i="53"/>
  <c r="Z385" i="41"/>
  <c r="Z388" i="53"/>
  <c r="Z390" i="41"/>
  <c r="Z375" i="41"/>
  <c r="Z378" i="53"/>
  <c r="Z394" i="41"/>
  <c r="Z391" i="41"/>
  <c r="Z397" i="41"/>
  <c r="Y160" i="52"/>
  <c r="V406" i="53"/>
  <c r="V416" i="41"/>
  <c r="V419" i="53"/>
  <c r="Y391" i="41"/>
  <c r="Y390" i="41"/>
  <c r="Y394" i="41"/>
  <c r="Y375" i="41"/>
  <c r="Y378" i="53"/>
  <c r="Y397" i="41"/>
  <c r="Y385" i="41"/>
  <c r="Y388" i="53"/>
  <c r="Y374" i="41"/>
  <c r="Y377" i="53"/>
  <c r="W376" i="41"/>
  <c r="W379" i="53"/>
  <c r="W366" i="53"/>
  <c r="X434" i="41"/>
  <c r="X415" i="41"/>
  <c r="X418" i="53"/>
  <c r="X425" i="41"/>
  <c r="X428" i="53"/>
  <c r="X430" i="41"/>
  <c r="X414" i="41"/>
  <c r="X417" i="53"/>
  <c r="Y159" i="40"/>
  <c r="M20" i="40"/>
  <c r="M21" i="52"/>
  <c r="W433" i="53"/>
  <c r="W403" i="41"/>
  <c r="X363" i="41"/>
  <c r="X393" i="53"/>
  <c r="G44" i="53"/>
  <c r="Q82" i="41"/>
  <c r="Q78" i="53"/>
  <c r="G32" i="47"/>
  <c r="Q11" i="52"/>
  <c r="R11" i="52"/>
  <c r="V82" i="41"/>
  <c r="AA15" i="47"/>
  <c r="AA16" i="47"/>
  <c r="AA8" i="47"/>
  <c r="P43" i="47"/>
  <c r="V78" i="53"/>
  <c r="Y231" i="53"/>
  <c r="K34" i="53"/>
  <c r="X433" i="40"/>
  <c r="X436" i="52"/>
  <c r="M82" i="41"/>
  <c r="M78" i="53"/>
  <c r="Y331" i="52"/>
  <c r="Y326" i="52"/>
  <c r="Y320" i="52"/>
  <c r="Y69" i="54"/>
  <c r="Y38" i="54"/>
  <c r="Y41" i="54"/>
  <c r="Z76" i="53"/>
  <c r="Z77" i="53"/>
  <c r="S77" i="41"/>
  <c r="I77" i="41"/>
  <c r="R77" i="41"/>
  <c r="J77" i="41"/>
  <c r="L77" i="41"/>
  <c r="H77" i="41"/>
  <c r="N77" i="41"/>
  <c r="G77" i="41"/>
  <c r="O77" i="41"/>
  <c r="P77" i="41"/>
  <c r="K77" i="41"/>
  <c r="W77" i="41"/>
  <c r="U77" i="41"/>
  <c r="T77" i="41"/>
  <c r="I34" i="50"/>
  <c r="O43" i="41"/>
  <c r="Z237" i="52"/>
  <c r="Z258" i="52"/>
  <c r="Q20" i="40"/>
  <c r="Q21" i="52"/>
  <c r="Q19" i="52"/>
  <c r="I11" i="52"/>
  <c r="O20" i="41"/>
  <c r="P34" i="53"/>
  <c r="Z297" i="52"/>
  <c r="Z318" i="52"/>
  <c r="Z341" i="52"/>
  <c r="Z360" i="52"/>
  <c r="Z400" i="52"/>
  <c r="N11" i="52"/>
  <c r="N19" i="52"/>
  <c r="N20" i="40"/>
  <c r="N21" i="52"/>
  <c r="I19" i="52"/>
  <c r="I20" i="40"/>
  <c r="I21" i="52"/>
  <c r="H11" i="52"/>
  <c r="H43" i="41"/>
  <c r="Q43" i="41"/>
  <c r="K19" i="52"/>
  <c r="K20" i="40"/>
  <c r="K21" i="52"/>
  <c r="X77" i="41"/>
  <c r="G11" i="53"/>
  <c r="H44" i="53"/>
  <c r="Q44" i="53"/>
  <c r="G11" i="52"/>
  <c r="S20" i="40"/>
  <c r="S21" i="52"/>
  <c r="O11" i="52"/>
  <c r="G19" i="52"/>
  <c r="G20" i="40"/>
  <c r="G21" i="52"/>
  <c r="L11" i="52"/>
  <c r="Z76" i="41"/>
  <c r="Y77" i="41"/>
  <c r="Y87" i="41"/>
  <c r="Y88" i="53"/>
  <c r="L20" i="40"/>
  <c r="L21" i="52"/>
  <c r="H19" i="52"/>
  <c r="H20" i="40"/>
  <c r="H21" i="52"/>
  <c r="X57" i="54"/>
  <c r="X62" i="54"/>
  <c r="X63" i="54"/>
  <c r="X60" i="54"/>
  <c r="F78" i="53"/>
  <c r="F82" i="41"/>
  <c r="AA7" i="47"/>
  <c r="P42" i="47"/>
  <c r="F42" i="47"/>
  <c r="Z21" i="54"/>
  <c r="AA6" i="47"/>
  <c r="AB3" i="47"/>
  <c r="AA4" i="47"/>
  <c r="P39" i="47"/>
  <c r="F39" i="47"/>
  <c r="AA5" i="47"/>
  <c r="P40" i="47"/>
  <c r="F40" i="47"/>
  <c r="P20" i="40"/>
  <c r="P21" i="52"/>
  <c r="J11" i="52"/>
  <c r="U189" i="52"/>
  <c r="K77" i="28"/>
  <c r="R187" i="38"/>
  <c r="R180" i="50"/>
  <c r="R180" i="38"/>
  <c r="Y433" i="50"/>
  <c r="Y403" i="38"/>
  <c r="X57" i="53"/>
  <c r="X61" i="41"/>
  <c r="K43" i="41"/>
  <c r="Z406" i="40"/>
  <c r="Z409" i="52"/>
  <c r="Z437" i="52"/>
  <c r="Z220" i="41"/>
  <c r="Z223" i="53"/>
  <c r="Z215" i="53"/>
  <c r="Z143" i="52"/>
  <c r="Z150" i="40"/>
  <c r="Z151" i="52"/>
  <c r="Z277" i="40"/>
  <c r="Z308" i="40"/>
  <c r="Z278" i="52"/>
  <c r="Z280" i="52"/>
  <c r="Z311" i="52"/>
  <c r="I44" i="53"/>
  <c r="Y403" i="40"/>
  <c r="Y433" i="52"/>
  <c r="Y159" i="41"/>
  <c r="X329" i="52"/>
  <c r="F199" i="38"/>
  <c r="F183" i="50"/>
  <c r="F202" i="50"/>
  <c r="I61" i="41"/>
  <c r="I57" i="53"/>
  <c r="Y325" i="41"/>
  <c r="Y328" i="53"/>
  <c r="Y274" i="53"/>
  <c r="P43" i="41"/>
  <c r="H34" i="53"/>
  <c r="K183" i="50"/>
  <c r="K202" i="50"/>
  <c r="K199" i="38"/>
  <c r="U181" i="52"/>
  <c r="U184" i="52"/>
  <c r="U128" i="40"/>
  <c r="U129" i="52"/>
  <c r="L77" i="28"/>
  <c r="H191" i="41"/>
  <c r="H193" i="53"/>
  <c r="H193" i="41"/>
  <c r="H195" i="53"/>
  <c r="H190" i="41"/>
  <c r="H192" i="53"/>
  <c r="H197" i="41"/>
  <c r="H199" i="53"/>
  <c r="H192" i="41"/>
  <c r="H194" i="53"/>
  <c r="H189" i="41"/>
  <c r="H191" i="53"/>
  <c r="H205" i="41"/>
  <c r="H194" i="41"/>
  <c r="H196" i="53"/>
  <c r="H195" i="41"/>
  <c r="H197" i="53"/>
  <c r="H183" i="41"/>
  <c r="X199" i="38"/>
  <c r="X183" i="50"/>
  <c r="X202" i="50"/>
  <c r="U180" i="50"/>
  <c r="U187" i="38"/>
  <c r="U180" i="38"/>
  <c r="L180" i="38"/>
  <c r="L180" i="50"/>
  <c r="L187" i="38"/>
  <c r="Z55" i="41"/>
  <c r="Y56" i="41"/>
  <c r="Y66" i="41"/>
  <c r="Y67" i="53"/>
  <c r="K44" i="53"/>
  <c r="Z150" i="41"/>
  <c r="Z151" i="53"/>
  <c r="Z143" i="53"/>
  <c r="Z260" i="53"/>
  <c r="Z265" i="41"/>
  <c r="Z268" i="53"/>
  <c r="Z392" i="40"/>
  <c r="Z395" i="52"/>
  <c r="Z367" i="52"/>
  <c r="Z377" i="40"/>
  <c r="Z380" i="52"/>
  <c r="Z407" i="52"/>
  <c r="Z432" i="40"/>
  <c r="Z435" i="52"/>
  <c r="Z417" i="40"/>
  <c r="Z420" i="52"/>
  <c r="Z437" i="50"/>
  <c r="Z406" i="38"/>
  <c r="Z409" i="50"/>
  <c r="M199" i="38"/>
  <c r="M183" i="50"/>
  <c r="M202" i="50"/>
  <c r="I190" i="41"/>
  <c r="I192" i="53"/>
  <c r="I189" i="41"/>
  <c r="I191" i="53"/>
  <c r="I194" i="41"/>
  <c r="I196" i="53"/>
  <c r="I205" i="41"/>
  <c r="I197" i="41"/>
  <c r="I199" i="53"/>
  <c r="I193" i="41"/>
  <c r="I195" i="53"/>
  <c r="I183" i="41"/>
  <c r="I191" i="41"/>
  <c r="I193" i="53"/>
  <c r="I192" i="41"/>
  <c r="I194" i="53"/>
  <c r="I195" i="41"/>
  <c r="I197" i="53"/>
  <c r="K57" i="53"/>
  <c r="K61" i="41"/>
  <c r="N193" i="41"/>
  <c r="N195" i="53"/>
  <c r="N205" i="41"/>
  <c r="N197" i="41"/>
  <c r="N199" i="53"/>
  <c r="N183" i="41"/>
  <c r="N195" i="41"/>
  <c r="N197" i="53"/>
  <c r="N194" i="41"/>
  <c r="N196" i="53"/>
  <c r="N191" i="41"/>
  <c r="N193" i="53"/>
  <c r="N189" i="41"/>
  <c r="N191" i="53"/>
  <c r="N192" i="41"/>
  <c r="N194" i="53"/>
  <c r="N190" i="41"/>
  <c r="N192" i="53"/>
  <c r="Y276" i="53"/>
  <c r="K180" i="38"/>
  <c r="K180" i="50"/>
  <c r="K187" i="38"/>
  <c r="K44" i="50"/>
  <c r="K11" i="53"/>
  <c r="N34" i="50"/>
  <c r="H188" i="53"/>
  <c r="H189" i="53"/>
  <c r="H181" i="53"/>
  <c r="X180" i="50"/>
  <c r="X188" i="50"/>
  <c r="X187" i="38"/>
  <c r="R199" i="38"/>
  <c r="R183" i="50"/>
  <c r="R202" i="50"/>
  <c r="U199" i="38"/>
  <c r="U183" i="50"/>
  <c r="U202" i="50"/>
  <c r="R57" i="53"/>
  <c r="R61" i="41"/>
  <c r="Z433" i="52"/>
  <c r="Z403" i="40"/>
  <c r="Z226" i="41"/>
  <c r="Z229" i="53"/>
  <c r="Z228" i="53"/>
  <c r="Z228" i="41"/>
  <c r="G188" i="53"/>
  <c r="G189" i="53"/>
  <c r="G181" i="53"/>
  <c r="O199" i="38"/>
  <c r="O183" i="50"/>
  <c r="O202" i="50"/>
  <c r="N43" i="41"/>
  <c r="Z156" i="52"/>
  <c r="Z157" i="40"/>
  <c r="Z158" i="52"/>
  <c r="X416" i="40"/>
  <c r="X419" i="52"/>
  <c r="X406" i="52"/>
  <c r="Y160" i="53"/>
  <c r="M180" i="50"/>
  <c r="M180" i="38"/>
  <c r="M187" i="38"/>
  <c r="P57" i="53"/>
  <c r="P61" i="41"/>
  <c r="M57" i="53"/>
  <c r="M61" i="41"/>
  <c r="M190" i="41"/>
  <c r="M192" i="53"/>
  <c r="M195" i="41"/>
  <c r="M197" i="53"/>
  <c r="M191" i="41"/>
  <c r="M193" i="53"/>
  <c r="M183" i="41"/>
  <c r="M194" i="41"/>
  <c r="M196" i="53"/>
  <c r="M193" i="41"/>
  <c r="M195" i="53"/>
  <c r="M205" i="41"/>
  <c r="M197" i="41"/>
  <c r="M199" i="53"/>
  <c r="M192" i="41"/>
  <c r="M194" i="53"/>
  <c r="M189" i="41"/>
  <c r="M191" i="53"/>
  <c r="Y366" i="52"/>
  <c r="Y376" i="40"/>
  <c r="Y379" i="52"/>
  <c r="Z170" i="50"/>
  <c r="Z179" i="38"/>
  <c r="Z182" i="38"/>
  <c r="P44" i="53"/>
  <c r="T192" i="41"/>
  <c r="T194" i="53"/>
  <c r="T183" i="41"/>
  <c r="T193" i="41"/>
  <c r="T195" i="53"/>
  <c r="T197" i="41"/>
  <c r="T199" i="53"/>
  <c r="T189" i="41"/>
  <c r="T191" i="53"/>
  <c r="T195" i="41"/>
  <c r="T197" i="53"/>
  <c r="T205" i="41"/>
  <c r="T191" i="41"/>
  <c r="T193" i="53"/>
  <c r="T190" i="41"/>
  <c r="T192" i="53"/>
  <c r="T194" i="41"/>
  <c r="T196" i="53"/>
  <c r="Q180" i="50"/>
  <c r="Q187" i="38"/>
  <c r="Q180" i="38"/>
  <c r="T180" i="50"/>
  <c r="T187" i="38"/>
  <c r="T180" i="38"/>
  <c r="U61" i="41"/>
  <c r="U57" i="53"/>
  <c r="O205" i="41"/>
  <c r="O197" i="41"/>
  <c r="O199" i="53"/>
  <c r="O195" i="41"/>
  <c r="O197" i="53"/>
  <c r="O189" i="41"/>
  <c r="O191" i="53"/>
  <c r="O190" i="41"/>
  <c r="O192" i="53"/>
  <c r="O193" i="41"/>
  <c r="O195" i="53"/>
  <c r="O194" i="41"/>
  <c r="O196" i="53"/>
  <c r="O192" i="41"/>
  <c r="O194" i="53"/>
  <c r="O183" i="41"/>
  <c r="O191" i="41"/>
  <c r="O193" i="53"/>
  <c r="Z376" i="40"/>
  <c r="Z379" i="52"/>
  <c r="Z366" i="52"/>
  <c r="P180" i="50"/>
  <c r="P187" i="38"/>
  <c r="P180" i="38"/>
  <c r="Z408" i="53"/>
  <c r="Z418" i="41"/>
  <c r="Z421" i="53"/>
  <c r="G191" i="41"/>
  <c r="G193" i="53"/>
  <c r="G193" i="41"/>
  <c r="G195" i="53"/>
  <c r="G192" i="41"/>
  <c r="G194" i="53"/>
  <c r="G197" i="41"/>
  <c r="G199" i="53"/>
  <c r="G205" i="41"/>
  <c r="G194" i="41"/>
  <c r="G196" i="53"/>
  <c r="G195" i="41"/>
  <c r="G197" i="53"/>
  <c r="G183" i="41"/>
  <c r="G190" i="41"/>
  <c r="G192" i="53"/>
  <c r="G189" i="41"/>
  <c r="G191" i="53"/>
  <c r="Z228" i="52"/>
  <c r="Z226" i="40"/>
  <c r="Z229" i="52"/>
  <c r="Z215" i="52"/>
  <c r="Z220" i="40"/>
  <c r="Z223" i="52"/>
  <c r="L181" i="53"/>
  <c r="L188" i="53"/>
  <c r="L189" i="53"/>
  <c r="Y376" i="38"/>
  <c r="Y379" i="50"/>
  <c r="Y366" i="50"/>
  <c r="Y327" i="52"/>
  <c r="N61" i="41"/>
  <c r="N57" i="53"/>
  <c r="F61" i="41"/>
  <c r="F57" i="53"/>
  <c r="G183" i="50"/>
  <c r="G202" i="50"/>
  <c r="G199" i="38"/>
  <c r="M188" i="53"/>
  <c r="M189" i="53"/>
  <c r="M181" i="53"/>
  <c r="X406" i="50"/>
  <c r="X416" i="38"/>
  <c r="X419" i="50"/>
  <c r="Y170" i="50"/>
  <c r="Y179" i="38"/>
  <c r="Y182" i="38"/>
  <c r="V183" i="50"/>
  <c r="V202" i="50"/>
  <c r="V199" i="38"/>
  <c r="Q183" i="50"/>
  <c r="Q202" i="50"/>
  <c r="Q199" i="38"/>
  <c r="T43" i="38"/>
  <c r="F44" i="50"/>
  <c r="V128" i="38"/>
  <c r="U44" i="52"/>
  <c r="P188" i="53"/>
  <c r="P189" i="53"/>
  <c r="P181" i="53"/>
  <c r="R192" i="41"/>
  <c r="R194" i="53"/>
  <c r="R194" i="41"/>
  <c r="R196" i="53"/>
  <c r="R195" i="41"/>
  <c r="R197" i="53"/>
  <c r="R190" i="41"/>
  <c r="R192" i="53"/>
  <c r="R191" i="41"/>
  <c r="R193" i="53"/>
  <c r="R183" i="41"/>
  <c r="R197" i="41"/>
  <c r="R199" i="53"/>
  <c r="R189" i="41"/>
  <c r="R191" i="53"/>
  <c r="R205" i="41"/>
  <c r="R193" i="41"/>
  <c r="R195" i="53"/>
  <c r="T199" i="38"/>
  <c r="T183" i="50"/>
  <c r="T202" i="50"/>
  <c r="L34" i="53"/>
  <c r="Q191" i="41"/>
  <c r="Q193" i="53"/>
  <c r="Q194" i="41"/>
  <c r="Q196" i="53"/>
  <c r="Q197" i="41"/>
  <c r="Q199" i="53"/>
  <c r="Q189" i="41"/>
  <c r="Q191" i="53"/>
  <c r="Q192" i="41"/>
  <c r="Q194" i="53"/>
  <c r="Q195" i="41"/>
  <c r="Q197" i="53"/>
  <c r="Q190" i="41"/>
  <c r="Q192" i="53"/>
  <c r="Q183" i="41"/>
  <c r="Q205" i="41"/>
  <c r="Q193" i="41"/>
  <c r="Q195" i="53"/>
  <c r="I199" i="38"/>
  <c r="I183" i="50"/>
  <c r="I202" i="50"/>
  <c r="J43" i="41"/>
  <c r="Z156" i="53"/>
  <c r="Z157" i="41"/>
  <c r="Z158" i="53"/>
  <c r="Z278" i="53"/>
  <c r="Z280" i="53"/>
  <c r="Z311" i="53"/>
  <c r="Z277" i="41"/>
  <c r="Z308" i="41"/>
  <c r="Z407" i="53"/>
  <c r="Z432" i="41"/>
  <c r="Z435" i="53"/>
  <c r="Z417" i="41"/>
  <c r="Z420" i="53"/>
  <c r="O180" i="50"/>
  <c r="O187" i="38"/>
  <c r="O180" i="38"/>
  <c r="N44" i="53"/>
  <c r="Z378" i="40"/>
  <c r="Z381" i="52"/>
  <c r="Z368" i="52"/>
  <c r="Z393" i="40"/>
  <c r="Z396" i="52"/>
  <c r="Y437" i="52"/>
  <c r="Y406" i="40"/>
  <c r="Y409" i="52"/>
  <c r="U190" i="41"/>
  <c r="U192" i="53"/>
  <c r="U191" i="41"/>
  <c r="U193" i="53"/>
  <c r="U183" i="41"/>
  <c r="U205" i="41"/>
  <c r="U197" i="41"/>
  <c r="U199" i="53"/>
  <c r="U193" i="41"/>
  <c r="U195" i="53"/>
  <c r="U192" i="41"/>
  <c r="U194" i="53"/>
  <c r="U194" i="41"/>
  <c r="U196" i="53"/>
  <c r="U189" i="41"/>
  <c r="U191" i="53"/>
  <c r="U195" i="41"/>
  <c r="U197" i="53"/>
  <c r="S190" i="41"/>
  <c r="S192" i="53"/>
  <c r="S197" i="41"/>
  <c r="S199" i="53"/>
  <c r="S205" i="41"/>
  <c r="S189" i="41"/>
  <c r="S191" i="53"/>
  <c r="S192" i="41"/>
  <c r="S194" i="53"/>
  <c r="S195" i="41"/>
  <c r="S197" i="53"/>
  <c r="S183" i="41"/>
  <c r="S191" i="41"/>
  <c r="S193" i="53"/>
  <c r="S193" i="41"/>
  <c r="S195" i="53"/>
  <c r="S194" i="41"/>
  <c r="S196" i="53"/>
  <c r="L61" i="41"/>
  <c r="L57" i="53"/>
  <c r="G61" i="41"/>
  <c r="G57" i="53"/>
  <c r="G180" i="50"/>
  <c r="G187" i="38"/>
  <c r="G180" i="38"/>
  <c r="J188" i="53"/>
  <c r="J189" i="53"/>
  <c r="J181" i="53"/>
  <c r="V180" i="50"/>
  <c r="V187" i="38"/>
  <c r="V180" i="38"/>
  <c r="S187" i="38"/>
  <c r="S180" i="50"/>
  <c r="S180" i="38"/>
  <c r="T181" i="53"/>
  <c r="T188" i="53"/>
  <c r="T189" i="53"/>
  <c r="T43" i="41"/>
  <c r="L44" i="50"/>
  <c r="P183" i="41"/>
  <c r="P197" i="41"/>
  <c r="P199" i="53"/>
  <c r="P194" i="41"/>
  <c r="P196" i="53"/>
  <c r="P205" i="41"/>
  <c r="P193" i="41"/>
  <c r="P195" i="53"/>
  <c r="P191" i="41"/>
  <c r="P193" i="53"/>
  <c r="P190" i="41"/>
  <c r="P192" i="53"/>
  <c r="P192" i="41"/>
  <c r="P194" i="53"/>
  <c r="P189" i="41"/>
  <c r="P191" i="53"/>
  <c r="P195" i="41"/>
  <c r="P197" i="53"/>
  <c r="H199" i="38"/>
  <c r="H183" i="50"/>
  <c r="H202" i="50"/>
  <c r="O188" i="53"/>
  <c r="O189" i="53"/>
  <c r="O181" i="53"/>
  <c r="I180" i="50"/>
  <c r="I187" i="38"/>
  <c r="I180" i="38"/>
  <c r="P199" i="38"/>
  <c r="P183" i="50"/>
  <c r="P202" i="50"/>
  <c r="O44" i="53"/>
  <c r="Z368" i="53"/>
  <c r="Z393" i="41"/>
  <c r="Z396" i="53"/>
  <c r="Z378" i="41"/>
  <c r="Z381" i="53"/>
  <c r="J199" i="38"/>
  <c r="J183" i="50"/>
  <c r="J202" i="50"/>
  <c r="Z271" i="40"/>
  <c r="Z273" i="40"/>
  <c r="Z273" i="52"/>
  <c r="Z324" i="40"/>
  <c r="K189" i="41"/>
  <c r="K191" i="53"/>
  <c r="K197" i="41"/>
  <c r="K199" i="53"/>
  <c r="K190" i="41"/>
  <c r="K192" i="53"/>
  <c r="K191" i="41"/>
  <c r="K193" i="53"/>
  <c r="K195" i="41"/>
  <c r="K197" i="53"/>
  <c r="K194" i="41"/>
  <c r="K196" i="53"/>
  <c r="K183" i="41"/>
  <c r="K205" i="41"/>
  <c r="K193" i="41"/>
  <c r="K195" i="53"/>
  <c r="K192" i="41"/>
  <c r="K194" i="53"/>
  <c r="L192" i="41"/>
  <c r="L194" i="53"/>
  <c r="L197" i="41"/>
  <c r="L199" i="53"/>
  <c r="L205" i="41"/>
  <c r="L189" i="41"/>
  <c r="L191" i="53"/>
  <c r="L193" i="41"/>
  <c r="L195" i="53"/>
  <c r="L191" i="41"/>
  <c r="L193" i="53"/>
  <c r="L195" i="41"/>
  <c r="L197" i="53"/>
  <c r="L194" i="41"/>
  <c r="L196" i="53"/>
  <c r="L190" i="41"/>
  <c r="L192" i="53"/>
  <c r="L183" i="41"/>
  <c r="F188" i="53"/>
  <c r="F189" i="53"/>
  <c r="F181" i="53"/>
  <c r="Y274" i="52"/>
  <c r="Y276" i="52"/>
  <c r="Y325" i="40"/>
  <c r="Y328" i="52"/>
  <c r="O61" i="41"/>
  <c r="O57" i="53"/>
  <c r="J57" i="53"/>
  <c r="J61" i="41"/>
  <c r="S183" i="50"/>
  <c r="S202" i="50"/>
  <c r="S199" i="38"/>
  <c r="W181" i="53"/>
  <c r="W184" i="53"/>
  <c r="R188" i="53"/>
  <c r="R189" i="53"/>
  <c r="R181" i="53"/>
  <c r="Y406" i="38"/>
  <c r="Y409" i="50"/>
  <c r="Y437" i="50"/>
  <c r="Q188" i="53"/>
  <c r="Q189" i="53"/>
  <c r="Q181" i="53"/>
  <c r="J44" i="53"/>
  <c r="N199" i="38"/>
  <c r="N183" i="50"/>
  <c r="N202" i="50"/>
  <c r="Z376" i="38"/>
  <c r="Z379" i="50"/>
  <c r="Z366" i="50"/>
  <c r="Z367" i="53"/>
  <c r="Z392" i="41"/>
  <c r="Z395" i="53"/>
  <c r="Z377" i="41"/>
  <c r="Z380" i="53"/>
  <c r="J180" i="50"/>
  <c r="J187" i="38"/>
  <c r="J180" i="38"/>
  <c r="Z408" i="52"/>
  <c r="Z418" i="40"/>
  <c r="Z421" i="52"/>
  <c r="Z433" i="50"/>
  <c r="Z403" i="38"/>
  <c r="F205" i="41"/>
  <c r="F192" i="41"/>
  <c r="F194" i="53"/>
  <c r="F195" i="41"/>
  <c r="F197" i="53"/>
  <c r="F191" i="41"/>
  <c r="F193" i="53"/>
  <c r="F183" i="41"/>
  <c r="F197" i="41"/>
  <c r="F199" i="53"/>
  <c r="F194" i="41"/>
  <c r="F196" i="53"/>
  <c r="F190" i="41"/>
  <c r="F192" i="53"/>
  <c r="F189" i="41"/>
  <c r="F191" i="53"/>
  <c r="F193" i="41"/>
  <c r="F195" i="53"/>
  <c r="U188" i="53"/>
  <c r="U189" i="53"/>
  <c r="U181" i="53"/>
  <c r="S188" i="53"/>
  <c r="S189" i="53"/>
  <c r="S181" i="53"/>
  <c r="X326" i="41"/>
  <c r="Q57" i="53"/>
  <c r="Q61" i="41"/>
  <c r="Q34" i="53"/>
  <c r="R34" i="53"/>
  <c r="Y326" i="41"/>
  <c r="Y327" i="53"/>
  <c r="J197" i="41"/>
  <c r="J199" i="53"/>
  <c r="J194" i="41"/>
  <c r="J196" i="53"/>
  <c r="J189" i="41"/>
  <c r="J191" i="53"/>
  <c r="J195" i="41"/>
  <c r="J197" i="53"/>
  <c r="J183" i="41"/>
  <c r="J193" i="41"/>
  <c r="J195" i="53"/>
  <c r="J190" i="41"/>
  <c r="J192" i="53"/>
  <c r="J205" i="41"/>
  <c r="J191" i="41"/>
  <c r="J193" i="53"/>
  <c r="J192" i="41"/>
  <c r="J194" i="53"/>
  <c r="J20" i="41"/>
  <c r="J21" i="53"/>
  <c r="S62" i="53"/>
  <c r="S62" i="41"/>
  <c r="S63" i="53"/>
  <c r="H180" i="50"/>
  <c r="H187" i="38"/>
  <c r="H180" i="38"/>
  <c r="W62" i="53"/>
  <c r="W62" i="41"/>
  <c r="W63" i="53"/>
  <c r="L199" i="38"/>
  <c r="L183" i="50"/>
  <c r="L202" i="50"/>
  <c r="N180" i="38"/>
  <c r="N180" i="50"/>
  <c r="N187" i="38"/>
  <c r="V57" i="53"/>
  <c r="V61" i="41"/>
  <c r="Z273" i="53"/>
  <c r="Z271" i="41"/>
  <c r="Z273" i="41"/>
  <c r="Z324" i="41"/>
  <c r="C32" i="35"/>
  <c r="B33" i="35"/>
  <c r="Z260" i="52"/>
  <c r="Z265" i="40"/>
  <c r="Z268" i="52"/>
  <c r="K188" i="53"/>
  <c r="K189" i="53"/>
  <c r="K181" i="53"/>
  <c r="I43" i="41"/>
  <c r="Y228" i="40"/>
  <c r="Y433" i="40"/>
  <c r="Y436" i="52"/>
  <c r="X326" i="40"/>
  <c r="F180" i="50"/>
  <c r="F187" i="38"/>
  <c r="F180" i="38"/>
  <c r="I188" i="53"/>
  <c r="I189" i="53"/>
  <c r="I181" i="53"/>
  <c r="Y228" i="41"/>
  <c r="H57" i="53"/>
  <c r="H61" i="41"/>
  <c r="G43" i="41"/>
  <c r="N181" i="53"/>
  <c r="N188" i="53"/>
  <c r="N189" i="53"/>
  <c r="T61" i="41"/>
  <c r="T57" i="53"/>
  <c r="Y273" i="41"/>
  <c r="M47" i="28"/>
  <c r="M43" i="38"/>
  <c r="K43" i="38"/>
  <c r="G44" i="50"/>
  <c r="F43" i="38"/>
  <c r="Y3" i="52"/>
  <c r="Z3" i="40"/>
  <c r="Z3" i="52"/>
  <c r="M104" i="50"/>
  <c r="M104" i="38"/>
  <c r="M105" i="50"/>
  <c r="V35" i="52"/>
  <c r="V34" i="52"/>
  <c r="V33" i="40"/>
  <c r="V42" i="40"/>
  <c r="V43" i="52"/>
  <c r="V45" i="40"/>
  <c r="I21" i="53"/>
  <c r="W67" i="52"/>
  <c r="N47" i="28"/>
  <c r="E102" i="28"/>
  <c r="J46" i="50"/>
  <c r="U104" i="50"/>
  <c r="U104" i="38"/>
  <c r="U105" i="50"/>
  <c r="G43" i="38"/>
  <c r="W57" i="52"/>
  <c r="W61" i="40"/>
  <c r="G102" i="28"/>
  <c r="S23" i="53"/>
  <c r="Z98" i="38"/>
  <c r="Z108" i="38"/>
  <c r="P43" i="38"/>
  <c r="U131" i="52"/>
  <c r="U46" i="52"/>
  <c r="X180" i="53"/>
  <c r="X188" i="53"/>
  <c r="X187" i="41"/>
  <c r="Y120" i="53"/>
  <c r="Y119" i="53"/>
  <c r="Y130" i="41"/>
  <c r="Y118" i="41"/>
  <c r="T46" i="53"/>
  <c r="O11" i="38"/>
  <c r="O17" i="38"/>
  <c r="O44" i="50"/>
  <c r="X128" i="41"/>
  <c r="N46" i="50"/>
  <c r="G20" i="41"/>
  <c r="H43" i="38"/>
  <c r="H11" i="53"/>
  <c r="L34" i="50"/>
  <c r="Q20" i="41"/>
  <c r="T21" i="52"/>
  <c r="J17" i="38"/>
  <c r="J11" i="38"/>
  <c r="W245" i="52"/>
  <c r="W243" i="40"/>
  <c r="W246" i="52"/>
  <c r="G23" i="53"/>
  <c r="W120" i="50"/>
  <c r="W119" i="50"/>
  <c r="W130" i="38"/>
  <c r="W118" i="38"/>
  <c r="I11" i="53"/>
  <c r="W33" i="50"/>
  <c r="V36" i="50"/>
  <c r="X119" i="38"/>
  <c r="X126" i="38"/>
  <c r="Y55" i="40"/>
  <c r="X56" i="40"/>
  <c r="X66" i="40"/>
  <c r="K102" i="28"/>
  <c r="L47" i="28"/>
  <c r="U129" i="50"/>
  <c r="X177" i="40"/>
  <c r="X177" i="52"/>
  <c r="Y239" i="52"/>
  <c r="X240" i="52"/>
  <c r="W326" i="50"/>
  <c r="W320" i="50"/>
  <c r="W331" i="50"/>
  <c r="W208" i="53"/>
  <c r="Y109" i="50"/>
  <c r="W194" i="38"/>
  <c r="W196" i="50"/>
  <c r="W195" i="38"/>
  <c r="W197" i="50"/>
  <c r="W183" i="38"/>
  <c r="W189" i="38"/>
  <c r="W191" i="50"/>
  <c r="W190" i="38"/>
  <c r="W192" i="50"/>
  <c r="W191" i="38"/>
  <c r="W193" i="50"/>
  <c r="W193" i="38"/>
  <c r="W195" i="50"/>
  <c r="W197" i="38"/>
  <c r="W199" i="50"/>
  <c r="W192" i="38"/>
  <c r="W194" i="50"/>
  <c r="W205" i="38"/>
  <c r="Y10" i="52"/>
  <c r="X13" i="52"/>
  <c r="X199" i="41"/>
  <c r="X183" i="53"/>
  <c r="X202" i="53"/>
  <c r="Y127" i="53"/>
  <c r="Y127" i="41"/>
  <c r="Y128" i="53"/>
  <c r="Q104" i="38"/>
  <c r="Q105" i="50"/>
  <c r="Q104" i="50"/>
  <c r="J23" i="53"/>
  <c r="H23" i="53"/>
  <c r="V10" i="50"/>
  <c r="U13" i="50"/>
  <c r="T129" i="52"/>
  <c r="R23" i="53"/>
  <c r="V129" i="50"/>
  <c r="U11" i="41"/>
  <c r="U17" i="41"/>
  <c r="S20" i="41"/>
  <c r="R11" i="38"/>
  <c r="R17" i="38"/>
  <c r="H11" i="38"/>
  <c r="H17" i="38"/>
  <c r="N44" i="50"/>
  <c r="X237" i="40"/>
  <c r="X242" i="40"/>
  <c r="Y236" i="40"/>
  <c r="X247" i="40"/>
  <c r="W34" i="40"/>
  <c r="W40" i="40"/>
  <c r="V10" i="53"/>
  <c r="U13" i="53"/>
  <c r="U17" i="38"/>
  <c r="U11" i="38"/>
  <c r="F102" i="28"/>
  <c r="S11" i="38"/>
  <c r="S17" i="38"/>
  <c r="U35" i="50"/>
  <c r="U34" i="50"/>
  <c r="U42" i="38"/>
  <c r="U43" i="50"/>
  <c r="U45" i="38"/>
  <c r="U33" i="38"/>
  <c r="X32" i="41"/>
  <c r="W35" i="41"/>
  <c r="N104" i="50"/>
  <c r="N104" i="38"/>
  <c r="N105" i="50"/>
  <c r="G46" i="50"/>
  <c r="W189" i="53"/>
  <c r="Y99" i="50"/>
  <c r="Y103" i="38"/>
  <c r="P44" i="50"/>
  <c r="F23" i="53"/>
  <c r="Y168" i="40"/>
  <c r="X169" i="40"/>
  <c r="T44" i="50"/>
  <c r="Y67" i="50"/>
  <c r="R20" i="41"/>
  <c r="AQ30" i="35"/>
  <c r="AI31" i="35"/>
  <c r="T46" i="50"/>
  <c r="X62" i="38"/>
  <c r="X63" i="50"/>
  <c r="X62" i="50"/>
  <c r="P21" i="53"/>
  <c r="L11" i="53"/>
  <c r="W9" i="41"/>
  <c r="V12" i="41"/>
  <c r="M17" i="38"/>
  <c r="M11" i="38"/>
  <c r="I11" i="38"/>
  <c r="I17" i="38"/>
  <c r="X35" i="40"/>
  <c r="Y32" i="40"/>
  <c r="Z318" i="53"/>
  <c r="Z341" i="53"/>
  <c r="Z360" i="53"/>
  <c r="Z400" i="53"/>
  <c r="Z297" i="53"/>
  <c r="J43" i="38"/>
  <c r="I23" i="53"/>
  <c r="Z2" i="52"/>
  <c r="Z239" i="40"/>
  <c r="Z242" i="52"/>
  <c r="Z171" i="40"/>
  <c r="Z175" i="40"/>
  <c r="Z176" i="52"/>
  <c r="Z79" i="40"/>
  <c r="Z80" i="52"/>
  <c r="Z100" i="40"/>
  <c r="Z101" i="52"/>
  <c r="Z58" i="40"/>
  <c r="Z59" i="52"/>
  <c r="K104" i="50"/>
  <c r="K104" i="38"/>
  <c r="K105" i="50"/>
  <c r="V34" i="41"/>
  <c r="V40" i="41"/>
  <c r="T104" i="38"/>
  <c r="T105" i="50"/>
  <c r="T104" i="50"/>
  <c r="N44" i="47"/>
  <c r="M21" i="53"/>
  <c r="Y57" i="50"/>
  <c r="Y61" i="38"/>
  <c r="W9" i="38"/>
  <c r="V12" i="38"/>
  <c r="F104" i="50"/>
  <c r="F104" i="38"/>
  <c r="F105" i="50"/>
  <c r="V36" i="53"/>
  <c r="W33" i="53"/>
  <c r="U41" i="38"/>
  <c r="U42" i="50"/>
  <c r="U41" i="50"/>
  <c r="W103" i="40"/>
  <c r="W99" i="52"/>
  <c r="W33" i="52"/>
  <c r="V36" i="52"/>
  <c r="Z120" i="53"/>
  <c r="Z130" i="41"/>
  <c r="Z118" i="41"/>
  <c r="O21" i="53"/>
  <c r="H104" i="50"/>
  <c r="H104" i="38"/>
  <c r="H105" i="50"/>
  <c r="N21" i="53"/>
  <c r="W170" i="52"/>
  <c r="W182" i="40"/>
  <c r="W179" i="40"/>
  <c r="V104" i="38"/>
  <c r="V105" i="50"/>
  <c r="V104" i="50"/>
  <c r="X104" i="38"/>
  <c r="X105" i="50"/>
  <c r="X104" i="50"/>
  <c r="H20" i="41"/>
  <c r="Q34" i="50"/>
  <c r="Z56" i="38"/>
  <c r="Z66" i="38"/>
  <c r="U20" i="40"/>
  <c r="S43" i="38"/>
  <c r="Y121" i="52"/>
  <c r="X122" i="52"/>
  <c r="P11" i="38"/>
  <c r="P17" i="38"/>
  <c r="W119" i="40"/>
  <c r="W126" i="40"/>
  <c r="R38" i="35"/>
  <c r="S37" i="35"/>
  <c r="T18" i="53"/>
  <c r="T18" i="41"/>
  <c r="T19" i="53"/>
  <c r="Z186" i="41"/>
  <c r="Z178" i="53"/>
  <c r="W109" i="52"/>
  <c r="V127" i="52"/>
  <c r="V127" i="40"/>
  <c r="V128" i="52"/>
  <c r="V34" i="38"/>
  <c r="V40" i="38"/>
  <c r="W82" i="40"/>
  <c r="W78" i="52"/>
  <c r="X131" i="53"/>
  <c r="M23" i="53"/>
  <c r="Z258" i="53"/>
  <c r="Z237" i="53"/>
  <c r="J44" i="50"/>
  <c r="H46" i="50"/>
  <c r="I43" i="38"/>
  <c r="K46" i="50"/>
  <c r="Y109" i="53"/>
  <c r="Y97" i="40"/>
  <c r="X98" i="40"/>
  <c r="X108" i="40"/>
  <c r="K23" i="53"/>
  <c r="V120" i="52"/>
  <c r="V119" i="52"/>
  <c r="V130" i="40"/>
  <c r="V118" i="40"/>
  <c r="X32" i="38"/>
  <c r="W35" i="38"/>
  <c r="X87" i="40"/>
  <c r="Y76" i="40"/>
  <c r="X77" i="40"/>
  <c r="T44" i="53"/>
  <c r="Z78" i="50"/>
  <c r="Z82" i="38"/>
  <c r="S46" i="50"/>
  <c r="Y320" i="53"/>
  <c r="Y331" i="53"/>
  <c r="Y326" i="53"/>
  <c r="F20" i="41"/>
  <c r="N11" i="53"/>
  <c r="V83" i="52"/>
  <c r="V83" i="40"/>
  <c r="V84" i="52"/>
  <c r="O34" i="50"/>
  <c r="I104" i="38"/>
  <c r="I105" i="50"/>
  <c r="I104" i="50"/>
  <c r="V18" i="52"/>
  <c r="V18" i="40"/>
  <c r="V19" i="52"/>
  <c r="X297" i="50"/>
  <c r="X318" i="50"/>
  <c r="X341" i="50"/>
  <c r="X360" i="50"/>
  <c r="X400" i="50"/>
  <c r="P11" i="53"/>
  <c r="Y9" i="40"/>
  <c r="X12" i="40"/>
  <c r="N11" i="38"/>
  <c r="N17" i="38"/>
  <c r="G11" i="38"/>
  <c r="G17" i="38"/>
  <c r="Y121" i="50"/>
  <c r="X122" i="50"/>
  <c r="H34" i="50"/>
  <c r="O104" i="38"/>
  <c r="O105" i="50"/>
  <c r="O104" i="50"/>
  <c r="Y173" i="40"/>
  <c r="Y176" i="40"/>
  <c r="Y172" i="52"/>
  <c r="Y174" i="52"/>
  <c r="J102" i="28"/>
  <c r="I102" i="28"/>
  <c r="K47" i="28"/>
  <c r="O23" i="53"/>
  <c r="X178" i="50"/>
  <c r="X180" i="38"/>
  <c r="X186" i="38"/>
  <c r="Y235" i="50"/>
  <c r="Y287" i="50"/>
  <c r="Y285" i="50"/>
  <c r="Y213" i="50"/>
  <c r="Y167" i="50"/>
  <c r="Z127" i="53"/>
  <c r="Z127" i="41"/>
  <c r="Z128" i="53"/>
  <c r="Y177" i="38"/>
  <c r="Y177" i="50"/>
  <c r="V187" i="52"/>
  <c r="P104" i="38"/>
  <c r="P105" i="50"/>
  <c r="P104" i="50"/>
  <c r="M46" i="50"/>
  <c r="AH27" i="54"/>
  <c r="Q23" i="53"/>
  <c r="W178" i="52"/>
  <c r="W186" i="40"/>
  <c r="W180" i="40"/>
  <c r="S44" i="50"/>
  <c r="X258" i="50"/>
  <c r="X237" i="50"/>
  <c r="Q17" i="38"/>
  <c r="Q11" i="38"/>
  <c r="F17" i="38"/>
  <c r="F11" i="38"/>
  <c r="Y120" i="40"/>
  <c r="X121" i="40"/>
  <c r="Z172" i="50"/>
  <c r="Z174" i="50"/>
  <c r="Z173" i="38"/>
  <c r="Z176" i="38"/>
  <c r="T19" i="41"/>
  <c r="T20" i="53"/>
  <c r="T10" i="41"/>
  <c r="T12" i="53"/>
  <c r="T11" i="53"/>
  <c r="T22" i="41"/>
  <c r="V41" i="52"/>
  <c r="V41" i="40"/>
  <c r="V42" i="52"/>
  <c r="U33" i="41"/>
  <c r="U42" i="41"/>
  <c r="U43" i="53"/>
  <c r="U35" i="53"/>
  <c r="U34" i="53"/>
  <c r="U45" i="41"/>
  <c r="I44" i="50"/>
  <c r="H102" i="28"/>
  <c r="P46" i="50"/>
  <c r="T11" i="38"/>
  <c r="T17" i="38"/>
  <c r="K34" i="50"/>
  <c r="Y103" i="41"/>
  <c r="Y99" i="53"/>
  <c r="Y187" i="53"/>
  <c r="K20" i="41"/>
  <c r="Y170" i="53"/>
  <c r="Y182" i="41"/>
  <c r="Y179" i="41"/>
  <c r="V187" i="40"/>
  <c r="V180" i="52"/>
  <c r="V188" i="52"/>
  <c r="W88" i="52"/>
  <c r="Z88" i="50"/>
  <c r="V180" i="40"/>
  <c r="Z250" i="53"/>
  <c r="AE28" i="54"/>
  <c r="AD30" i="54"/>
  <c r="Y83" i="38"/>
  <c r="Y84" i="50"/>
  <c r="Y83" i="50"/>
  <c r="Z19" i="47"/>
  <c r="Z20" i="47"/>
  <c r="Z9" i="47"/>
  <c r="T31" i="35"/>
  <c r="AB30" i="35"/>
  <c r="L43" i="38"/>
  <c r="V131" i="50"/>
  <c r="V12" i="52"/>
  <c r="V11" i="52"/>
  <c r="V10" i="40"/>
  <c r="V19" i="40"/>
  <c r="V20" i="52"/>
  <c r="V22" i="40"/>
  <c r="L46" i="50"/>
  <c r="X180" i="41"/>
  <c r="U23" i="52"/>
  <c r="F46" i="50"/>
  <c r="W17" i="40"/>
  <c r="W11" i="40"/>
  <c r="K17" i="38"/>
  <c r="K11" i="38"/>
  <c r="G13" i="50"/>
  <c r="H13" i="50"/>
  <c r="F13" i="50"/>
  <c r="K13" i="50"/>
  <c r="I13" i="50"/>
  <c r="J13" i="50"/>
  <c r="L13" i="50"/>
  <c r="P13" i="50"/>
  <c r="M13" i="50"/>
  <c r="R13" i="50"/>
  <c r="N13" i="50"/>
  <c r="Q13" i="50"/>
  <c r="S13" i="50"/>
  <c r="O13" i="50"/>
  <c r="L104" i="50"/>
  <c r="L104" i="38"/>
  <c r="L105" i="50"/>
  <c r="P67" i="54"/>
  <c r="P70" i="54"/>
  <c r="O72" i="54"/>
  <c r="O75" i="54"/>
  <c r="V208" i="53"/>
  <c r="V184" i="53"/>
  <c r="Z242" i="50"/>
  <c r="Z242" i="38"/>
  <c r="M44" i="50"/>
  <c r="V104" i="52"/>
  <c r="V104" i="40"/>
  <c r="V105" i="52"/>
  <c r="U41" i="41"/>
  <c r="U42" i="53"/>
  <c r="U41" i="53"/>
  <c r="Z108" i="41"/>
  <c r="Z98" i="41"/>
  <c r="Y243" i="38"/>
  <c r="Y246" i="50"/>
  <c r="Y245" i="50"/>
  <c r="G104" i="50"/>
  <c r="G104" i="38"/>
  <c r="G105" i="50"/>
  <c r="R104" i="50"/>
  <c r="R104" i="38"/>
  <c r="R105" i="50"/>
  <c r="Z170" i="53"/>
  <c r="Z182" i="41"/>
  <c r="Z179" i="41"/>
  <c r="Z180" i="41"/>
  <c r="W181" i="50"/>
  <c r="W187" i="50"/>
  <c r="W189" i="50"/>
  <c r="V199" i="40"/>
  <c r="V183" i="52"/>
  <c r="V202" i="52"/>
  <c r="X104" i="53"/>
  <c r="X104" i="41"/>
  <c r="X105" i="53"/>
  <c r="AB22" i="54"/>
  <c r="AA24" i="54"/>
  <c r="AA32" i="54"/>
  <c r="AA33" i="54"/>
  <c r="Z245" i="53"/>
  <c r="Z243" i="41"/>
  <c r="Z246" i="53"/>
  <c r="O43" i="38"/>
  <c r="J104" i="38"/>
  <c r="J105" i="50"/>
  <c r="J104" i="50"/>
  <c r="T184" i="52"/>
  <c r="T208" i="52"/>
  <c r="V62" i="52"/>
  <c r="V62" i="40"/>
  <c r="V63" i="52"/>
  <c r="O46" i="50"/>
  <c r="Z165" i="50"/>
  <c r="Z54" i="50"/>
  <c r="Z75" i="50"/>
  <c r="Z96" i="50"/>
  <c r="Z117" i="50"/>
  <c r="Z141" i="50"/>
  <c r="Z31" i="50"/>
  <c r="H44" i="50"/>
  <c r="X187" i="53"/>
  <c r="R11" i="53"/>
  <c r="L11" i="38"/>
  <c r="L17" i="38"/>
  <c r="N43" i="38"/>
  <c r="W250" i="52"/>
  <c r="I46" i="50"/>
  <c r="W127" i="38"/>
  <c r="W128" i="50"/>
  <c r="W127" i="50"/>
  <c r="U43" i="40"/>
  <c r="Z120" i="38"/>
  <c r="Z121" i="38"/>
  <c r="Y121" i="38"/>
  <c r="Z231" i="53"/>
  <c r="X376" i="41"/>
  <c r="X379" i="53"/>
  <c r="X366" i="53"/>
  <c r="Y397" i="53"/>
  <c r="Y366" i="41"/>
  <c r="Y369" i="53"/>
  <c r="Z397" i="53"/>
  <c r="Z366" i="41"/>
  <c r="Z369" i="53"/>
  <c r="W416" i="41"/>
  <c r="W419" i="53"/>
  <c r="W406" i="53"/>
  <c r="X406" i="41"/>
  <c r="X409" i="53"/>
  <c r="X437" i="53"/>
  <c r="Y393" i="53"/>
  <c r="Y363" i="41"/>
  <c r="Y431" i="41"/>
  <c r="Y434" i="53"/>
  <c r="Y394" i="53"/>
  <c r="Z363" i="41"/>
  <c r="Z393" i="53"/>
  <c r="X403" i="41"/>
  <c r="X433" i="53"/>
  <c r="Y414" i="41"/>
  <c r="Y417" i="53"/>
  <c r="Y425" i="41"/>
  <c r="Y428" i="53"/>
  <c r="Y430" i="41"/>
  <c r="Y415" i="41"/>
  <c r="Y418" i="53"/>
  <c r="Y434" i="41"/>
  <c r="Z434" i="41"/>
  <c r="Z425" i="41"/>
  <c r="Z428" i="53"/>
  <c r="Z430" i="41"/>
  <c r="Z415" i="41"/>
  <c r="Z418" i="53"/>
  <c r="Z414" i="41"/>
  <c r="Z417" i="53"/>
  <c r="Z394" i="53"/>
  <c r="Z431" i="41"/>
  <c r="Z434" i="53"/>
  <c r="X181" i="53"/>
  <c r="U208" i="52"/>
  <c r="K78" i="53"/>
  <c r="K82" i="41"/>
  <c r="R82" i="41"/>
  <c r="R78" i="53"/>
  <c r="V83" i="53"/>
  <c r="V83" i="41"/>
  <c r="V84" i="53"/>
  <c r="Z41" i="54"/>
  <c r="Z69" i="54"/>
  <c r="Z38" i="54"/>
  <c r="O82" i="41"/>
  <c r="O78" i="53"/>
  <c r="S82" i="41"/>
  <c r="S78" i="53"/>
  <c r="Z119" i="53"/>
  <c r="Z326" i="52"/>
  <c r="Z331" i="52"/>
  <c r="Z320" i="52"/>
  <c r="G78" i="53"/>
  <c r="G82" i="41"/>
  <c r="M83" i="41"/>
  <c r="M84" i="53"/>
  <c r="M83" i="53"/>
  <c r="R15" i="47"/>
  <c r="R16" i="47"/>
  <c r="R8" i="47"/>
  <c r="G43" i="47"/>
  <c r="I78" i="53"/>
  <c r="I82" i="41"/>
  <c r="U43" i="41"/>
  <c r="K15" i="47"/>
  <c r="K16" i="47"/>
  <c r="K8" i="47"/>
  <c r="F83" i="53"/>
  <c r="F83" i="41"/>
  <c r="F84" i="53"/>
  <c r="Y82" i="41"/>
  <c r="Y78" i="53"/>
  <c r="N78" i="53"/>
  <c r="N82" i="41"/>
  <c r="Y57" i="54"/>
  <c r="Y62" i="54"/>
  <c r="Y63" i="54"/>
  <c r="Y60" i="54"/>
  <c r="P82" i="41"/>
  <c r="P78" i="53"/>
  <c r="Z87" i="41"/>
  <c r="Z88" i="53"/>
  <c r="Z77" i="41"/>
  <c r="T78" i="53"/>
  <c r="T82" i="41"/>
  <c r="H82" i="41"/>
  <c r="H78" i="53"/>
  <c r="X189" i="53"/>
  <c r="U78" i="53"/>
  <c r="U82" i="41"/>
  <c r="L78" i="53"/>
  <c r="L82" i="41"/>
  <c r="V15" i="47"/>
  <c r="V16" i="47"/>
  <c r="V8" i="47"/>
  <c r="K43" i="47"/>
  <c r="Q83" i="53"/>
  <c r="Q83" i="41"/>
  <c r="Q84" i="53"/>
  <c r="AB7" i="47"/>
  <c r="AA21" i="54"/>
  <c r="AC3" i="47"/>
  <c r="AB5" i="47"/>
  <c r="AB6" i="47"/>
  <c r="AB4" i="47"/>
  <c r="X82" i="41"/>
  <c r="X78" i="53"/>
  <c r="W82" i="41"/>
  <c r="W78" i="53"/>
  <c r="J78" i="53"/>
  <c r="J82" i="41"/>
  <c r="H62" i="53"/>
  <c r="H62" i="41"/>
  <c r="H63" i="53"/>
  <c r="N188" i="50"/>
  <c r="N189" i="50"/>
  <c r="N181" i="50"/>
  <c r="H188" i="50"/>
  <c r="H189" i="50"/>
  <c r="H181" i="50"/>
  <c r="U208" i="53"/>
  <c r="U184" i="53"/>
  <c r="J191" i="38"/>
  <c r="J193" i="50"/>
  <c r="J205" i="38"/>
  <c r="J190" i="38"/>
  <c r="J192" i="50"/>
  <c r="J192" i="38"/>
  <c r="J194" i="50"/>
  <c r="J194" i="38"/>
  <c r="J196" i="50"/>
  <c r="J197" i="38"/>
  <c r="J199" i="50"/>
  <c r="J183" i="38"/>
  <c r="J189" i="38"/>
  <c r="J191" i="50"/>
  <c r="J195" i="38"/>
  <c r="J197" i="50"/>
  <c r="J193" i="38"/>
  <c r="J195" i="50"/>
  <c r="G181" i="50"/>
  <c r="G188" i="50"/>
  <c r="G189" i="50"/>
  <c r="N62" i="41"/>
  <c r="N63" i="53"/>
  <c r="N62" i="53"/>
  <c r="P183" i="38"/>
  <c r="P197" i="38"/>
  <c r="P199" i="50"/>
  <c r="P189" i="38"/>
  <c r="P191" i="50"/>
  <c r="P191" i="38"/>
  <c r="P193" i="50"/>
  <c r="P190" i="38"/>
  <c r="P192" i="50"/>
  <c r="P192" i="38"/>
  <c r="P194" i="50"/>
  <c r="P193" i="38"/>
  <c r="P195" i="50"/>
  <c r="P194" i="38"/>
  <c r="P196" i="50"/>
  <c r="P205" i="38"/>
  <c r="P195" i="38"/>
  <c r="P197" i="50"/>
  <c r="U62" i="53"/>
  <c r="U62" i="41"/>
  <c r="U63" i="53"/>
  <c r="R62" i="41"/>
  <c r="R63" i="53"/>
  <c r="R62" i="53"/>
  <c r="H184" i="53"/>
  <c r="H208" i="53"/>
  <c r="Y61" i="41"/>
  <c r="Y57" i="53"/>
  <c r="Z327" i="53"/>
  <c r="N183" i="38"/>
  <c r="N194" i="38"/>
  <c r="N196" i="50"/>
  <c r="N189" i="38"/>
  <c r="N191" i="50"/>
  <c r="N190" i="38"/>
  <c r="N192" i="50"/>
  <c r="N191" i="38"/>
  <c r="N193" i="50"/>
  <c r="N197" i="38"/>
  <c r="N199" i="50"/>
  <c r="N193" i="38"/>
  <c r="N195" i="50"/>
  <c r="N195" i="38"/>
  <c r="N197" i="50"/>
  <c r="N192" i="38"/>
  <c r="N194" i="50"/>
  <c r="N205" i="38"/>
  <c r="I205" i="38"/>
  <c r="I195" i="38"/>
  <c r="I197" i="50"/>
  <c r="I194" i="38"/>
  <c r="I196" i="50"/>
  <c r="I192" i="38"/>
  <c r="I194" i="50"/>
  <c r="I183" i="38"/>
  <c r="I190" i="38"/>
  <c r="I192" i="50"/>
  <c r="I189" i="38"/>
  <c r="I191" i="50"/>
  <c r="I197" i="38"/>
  <c r="I199" i="50"/>
  <c r="I193" i="38"/>
  <c r="I195" i="50"/>
  <c r="I191" i="38"/>
  <c r="I193" i="50"/>
  <c r="V195" i="38"/>
  <c r="V197" i="50"/>
  <c r="V183" i="38"/>
  <c r="V192" i="38"/>
  <c r="V194" i="50"/>
  <c r="V190" i="38"/>
  <c r="V192" i="50"/>
  <c r="V189" i="38"/>
  <c r="V191" i="50"/>
  <c r="V194" i="38"/>
  <c r="V196" i="50"/>
  <c r="V205" i="38"/>
  <c r="V193" i="38"/>
  <c r="V195" i="50"/>
  <c r="V191" i="38"/>
  <c r="V193" i="50"/>
  <c r="V197" i="38"/>
  <c r="V199" i="50"/>
  <c r="M208" i="53"/>
  <c r="M184" i="53"/>
  <c r="Y326" i="40"/>
  <c r="Z228" i="40"/>
  <c r="T191" i="38"/>
  <c r="T193" i="50"/>
  <c r="T190" i="38"/>
  <c r="T192" i="50"/>
  <c r="T183" i="38"/>
  <c r="T193" i="38"/>
  <c r="T195" i="50"/>
  <c r="T195" i="38"/>
  <c r="T197" i="50"/>
  <c r="T189" i="38"/>
  <c r="T191" i="50"/>
  <c r="T194" i="38"/>
  <c r="T196" i="50"/>
  <c r="T192" i="38"/>
  <c r="T194" i="50"/>
  <c r="T205" i="38"/>
  <c r="T197" i="38"/>
  <c r="T199" i="50"/>
  <c r="M62" i="53"/>
  <c r="M62" i="41"/>
  <c r="M63" i="53"/>
  <c r="G184" i="53"/>
  <c r="G208" i="53"/>
  <c r="Z66" i="41"/>
  <c r="Z67" i="53"/>
  <c r="Z56" i="41"/>
  <c r="Y416" i="38"/>
  <c r="Y419" i="50"/>
  <c r="Y406" i="50"/>
  <c r="Z274" i="53"/>
  <c r="Z276" i="53"/>
  <c r="Z325" i="41"/>
  <c r="Z328" i="53"/>
  <c r="J188" i="50"/>
  <c r="J189" i="50"/>
  <c r="J181" i="50"/>
  <c r="G62" i="41"/>
  <c r="G63" i="53"/>
  <c r="G62" i="53"/>
  <c r="P208" i="53"/>
  <c r="P184" i="53"/>
  <c r="Y329" i="52"/>
  <c r="P188" i="50"/>
  <c r="P189" i="50"/>
  <c r="P181" i="50"/>
  <c r="Z199" i="38"/>
  <c r="Z183" i="50"/>
  <c r="Z202" i="50"/>
  <c r="Y433" i="41"/>
  <c r="Y436" i="53"/>
  <c r="I208" i="53"/>
  <c r="I184" i="53"/>
  <c r="K184" i="53"/>
  <c r="K208" i="53"/>
  <c r="Q62" i="53"/>
  <c r="Q62" i="41"/>
  <c r="Q63" i="53"/>
  <c r="Q184" i="53"/>
  <c r="Q208" i="53"/>
  <c r="I181" i="50"/>
  <c r="I188" i="50"/>
  <c r="I189" i="50"/>
  <c r="V188" i="50"/>
  <c r="V189" i="50"/>
  <c r="V181" i="50"/>
  <c r="Z231" i="52"/>
  <c r="T188" i="50"/>
  <c r="T189" i="50"/>
  <c r="T181" i="50"/>
  <c r="Z187" i="38"/>
  <c r="Z180" i="50"/>
  <c r="Z188" i="50"/>
  <c r="P62" i="41"/>
  <c r="P63" i="53"/>
  <c r="P62" i="53"/>
  <c r="Z159" i="40"/>
  <c r="K62" i="41"/>
  <c r="K63" i="53"/>
  <c r="K62" i="53"/>
  <c r="L188" i="50"/>
  <c r="L189" i="50"/>
  <c r="L181" i="50"/>
  <c r="R189" i="38"/>
  <c r="R191" i="50"/>
  <c r="R195" i="38"/>
  <c r="R197" i="50"/>
  <c r="R197" i="38"/>
  <c r="R199" i="50"/>
  <c r="R190" i="38"/>
  <c r="R192" i="50"/>
  <c r="R205" i="38"/>
  <c r="R191" i="38"/>
  <c r="R193" i="50"/>
  <c r="R193" i="38"/>
  <c r="R195" i="50"/>
  <c r="R183" i="38"/>
  <c r="R194" i="38"/>
  <c r="R196" i="50"/>
  <c r="R192" i="38"/>
  <c r="R194" i="50"/>
  <c r="T62" i="41"/>
  <c r="T63" i="53"/>
  <c r="T62" i="53"/>
  <c r="Z406" i="50"/>
  <c r="Z416" i="38"/>
  <c r="Z419" i="50"/>
  <c r="J62" i="41"/>
  <c r="J63" i="53"/>
  <c r="J62" i="53"/>
  <c r="F208" i="53"/>
  <c r="F184" i="53"/>
  <c r="O208" i="53"/>
  <c r="O184" i="53"/>
  <c r="J184" i="53"/>
  <c r="J208" i="53"/>
  <c r="L62" i="53"/>
  <c r="L62" i="41"/>
  <c r="L63" i="53"/>
  <c r="Y199" i="38"/>
  <c r="Y183" i="50"/>
  <c r="Y202" i="50"/>
  <c r="Q183" i="38"/>
  <c r="Q205" i="38"/>
  <c r="Q195" i="38"/>
  <c r="Q197" i="50"/>
  <c r="Q194" i="38"/>
  <c r="Q196" i="50"/>
  <c r="Q191" i="38"/>
  <c r="Q193" i="50"/>
  <c r="Q192" i="38"/>
  <c r="Q194" i="50"/>
  <c r="Q189" i="38"/>
  <c r="Q191" i="50"/>
  <c r="Q190" i="38"/>
  <c r="Q192" i="50"/>
  <c r="Q193" i="38"/>
  <c r="Q195" i="50"/>
  <c r="Q197" i="38"/>
  <c r="Q199" i="50"/>
  <c r="L194" i="38"/>
  <c r="L196" i="50"/>
  <c r="L205" i="38"/>
  <c r="L190" i="38"/>
  <c r="L192" i="50"/>
  <c r="L191" i="38"/>
  <c r="L193" i="50"/>
  <c r="L189" i="38"/>
  <c r="L191" i="50"/>
  <c r="L195" i="38"/>
  <c r="L197" i="50"/>
  <c r="L197" i="38"/>
  <c r="L199" i="50"/>
  <c r="L192" i="38"/>
  <c r="L194" i="50"/>
  <c r="L183" i="38"/>
  <c r="L193" i="38"/>
  <c r="L195" i="50"/>
  <c r="Y329" i="53"/>
  <c r="Y416" i="40"/>
  <c r="Y419" i="52"/>
  <c r="Y406" i="52"/>
  <c r="R188" i="50"/>
  <c r="R189" i="50"/>
  <c r="R181" i="50"/>
  <c r="U44" i="53"/>
  <c r="V43" i="40"/>
  <c r="F194" i="38"/>
  <c r="F196" i="50"/>
  <c r="F191" i="38"/>
  <c r="F193" i="50"/>
  <c r="F193" i="38"/>
  <c r="F195" i="50"/>
  <c r="F183" i="38"/>
  <c r="F197" i="38"/>
  <c r="F199" i="50"/>
  <c r="F205" i="38"/>
  <c r="F192" i="38"/>
  <c r="F194" i="50"/>
  <c r="F190" i="38"/>
  <c r="F192" i="50"/>
  <c r="F189" i="38"/>
  <c r="F191" i="50"/>
  <c r="F195" i="38"/>
  <c r="F197" i="50"/>
  <c r="V62" i="41"/>
  <c r="V63" i="53"/>
  <c r="V62" i="53"/>
  <c r="Z327" i="52"/>
  <c r="T208" i="53"/>
  <c r="T184" i="53"/>
  <c r="O183" i="38"/>
  <c r="O205" i="38"/>
  <c r="O195" i="38"/>
  <c r="O197" i="50"/>
  <c r="O197" i="38"/>
  <c r="O199" i="50"/>
  <c r="O193" i="38"/>
  <c r="O195" i="50"/>
  <c r="O189" i="38"/>
  <c r="O191" i="50"/>
  <c r="O190" i="38"/>
  <c r="O192" i="50"/>
  <c r="O194" i="38"/>
  <c r="O196" i="50"/>
  <c r="O191" i="38"/>
  <c r="O193" i="50"/>
  <c r="O192" i="38"/>
  <c r="O194" i="50"/>
  <c r="Z159" i="41"/>
  <c r="Z433" i="41"/>
  <c r="Z436" i="53"/>
  <c r="Y187" i="38"/>
  <c r="Y180" i="50"/>
  <c r="Y188" i="50"/>
  <c r="Z160" i="52"/>
  <c r="U191" i="38"/>
  <c r="U193" i="50"/>
  <c r="U189" i="38"/>
  <c r="U191" i="50"/>
  <c r="U190" i="38"/>
  <c r="U192" i="50"/>
  <c r="U183" i="38"/>
  <c r="U192" i="38"/>
  <c r="U194" i="50"/>
  <c r="U197" i="38"/>
  <c r="U199" i="50"/>
  <c r="U195" i="38"/>
  <c r="U197" i="50"/>
  <c r="U194" i="38"/>
  <c r="U196" i="50"/>
  <c r="U193" i="38"/>
  <c r="U195" i="50"/>
  <c r="U205" i="38"/>
  <c r="V44" i="52"/>
  <c r="V20" i="40"/>
  <c r="N208" i="53"/>
  <c r="N184" i="53"/>
  <c r="H189" i="38"/>
  <c r="H191" i="50"/>
  <c r="H192" i="38"/>
  <c r="H194" i="50"/>
  <c r="H193" i="38"/>
  <c r="H195" i="50"/>
  <c r="H190" i="38"/>
  <c r="H192" i="50"/>
  <c r="H183" i="38"/>
  <c r="H205" i="38"/>
  <c r="H191" i="38"/>
  <c r="H193" i="50"/>
  <c r="H197" i="38"/>
  <c r="H199" i="50"/>
  <c r="H195" i="38"/>
  <c r="H197" i="50"/>
  <c r="H194" i="38"/>
  <c r="H196" i="50"/>
  <c r="S184" i="53"/>
  <c r="S208" i="53"/>
  <c r="S189" i="38"/>
  <c r="S191" i="50"/>
  <c r="S190" i="38"/>
  <c r="S192" i="50"/>
  <c r="S194" i="38"/>
  <c r="S196" i="50"/>
  <c r="S193" i="38"/>
  <c r="S195" i="50"/>
  <c r="S195" i="38"/>
  <c r="S197" i="50"/>
  <c r="S192" i="38"/>
  <c r="S194" i="50"/>
  <c r="S183" i="38"/>
  <c r="S197" i="38"/>
  <c r="S199" i="50"/>
  <c r="S205" i="38"/>
  <c r="S191" i="38"/>
  <c r="S193" i="50"/>
  <c r="G195" i="38"/>
  <c r="G197" i="50"/>
  <c r="G193" i="38"/>
  <c r="G195" i="50"/>
  <c r="G197" i="38"/>
  <c r="G199" i="50"/>
  <c r="G205" i="38"/>
  <c r="G190" i="38"/>
  <c r="G192" i="50"/>
  <c r="G189" i="38"/>
  <c r="G191" i="50"/>
  <c r="G192" i="38"/>
  <c r="G194" i="50"/>
  <c r="G191" i="38"/>
  <c r="G193" i="50"/>
  <c r="G183" i="38"/>
  <c r="G194" i="38"/>
  <c r="G196" i="50"/>
  <c r="F62" i="41"/>
  <c r="F63" i="53"/>
  <c r="F62" i="53"/>
  <c r="L184" i="53"/>
  <c r="L208" i="53"/>
  <c r="Q188" i="50"/>
  <c r="Q189" i="50"/>
  <c r="Q181" i="50"/>
  <c r="M191" i="38"/>
  <c r="M193" i="50"/>
  <c r="M195" i="38"/>
  <c r="M197" i="50"/>
  <c r="M205" i="38"/>
  <c r="M190" i="38"/>
  <c r="M192" i="50"/>
  <c r="M193" i="38"/>
  <c r="M195" i="50"/>
  <c r="M194" i="38"/>
  <c r="M196" i="50"/>
  <c r="M192" i="38"/>
  <c r="M194" i="50"/>
  <c r="M189" i="38"/>
  <c r="M191" i="50"/>
  <c r="M197" i="38"/>
  <c r="M199" i="50"/>
  <c r="M183" i="38"/>
  <c r="Z416" i="40"/>
  <c r="Z419" i="52"/>
  <c r="Z406" i="52"/>
  <c r="K188" i="50"/>
  <c r="K189" i="50"/>
  <c r="K181" i="50"/>
  <c r="I62" i="41"/>
  <c r="I63" i="53"/>
  <c r="I62" i="53"/>
  <c r="F181" i="50"/>
  <c r="F188" i="50"/>
  <c r="F189" i="50"/>
  <c r="C33" i="35"/>
  <c r="B34" i="35"/>
  <c r="R208" i="53"/>
  <c r="R184" i="53"/>
  <c r="O62" i="41"/>
  <c r="O63" i="53"/>
  <c r="O62" i="53"/>
  <c r="Z325" i="40"/>
  <c r="Z328" i="52"/>
  <c r="Z274" i="52"/>
  <c r="Z276" i="52"/>
  <c r="S188" i="50"/>
  <c r="S189" i="50"/>
  <c r="S181" i="50"/>
  <c r="O188" i="50"/>
  <c r="O189" i="50"/>
  <c r="O181" i="50"/>
  <c r="Z160" i="53"/>
  <c r="M188" i="50"/>
  <c r="M189" i="50"/>
  <c r="M181" i="50"/>
  <c r="K193" i="38"/>
  <c r="K195" i="50"/>
  <c r="K192" i="38"/>
  <c r="K194" i="50"/>
  <c r="K191" i="38"/>
  <c r="K193" i="50"/>
  <c r="K190" i="38"/>
  <c r="K192" i="50"/>
  <c r="K194" i="38"/>
  <c r="K196" i="50"/>
  <c r="K205" i="38"/>
  <c r="K183" i="38"/>
  <c r="K197" i="38"/>
  <c r="K199" i="50"/>
  <c r="K189" i="38"/>
  <c r="K191" i="50"/>
  <c r="K195" i="38"/>
  <c r="K197" i="50"/>
  <c r="U188" i="50"/>
  <c r="U189" i="50"/>
  <c r="U181" i="50"/>
  <c r="X62" i="53"/>
  <c r="X62" i="41"/>
  <c r="X63" i="53"/>
  <c r="Z195" i="41"/>
  <c r="Z197" i="53"/>
  <c r="Z197" i="41"/>
  <c r="Z199" i="53"/>
  <c r="Z194" i="41"/>
  <c r="Z196" i="53"/>
  <c r="Z192" i="41"/>
  <c r="Z194" i="53"/>
  <c r="Z183" i="41"/>
  <c r="Z193" i="41"/>
  <c r="Z195" i="53"/>
  <c r="Z189" i="41"/>
  <c r="Z191" i="53"/>
  <c r="Z190" i="41"/>
  <c r="Z192" i="53"/>
  <c r="Z191" i="41"/>
  <c r="Z193" i="53"/>
  <c r="Z205" i="41"/>
  <c r="Z183" i="53"/>
  <c r="Z202" i="53"/>
  <c r="Z199" i="41"/>
  <c r="V23" i="52"/>
  <c r="AF28" i="54"/>
  <c r="AE30" i="54"/>
  <c r="T19" i="38"/>
  <c r="T20" i="50"/>
  <c r="T22" i="38"/>
  <c r="T12" i="50"/>
  <c r="T10" i="38"/>
  <c r="Q18" i="50"/>
  <c r="Q18" i="38"/>
  <c r="Q19" i="50"/>
  <c r="W187" i="52"/>
  <c r="Y237" i="50"/>
  <c r="Y258" i="50"/>
  <c r="N18" i="38"/>
  <c r="N19" i="50"/>
  <c r="N18" i="50"/>
  <c r="X109" i="52"/>
  <c r="V35" i="50"/>
  <c r="V34" i="50"/>
  <c r="V42" i="38"/>
  <c r="V43" i="50"/>
  <c r="V33" i="38"/>
  <c r="V45" i="38"/>
  <c r="P18" i="50"/>
  <c r="P18" i="38"/>
  <c r="P19" i="50"/>
  <c r="U21" i="52"/>
  <c r="W36" i="52"/>
  <c r="X33" i="52"/>
  <c r="V35" i="53"/>
  <c r="V34" i="53"/>
  <c r="V45" i="41"/>
  <c r="V33" i="41"/>
  <c r="V42" i="41"/>
  <c r="V43" i="53"/>
  <c r="I10" i="38"/>
  <c r="G79" i="28"/>
  <c r="I19" i="38"/>
  <c r="I20" i="50"/>
  <c r="I12" i="50"/>
  <c r="I22" i="38"/>
  <c r="AQ31" i="35"/>
  <c r="AI32" i="35"/>
  <c r="U46" i="50"/>
  <c r="X243" i="40"/>
  <c r="X246" i="52"/>
  <c r="X245" i="52"/>
  <c r="S21" i="53"/>
  <c r="Z10" i="52"/>
  <c r="Z13" i="52"/>
  <c r="Y13" i="52"/>
  <c r="X178" i="52"/>
  <c r="X186" i="40"/>
  <c r="X67" i="52"/>
  <c r="O19" i="38"/>
  <c r="O20" i="50"/>
  <c r="O22" i="38"/>
  <c r="O12" i="50"/>
  <c r="O10" i="38"/>
  <c r="AC22" i="54"/>
  <c r="AB24" i="54"/>
  <c r="AB32" i="54"/>
  <c r="AB33" i="54"/>
  <c r="T18" i="38"/>
  <c r="T19" i="50"/>
  <c r="T18" i="50"/>
  <c r="Y318" i="50"/>
  <c r="Y341" i="50"/>
  <c r="Y360" i="50"/>
  <c r="Y400" i="50"/>
  <c r="Y297" i="50"/>
  <c r="X35" i="38"/>
  <c r="Y32" i="38"/>
  <c r="R10" i="38"/>
  <c r="R12" i="50"/>
  <c r="R19" i="38"/>
  <c r="R20" i="50"/>
  <c r="R22" i="38"/>
  <c r="X120" i="50"/>
  <c r="X119" i="50"/>
  <c r="X130" i="38"/>
  <c r="X118" i="38"/>
  <c r="Z103" i="41"/>
  <c r="Z99" i="53"/>
  <c r="Q67" i="54"/>
  <c r="Q70" i="54"/>
  <c r="P72" i="54"/>
  <c r="P75" i="54"/>
  <c r="U46" i="53"/>
  <c r="X119" i="40"/>
  <c r="X126" i="40"/>
  <c r="N19" i="38"/>
  <c r="N20" i="50"/>
  <c r="N12" i="50"/>
  <c r="N22" i="38"/>
  <c r="N10" i="38"/>
  <c r="L79" i="28"/>
  <c r="X103" i="40"/>
  <c r="X99" i="52"/>
  <c r="P19" i="38"/>
  <c r="P20" i="50"/>
  <c r="P22" i="38"/>
  <c r="P12" i="50"/>
  <c r="P11" i="50"/>
  <c r="P10" i="38"/>
  <c r="N79" i="28"/>
  <c r="Z67" i="50"/>
  <c r="V11" i="38"/>
  <c r="V17" i="38"/>
  <c r="X182" i="40"/>
  <c r="X179" i="40"/>
  <c r="X180" i="40"/>
  <c r="X170" i="52"/>
  <c r="U18" i="41"/>
  <c r="U19" i="53"/>
  <c r="U18" i="53"/>
  <c r="X61" i="40"/>
  <c r="X57" i="52"/>
  <c r="X33" i="50"/>
  <c r="W36" i="50"/>
  <c r="G21" i="53"/>
  <c r="W18" i="40"/>
  <c r="W19" i="52"/>
  <c r="W18" i="52"/>
  <c r="K21" i="53"/>
  <c r="Q12" i="50"/>
  <c r="Q10" i="38"/>
  <c r="Q19" i="38"/>
  <c r="Q20" i="50"/>
  <c r="Q22" i="38"/>
  <c r="I18" i="38"/>
  <c r="I19" i="50"/>
  <c r="I18" i="50"/>
  <c r="W128" i="38"/>
  <c r="Z109" i="53"/>
  <c r="AB31" i="35"/>
  <c r="T32" i="35"/>
  <c r="Z120" i="40"/>
  <c r="Z121" i="40"/>
  <c r="Y121" i="40"/>
  <c r="Z128" i="41"/>
  <c r="X194" i="38"/>
  <c r="X196" i="50"/>
  <c r="X189" i="38"/>
  <c r="X191" i="50"/>
  <c r="X190" i="38"/>
  <c r="X192" i="50"/>
  <c r="X183" i="38"/>
  <c r="X197" i="38"/>
  <c r="X199" i="50"/>
  <c r="X195" i="38"/>
  <c r="X197" i="50"/>
  <c r="X205" i="38"/>
  <c r="X191" i="38"/>
  <c r="X193" i="50"/>
  <c r="X193" i="38"/>
  <c r="X195" i="50"/>
  <c r="X192" i="38"/>
  <c r="X194" i="50"/>
  <c r="X11" i="40"/>
  <c r="X17" i="40"/>
  <c r="V131" i="52"/>
  <c r="Y98" i="40"/>
  <c r="Y108" i="40"/>
  <c r="Z97" i="40"/>
  <c r="Z187" i="53"/>
  <c r="Z61" i="38"/>
  <c r="Z57" i="50"/>
  <c r="W104" i="52"/>
  <c r="W104" i="40"/>
  <c r="W105" i="52"/>
  <c r="X9" i="38"/>
  <c r="W12" i="38"/>
  <c r="Z326" i="53"/>
  <c r="Z320" i="53"/>
  <c r="Z331" i="53"/>
  <c r="M10" i="38"/>
  <c r="K79" i="28"/>
  <c r="M19" i="38"/>
  <c r="M20" i="50"/>
  <c r="M12" i="50"/>
  <c r="M22" i="38"/>
  <c r="Z168" i="40"/>
  <c r="Z169" i="40"/>
  <c r="Y169" i="40"/>
  <c r="Y104" i="38"/>
  <c r="Y105" i="50"/>
  <c r="Y104" i="50"/>
  <c r="U12" i="53"/>
  <c r="U11" i="53"/>
  <c r="U10" i="41"/>
  <c r="U19" i="41"/>
  <c r="U20" i="53"/>
  <c r="U22" i="41"/>
  <c r="W10" i="50"/>
  <c r="V13" i="50"/>
  <c r="Y128" i="41"/>
  <c r="Y56" i="40"/>
  <c r="Z55" i="40"/>
  <c r="Y66" i="40"/>
  <c r="Q21" i="53"/>
  <c r="Z83" i="50"/>
  <c r="Z83" i="38"/>
  <c r="Z84" i="50"/>
  <c r="AA19" i="47"/>
  <c r="AA20" i="47"/>
  <c r="AA9" i="47"/>
  <c r="V41" i="38"/>
  <c r="V42" i="50"/>
  <c r="V41" i="50"/>
  <c r="Y247" i="40"/>
  <c r="Z236" i="40"/>
  <c r="Y237" i="40"/>
  <c r="Y242" i="40"/>
  <c r="O44" i="47"/>
  <c r="T23" i="53"/>
  <c r="X187" i="50"/>
  <c r="X189" i="50"/>
  <c r="X181" i="50"/>
  <c r="Y177" i="52"/>
  <c r="Y177" i="40"/>
  <c r="Y122" i="50"/>
  <c r="Z121" i="50"/>
  <c r="Z122" i="50"/>
  <c r="Y12" i="40"/>
  <c r="Z9" i="40"/>
  <c r="Z12" i="40"/>
  <c r="X82" i="40"/>
  <c r="X78" i="52"/>
  <c r="V128" i="40"/>
  <c r="Z121" i="52"/>
  <c r="Z122" i="52"/>
  <c r="Y122" i="52"/>
  <c r="U43" i="38"/>
  <c r="M18" i="50"/>
  <c r="M18" i="38"/>
  <c r="M19" i="50"/>
  <c r="R21" i="53"/>
  <c r="H18" i="38"/>
  <c r="H19" i="50"/>
  <c r="H18" i="50"/>
  <c r="Z109" i="50"/>
  <c r="X184" i="53"/>
  <c r="X208" i="53"/>
  <c r="Z243" i="38"/>
  <c r="Z246" i="50"/>
  <c r="Z245" i="50"/>
  <c r="K22" i="38"/>
  <c r="K10" i="38"/>
  <c r="I79" i="28"/>
  <c r="K12" i="50"/>
  <c r="K19" i="38"/>
  <c r="K20" i="50"/>
  <c r="V205" i="40"/>
  <c r="V192" i="40"/>
  <c r="V194" i="52"/>
  <c r="V195" i="40"/>
  <c r="V197" i="52"/>
  <c r="V189" i="40"/>
  <c r="V191" i="52"/>
  <c r="V191" i="40"/>
  <c r="V193" i="52"/>
  <c r="V197" i="40"/>
  <c r="V199" i="52"/>
  <c r="V183" i="40"/>
  <c r="V194" i="40"/>
  <c r="V196" i="52"/>
  <c r="V193" i="40"/>
  <c r="V195" i="52"/>
  <c r="V190" i="40"/>
  <c r="V192" i="52"/>
  <c r="Y187" i="41"/>
  <c r="Y180" i="53"/>
  <c r="Y180" i="41"/>
  <c r="Y104" i="53"/>
  <c r="Y104" i="41"/>
  <c r="Y105" i="53"/>
  <c r="F12" i="50"/>
  <c r="F11" i="50"/>
  <c r="F10" i="38"/>
  <c r="F19" i="38"/>
  <c r="F20" i="50"/>
  <c r="F22" i="38"/>
  <c r="AI27" i="54"/>
  <c r="V181" i="52"/>
  <c r="Z76" i="40"/>
  <c r="Y77" i="40"/>
  <c r="Y87" i="40"/>
  <c r="R39" i="35"/>
  <c r="S38" i="35"/>
  <c r="H21" i="53"/>
  <c r="Z131" i="53"/>
  <c r="U44" i="50"/>
  <c r="Y62" i="38"/>
  <c r="Y63" i="50"/>
  <c r="Y62" i="50"/>
  <c r="Z172" i="52"/>
  <c r="Z174" i="52"/>
  <c r="Z173" i="40"/>
  <c r="Z176" i="40"/>
  <c r="Z32" i="40"/>
  <c r="Z35" i="40"/>
  <c r="Y35" i="40"/>
  <c r="V17" i="41"/>
  <c r="V11" i="41"/>
  <c r="S18" i="50"/>
  <c r="S18" i="38"/>
  <c r="S19" i="50"/>
  <c r="U10" i="38"/>
  <c r="U19" i="38"/>
  <c r="U20" i="50"/>
  <c r="U22" i="38"/>
  <c r="U12" i="50"/>
  <c r="W41" i="52"/>
  <c r="W41" i="40"/>
  <c r="W42" i="52"/>
  <c r="H12" i="50"/>
  <c r="H22" i="38"/>
  <c r="H10" i="38"/>
  <c r="F79" i="28"/>
  <c r="H19" i="38"/>
  <c r="H20" i="50"/>
  <c r="W131" i="50"/>
  <c r="X129" i="53"/>
  <c r="Y131" i="53"/>
  <c r="Z99" i="50"/>
  <c r="Z103" i="38"/>
  <c r="W62" i="40"/>
  <c r="W63" i="52"/>
  <c r="W62" i="52"/>
  <c r="V46" i="52"/>
  <c r="Z187" i="41"/>
  <c r="Z180" i="53"/>
  <c r="Z188" i="53"/>
  <c r="Z177" i="50"/>
  <c r="Z177" i="38"/>
  <c r="Y180" i="38"/>
  <c r="Y186" i="38"/>
  <c r="Y178" i="50"/>
  <c r="V41" i="53"/>
  <c r="V41" i="41"/>
  <c r="V42" i="53"/>
  <c r="Z287" i="50"/>
  <c r="Z285" i="50"/>
  <c r="Z235" i="50"/>
  <c r="Z167" i="50"/>
  <c r="Z213" i="50"/>
  <c r="Y126" i="38"/>
  <c r="Y119" i="38"/>
  <c r="K18" i="50"/>
  <c r="K18" i="38"/>
  <c r="K19" i="50"/>
  <c r="X193" i="41"/>
  <c r="X195" i="53"/>
  <c r="X189" i="41"/>
  <c r="X191" i="53"/>
  <c r="X197" i="41"/>
  <c r="X199" i="53"/>
  <c r="X194" i="41"/>
  <c r="X196" i="53"/>
  <c r="X205" i="41"/>
  <c r="X191" i="41"/>
  <c r="X193" i="53"/>
  <c r="X192" i="41"/>
  <c r="X194" i="53"/>
  <c r="X190" i="41"/>
  <c r="X192" i="53"/>
  <c r="X183" i="41"/>
  <c r="X195" i="41"/>
  <c r="X197" i="53"/>
  <c r="Y199" i="41"/>
  <c r="Y183" i="53"/>
  <c r="Y202" i="53"/>
  <c r="F18" i="38"/>
  <c r="F19" i="50"/>
  <c r="F18" i="50"/>
  <c r="V189" i="52"/>
  <c r="G18" i="50"/>
  <c r="G18" i="38"/>
  <c r="G19" i="50"/>
  <c r="X88" i="52"/>
  <c r="W127" i="52"/>
  <c r="W127" i="40"/>
  <c r="W128" i="52"/>
  <c r="W187" i="40"/>
  <c r="W180" i="52"/>
  <c r="W188" i="52"/>
  <c r="X34" i="40"/>
  <c r="X40" i="40"/>
  <c r="X9" i="41"/>
  <c r="W12" i="41"/>
  <c r="W40" i="41"/>
  <c r="W34" i="41"/>
  <c r="S22" i="38"/>
  <c r="S10" i="38"/>
  <c r="S12" i="50"/>
  <c r="S19" i="38"/>
  <c r="S20" i="50"/>
  <c r="U18" i="50"/>
  <c r="U18" i="38"/>
  <c r="U19" i="50"/>
  <c r="W35" i="52"/>
  <c r="W34" i="52"/>
  <c r="W45" i="40"/>
  <c r="W42" i="40"/>
  <c r="W43" i="52"/>
  <c r="W33" i="40"/>
  <c r="J12" i="50"/>
  <c r="J10" i="38"/>
  <c r="H79" i="28"/>
  <c r="J22" i="38"/>
  <c r="J19" i="38"/>
  <c r="J20" i="50"/>
  <c r="L10" i="38"/>
  <c r="J79" i="28"/>
  <c r="L22" i="38"/>
  <c r="L12" i="50"/>
  <c r="L11" i="50"/>
  <c r="L19" i="38"/>
  <c r="L20" i="50"/>
  <c r="V21" i="52"/>
  <c r="W10" i="53"/>
  <c r="V13" i="53"/>
  <c r="O18" i="38"/>
  <c r="O19" i="50"/>
  <c r="O18" i="50"/>
  <c r="Z119" i="38"/>
  <c r="Z126" i="38"/>
  <c r="L18" i="38"/>
  <c r="L19" i="50"/>
  <c r="L18" i="50"/>
  <c r="W208" i="50"/>
  <c r="W184" i="50"/>
  <c r="W12" i="52"/>
  <c r="W11" i="52"/>
  <c r="W10" i="40"/>
  <c r="W19" i="40"/>
  <c r="W20" i="52"/>
  <c r="W22" i="40"/>
  <c r="W193" i="40"/>
  <c r="W195" i="52"/>
  <c r="W192" i="40"/>
  <c r="W194" i="52"/>
  <c r="W183" i="40"/>
  <c r="W205" i="40"/>
  <c r="W195" i="40"/>
  <c r="W197" i="52"/>
  <c r="W194" i="40"/>
  <c r="W196" i="52"/>
  <c r="W197" i="40"/>
  <c r="W199" i="52"/>
  <c r="W190" i="40"/>
  <c r="W192" i="52"/>
  <c r="W189" i="40"/>
  <c r="W191" i="52"/>
  <c r="W191" i="40"/>
  <c r="W193" i="52"/>
  <c r="G10" i="38"/>
  <c r="E79" i="28"/>
  <c r="G12" i="50"/>
  <c r="G22" i="38"/>
  <c r="G19" i="38"/>
  <c r="G20" i="50"/>
  <c r="X320" i="50"/>
  <c r="X331" i="50"/>
  <c r="X326" i="50"/>
  <c r="F21" i="53"/>
  <c r="W34" i="38"/>
  <c r="W40" i="38"/>
  <c r="W83" i="52"/>
  <c r="W83" i="40"/>
  <c r="W84" i="52"/>
  <c r="T20" i="41"/>
  <c r="W118" i="40"/>
  <c r="W120" i="52"/>
  <c r="W119" i="52"/>
  <c r="W130" i="40"/>
  <c r="W199" i="40"/>
  <c r="W183" i="52"/>
  <c r="W202" i="52"/>
  <c r="X33" i="53"/>
  <c r="W36" i="53"/>
  <c r="X35" i="41"/>
  <c r="Y32" i="41"/>
  <c r="X250" i="52"/>
  <c r="R18" i="50"/>
  <c r="R18" i="38"/>
  <c r="R19" i="50"/>
  <c r="Z239" i="52"/>
  <c r="Z240" i="52"/>
  <c r="Y240" i="52"/>
  <c r="X127" i="38"/>
  <c r="X128" i="50"/>
  <c r="X127" i="50"/>
  <c r="J18" i="38"/>
  <c r="J19" i="50"/>
  <c r="J18" i="50"/>
  <c r="Y406" i="41"/>
  <c r="Y409" i="53"/>
  <c r="Y437" i="53"/>
  <c r="Z376" i="41"/>
  <c r="Z379" i="53"/>
  <c r="Z366" i="53"/>
  <c r="J11" i="50"/>
  <c r="S11" i="50"/>
  <c r="Y403" i="41"/>
  <c r="Y433" i="53"/>
  <c r="Y376" i="41"/>
  <c r="Y379" i="53"/>
  <c r="Y366" i="53"/>
  <c r="Z433" i="53"/>
  <c r="Z403" i="41"/>
  <c r="X416" i="41"/>
  <c r="X419" i="53"/>
  <c r="X406" i="53"/>
  <c r="Z406" i="41"/>
  <c r="Z409" i="53"/>
  <c r="Z437" i="53"/>
  <c r="AC7" i="47"/>
  <c r="AD3" i="47"/>
  <c r="AC5" i="47"/>
  <c r="AB21" i="54"/>
  <c r="AC6" i="47"/>
  <c r="AC4" i="47"/>
  <c r="Z15" i="47"/>
  <c r="Z16" i="47"/>
  <c r="Z8" i="47"/>
  <c r="O43" i="47"/>
  <c r="U83" i="53"/>
  <c r="U83" i="41"/>
  <c r="U84" i="53"/>
  <c r="AA69" i="54"/>
  <c r="AA38" i="54"/>
  <c r="AA41" i="54"/>
  <c r="Y83" i="53"/>
  <c r="Y83" i="41"/>
  <c r="Y84" i="53"/>
  <c r="O20" i="38"/>
  <c r="O21" i="50"/>
  <c r="W83" i="53"/>
  <c r="W83" i="41"/>
  <c r="W84" i="53"/>
  <c r="P83" i="41"/>
  <c r="P84" i="53"/>
  <c r="U15" i="47"/>
  <c r="U16" i="47"/>
  <c r="U8" i="47"/>
  <c r="J43" i="47"/>
  <c r="P83" i="53"/>
  <c r="X15" i="47"/>
  <c r="X16" i="47"/>
  <c r="X8" i="47"/>
  <c r="M43" i="47"/>
  <c r="S83" i="53"/>
  <c r="S83" i="41"/>
  <c r="S84" i="53"/>
  <c r="W128" i="40"/>
  <c r="U11" i="50"/>
  <c r="G83" i="53"/>
  <c r="G83" i="41"/>
  <c r="G84" i="53"/>
  <c r="L15" i="47"/>
  <c r="L16" i="47"/>
  <c r="L8" i="47"/>
  <c r="L32" i="47"/>
  <c r="R83" i="41"/>
  <c r="R84" i="53"/>
  <c r="R83" i="53"/>
  <c r="W15" i="47"/>
  <c r="W16" i="47"/>
  <c r="W8" i="47"/>
  <c r="L43" i="47"/>
  <c r="R20" i="38"/>
  <c r="U20" i="38"/>
  <c r="U21" i="50"/>
  <c r="X83" i="53"/>
  <c r="X83" i="41"/>
  <c r="X84" i="53"/>
  <c r="H83" i="53"/>
  <c r="M15" i="47"/>
  <c r="M16" i="47"/>
  <c r="M8" i="47"/>
  <c r="M32" i="47"/>
  <c r="H83" i="41"/>
  <c r="H84" i="53"/>
  <c r="K32" i="47"/>
  <c r="O83" i="53"/>
  <c r="O83" i="41"/>
  <c r="O84" i="53"/>
  <c r="T15" i="47"/>
  <c r="T16" i="47"/>
  <c r="T8" i="47"/>
  <c r="I43" i="47"/>
  <c r="P15" i="47"/>
  <c r="P16" i="47"/>
  <c r="P8" i="47"/>
  <c r="P32" i="47"/>
  <c r="K83" i="53"/>
  <c r="K83" i="41"/>
  <c r="K84" i="53"/>
  <c r="AB11" i="47"/>
  <c r="T83" i="41"/>
  <c r="T84" i="53"/>
  <c r="T83" i="53"/>
  <c r="Y15" i="47"/>
  <c r="Y16" i="47"/>
  <c r="Y8" i="47"/>
  <c r="N43" i="47"/>
  <c r="Z329" i="53"/>
  <c r="Q15" i="47"/>
  <c r="Q16" i="47"/>
  <c r="Q8" i="47"/>
  <c r="Q32" i="47"/>
  <c r="L83" i="41"/>
  <c r="L84" i="53"/>
  <c r="L83" i="53"/>
  <c r="N83" i="53"/>
  <c r="S15" i="47"/>
  <c r="S16" i="47"/>
  <c r="S8" i="47"/>
  <c r="H43" i="47"/>
  <c r="N83" i="41"/>
  <c r="N84" i="53"/>
  <c r="N15" i="47"/>
  <c r="N16" i="47"/>
  <c r="N8" i="47"/>
  <c r="N32" i="47"/>
  <c r="I83" i="53"/>
  <c r="I83" i="41"/>
  <c r="I84" i="53"/>
  <c r="Q11" i="50"/>
  <c r="J83" i="53"/>
  <c r="O15" i="47"/>
  <c r="O16" i="47"/>
  <c r="O8" i="47"/>
  <c r="O32" i="47"/>
  <c r="J83" i="41"/>
  <c r="J84" i="53"/>
  <c r="Z78" i="53"/>
  <c r="Z82" i="41"/>
  <c r="Z60" i="54"/>
  <c r="Z57" i="54"/>
  <c r="Z62" i="54"/>
  <c r="Z63" i="54"/>
  <c r="K208" i="50"/>
  <c r="K184" i="50"/>
  <c r="L184" i="50"/>
  <c r="L208" i="50"/>
  <c r="I208" i="50"/>
  <c r="I184" i="50"/>
  <c r="M20" i="38"/>
  <c r="T184" i="50"/>
  <c r="T208" i="50"/>
  <c r="Y62" i="53"/>
  <c r="Y62" i="41"/>
  <c r="Y63" i="53"/>
  <c r="O208" i="50"/>
  <c r="O184" i="50"/>
  <c r="S184" i="50"/>
  <c r="S208" i="50"/>
  <c r="B35" i="35"/>
  <c r="C34" i="35"/>
  <c r="Z61" i="41"/>
  <c r="Z57" i="53"/>
  <c r="Z433" i="40"/>
  <c r="Z436" i="52"/>
  <c r="H208" i="50"/>
  <c r="H184" i="50"/>
  <c r="K20" i="38"/>
  <c r="W43" i="40"/>
  <c r="S20" i="38"/>
  <c r="Q20" i="38"/>
  <c r="Q21" i="50"/>
  <c r="U184" i="50"/>
  <c r="U208" i="50"/>
  <c r="J184" i="50"/>
  <c r="J208" i="50"/>
  <c r="N184" i="50"/>
  <c r="N208" i="50"/>
  <c r="G11" i="50"/>
  <c r="H20" i="38"/>
  <c r="H21" i="50"/>
  <c r="N20" i="38"/>
  <c r="F184" i="50"/>
  <c r="F208" i="50"/>
  <c r="Z326" i="40"/>
  <c r="R184" i="50"/>
  <c r="R208" i="50"/>
  <c r="V184" i="50"/>
  <c r="V208" i="50"/>
  <c r="P208" i="50"/>
  <c r="P184" i="50"/>
  <c r="G208" i="50"/>
  <c r="G184" i="50"/>
  <c r="P20" i="38"/>
  <c r="P21" i="50"/>
  <c r="Q184" i="50"/>
  <c r="Q208" i="50"/>
  <c r="Z329" i="52"/>
  <c r="Z326" i="41"/>
  <c r="M184" i="50"/>
  <c r="M208" i="50"/>
  <c r="X191" i="40"/>
  <c r="X193" i="52"/>
  <c r="X193" i="40"/>
  <c r="X195" i="52"/>
  <c r="X189" i="40"/>
  <c r="X191" i="52"/>
  <c r="X205" i="40"/>
  <c r="X194" i="40"/>
  <c r="X196" i="52"/>
  <c r="X183" i="40"/>
  <c r="X192" i="40"/>
  <c r="X194" i="52"/>
  <c r="X190" i="40"/>
  <c r="X192" i="52"/>
  <c r="X197" i="40"/>
  <c r="X199" i="52"/>
  <c r="X195" i="40"/>
  <c r="X197" i="52"/>
  <c r="X40" i="41"/>
  <c r="X34" i="41"/>
  <c r="Z120" i="50"/>
  <c r="Z118" i="38"/>
  <c r="Z130" i="38"/>
  <c r="J23" i="50"/>
  <c r="W33" i="41"/>
  <c r="W42" i="41"/>
  <c r="W43" i="53"/>
  <c r="W35" i="53"/>
  <c r="W34" i="53"/>
  <c r="W45" i="41"/>
  <c r="Z178" i="50"/>
  <c r="Z180" i="38"/>
  <c r="Z186" i="38"/>
  <c r="H11" i="50"/>
  <c r="Z34" i="40"/>
  <c r="Z40" i="40"/>
  <c r="R40" i="35"/>
  <c r="S39" i="35"/>
  <c r="Y189" i="41"/>
  <c r="Y191" i="53"/>
  <c r="Y205" i="41"/>
  <c r="Y194" i="41"/>
  <c r="Y196" i="53"/>
  <c r="Y197" i="41"/>
  <c r="Y199" i="53"/>
  <c r="Y183" i="41"/>
  <c r="Y195" i="41"/>
  <c r="Y197" i="53"/>
  <c r="Y193" i="41"/>
  <c r="Y195" i="53"/>
  <c r="Y191" i="41"/>
  <c r="Y193" i="53"/>
  <c r="Y192" i="41"/>
  <c r="Y194" i="53"/>
  <c r="Y190" i="41"/>
  <c r="Y192" i="53"/>
  <c r="X83" i="52"/>
  <c r="X83" i="40"/>
  <c r="X84" i="52"/>
  <c r="X208" i="50"/>
  <c r="X184" i="50"/>
  <c r="P44" i="47"/>
  <c r="F44" i="47"/>
  <c r="F9" i="47"/>
  <c r="G35" i="43"/>
  <c r="Y61" i="40"/>
  <c r="Y57" i="52"/>
  <c r="Y170" i="52"/>
  <c r="Y182" i="40"/>
  <c r="Y179" i="40"/>
  <c r="Y180" i="40"/>
  <c r="Y109" i="52"/>
  <c r="X62" i="52"/>
  <c r="X62" i="40"/>
  <c r="X63" i="52"/>
  <c r="X183" i="52"/>
  <c r="X202" i="52"/>
  <c r="X199" i="40"/>
  <c r="Z32" i="38"/>
  <c r="Z35" i="38"/>
  <c r="Y35" i="38"/>
  <c r="AD22" i="54"/>
  <c r="AC24" i="54"/>
  <c r="AC32" i="54"/>
  <c r="AC33" i="54"/>
  <c r="W181" i="52"/>
  <c r="T23" i="50"/>
  <c r="Y120" i="50"/>
  <c r="Y119" i="50"/>
  <c r="Y118" i="38"/>
  <c r="Y130" i="38"/>
  <c r="F23" i="50"/>
  <c r="Z62" i="38"/>
  <c r="Z63" i="50"/>
  <c r="Z62" i="50"/>
  <c r="Z129" i="53"/>
  <c r="Q23" i="50"/>
  <c r="X40" i="38"/>
  <c r="X34" i="38"/>
  <c r="AI33" i="35"/>
  <c r="AQ32" i="35"/>
  <c r="N21" i="50"/>
  <c r="Y103" i="40"/>
  <c r="Y99" i="52"/>
  <c r="Y78" i="52"/>
  <c r="Y82" i="40"/>
  <c r="Z11" i="40"/>
  <c r="Z17" i="40"/>
  <c r="Y245" i="52"/>
  <c r="Y243" i="40"/>
  <c r="Y246" i="52"/>
  <c r="Y129" i="53"/>
  <c r="W11" i="38"/>
  <c r="W17" i="38"/>
  <c r="Z181" i="53"/>
  <c r="Y126" i="40"/>
  <c r="Y119" i="40"/>
  <c r="N23" i="50"/>
  <c r="X131" i="50"/>
  <c r="Y331" i="50"/>
  <c r="Y326" i="50"/>
  <c r="Y320" i="50"/>
  <c r="V46" i="53"/>
  <c r="W41" i="41"/>
  <c r="W42" i="53"/>
  <c r="W41" i="53"/>
  <c r="Z177" i="52"/>
  <c r="Z177" i="40"/>
  <c r="R21" i="50"/>
  <c r="Y127" i="50"/>
  <c r="Y127" i="38"/>
  <c r="Y128" i="50"/>
  <c r="V43" i="41"/>
  <c r="Z104" i="50"/>
  <c r="Z104" i="38"/>
  <c r="Z105" i="50"/>
  <c r="J20" i="38"/>
  <c r="W41" i="50"/>
  <c r="W41" i="38"/>
  <c r="W42" i="50"/>
  <c r="G23" i="50"/>
  <c r="L23" i="50"/>
  <c r="G20" i="38"/>
  <c r="V44" i="53"/>
  <c r="W44" i="52"/>
  <c r="Z77" i="40"/>
  <c r="Z87" i="40"/>
  <c r="Y17" i="40"/>
  <c r="Y11" i="40"/>
  <c r="Z247" i="40"/>
  <c r="Z237" i="40"/>
  <c r="Z242" i="40"/>
  <c r="M23" i="50"/>
  <c r="X12" i="38"/>
  <c r="Y9" i="38"/>
  <c r="Z189" i="53"/>
  <c r="Z126" i="40"/>
  <c r="Z119" i="40"/>
  <c r="U20" i="41"/>
  <c r="N11" i="50"/>
  <c r="O11" i="50"/>
  <c r="X187" i="52"/>
  <c r="V46" i="50"/>
  <c r="W131" i="52"/>
  <c r="Y88" i="52"/>
  <c r="Y188" i="53"/>
  <c r="Y189" i="53"/>
  <c r="Y181" i="53"/>
  <c r="W11" i="41"/>
  <c r="W17" i="41"/>
  <c r="W129" i="52"/>
  <c r="Y250" i="52"/>
  <c r="X10" i="50"/>
  <c r="W13" i="50"/>
  <c r="M11" i="50"/>
  <c r="P23" i="50"/>
  <c r="R67" i="54"/>
  <c r="R70" i="54"/>
  <c r="Q72" i="54"/>
  <c r="Q75" i="54"/>
  <c r="R23" i="50"/>
  <c r="T20" i="38"/>
  <c r="O23" i="50"/>
  <c r="I23" i="50"/>
  <c r="Y33" i="52"/>
  <c r="X36" i="52"/>
  <c r="AG28" i="54"/>
  <c r="AF30" i="54"/>
  <c r="W23" i="52"/>
  <c r="S21" i="50"/>
  <c r="K23" i="50"/>
  <c r="Z182" i="40"/>
  <c r="Z179" i="40"/>
  <c r="Z170" i="52"/>
  <c r="T21" i="53"/>
  <c r="W35" i="50"/>
  <c r="W34" i="50"/>
  <c r="W33" i="38"/>
  <c r="W42" i="38"/>
  <c r="W43" i="50"/>
  <c r="W45" i="38"/>
  <c r="X128" i="38"/>
  <c r="L20" i="38"/>
  <c r="X10" i="53"/>
  <c r="W13" i="53"/>
  <c r="Y9" i="41"/>
  <c r="X12" i="41"/>
  <c r="Z258" i="50"/>
  <c r="Z237" i="50"/>
  <c r="Y181" i="50"/>
  <c r="Y187" i="50"/>
  <c r="Y189" i="50"/>
  <c r="U23" i="50"/>
  <c r="V12" i="53"/>
  <c r="V11" i="53"/>
  <c r="V10" i="41"/>
  <c r="V22" i="41"/>
  <c r="V19" i="41"/>
  <c r="V20" i="53"/>
  <c r="V208" i="52"/>
  <c r="V184" i="52"/>
  <c r="V43" i="38"/>
  <c r="U23" i="53"/>
  <c r="X18" i="40"/>
  <c r="X19" i="52"/>
  <c r="X18" i="52"/>
  <c r="W129" i="50"/>
  <c r="V18" i="50"/>
  <c r="V18" i="38"/>
  <c r="V19" i="50"/>
  <c r="I11" i="50"/>
  <c r="Y33" i="53"/>
  <c r="X36" i="53"/>
  <c r="X41" i="52"/>
  <c r="X41" i="40"/>
  <c r="X42" i="52"/>
  <c r="K21" i="50"/>
  <c r="Z318" i="50"/>
  <c r="Z341" i="50"/>
  <c r="Z360" i="50"/>
  <c r="Z400" i="50"/>
  <c r="Z297" i="50"/>
  <c r="V18" i="53"/>
  <c r="V18" i="41"/>
  <c r="V19" i="53"/>
  <c r="Y178" i="52"/>
  <c r="Y186" i="40"/>
  <c r="V44" i="50"/>
  <c r="Y67" i="52"/>
  <c r="X19" i="40"/>
  <c r="X20" i="52"/>
  <c r="X10" i="40"/>
  <c r="X12" i="52"/>
  <c r="X11" i="52"/>
  <c r="X22" i="40"/>
  <c r="AB32" i="35"/>
  <c r="T33" i="35"/>
  <c r="I20" i="38"/>
  <c r="X36" i="50"/>
  <c r="Y33" i="50"/>
  <c r="V12" i="50"/>
  <c r="V11" i="50"/>
  <c r="V10" i="38"/>
  <c r="V19" i="38"/>
  <c r="V20" i="50"/>
  <c r="V22" i="38"/>
  <c r="X127" i="52"/>
  <c r="X127" i="40"/>
  <c r="X128" i="52"/>
  <c r="Z104" i="53"/>
  <c r="Z104" i="41"/>
  <c r="Z105" i="53"/>
  <c r="R11" i="50"/>
  <c r="Y35" i="41"/>
  <c r="Z32" i="41"/>
  <c r="Z35" i="41"/>
  <c r="Z127" i="50"/>
  <c r="Z127" i="38"/>
  <c r="Z128" i="50"/>
  <c r="W46" i="52"/>
  <c r="S23" i="50"/>
  <c r="X33" i="40"/>
  <c r="X35" i="52"/>
  <c r="X34" i="52"/>
  <c r="X45" i="40"/>
  <c r="X42" i="40"/>
  <c r="X43" i="52"/>
  <c r="F20" i="38"/>
  <c r="Y183" i="38"/>
  <c r="Y205" i="38"/>
  <c r="Y192" i="38"/>
  <c r="Y194" i="50"/>
  <c r="Y195" i="38"/>
  <c r="Y197" i="50"/>
  <c r="Y194" i="38"/>
  <c r="Y196" i="50"/>
  <c r="Y193" i="38"/>
  <c r="Y195" i="50"/>
  <c r="Y197" i="38"/>
  <c r="Y199" i="50"/>
  <c r="Y191" i="38"/>
  <c r="Y193" i="50"/>
  <c r="Y189" i="38"/>
  <c r="Y191" i="50"/>
  <c r="Y190" i="38"/>
  <c r="Y192" i="50"/>
  <c r="H23" i="50"/>
  <c r="Y34" i="40"/>
  <c r="Y40" i="40"/>
  <c r="AJ27" i="54"/>
  <c r="K11" i="50"/>
  <c r="M21" i="50"/>
  <c r="V129" i="52"/>
  <c r="Z66" i="40"/>
  <c r="Z56" i="40"/>
  <c r="Z98" i="40"/>
  <c r="Z108" i="40"/>
  <c r="W20" i="40"/>
  <c r="X187" i="40"/>
  <c r="X180" i="52"/>
  <c r="X188" i="52"/>
  <c r="X104" i="52"/>
  <c r="X104" i="40"/>
  <c r="X105" i="52"/>
  <c r="X130" i="40"/>
  <c r="X120" i="52"/>
  <c r="X119" i="52"/>
  <c r="X118" i="40"/>
  <c r="W189" i="52"/>
  <c r="T11" i="50"/>
  <c r="AC11" i="47"/>
  <c r="F43" i="47"/>
  <c r="Y406" i="53"/>
  <c r="Y416" i="41"/>
  <c r="Y419" i="53"/>
  <c r="Z416" i="41"/>
  <c r="Z419" i="53"/>
  <c r="Z406" i="53"/>
  <c r="F32" i="47"/>
  <c r="Y128" i="38"/>
  <c r="Y129" i="50"/>
  <c r="AA60" i="54"/>
  <c r="AA57" i="54"/>
  <c r="AA62" i="54"/>
  <c r="AA63" i="54"/>
  <c r="Z128" i="38"/>
  <c r="Z129" i="50"/>
  <c r="AB69" i="54"/>
  <c r="AB38" i="54"/>
  <c r="AB41" i="54"/>
  <c r="Z83" i="53"/>
  <c r="Z83" i="41"/>
  <c r="Z84" i="53"/>
  <c r="AE3" i="47"/>
  <c r="AC21" i="54"/>
  <c r="AD7" i="47"/>
  <c r="AD6" i="47"/>
  <c r="AD5" i="47"/>
  <c r="AD4" i="47"/>
  <c r="F8" i="47"/>
  <c r="G34" i="43"/>
  <c r="W44" i="53"/>
  <c r="X43" i="40"/>
  <c r="Z62" i="53"/>
  <c r="Z62" i="41"/>
  <c r="Z63" i="53"/>
  <c r="C35" i="35"/>
  <c r="B36" i="35"/>
  <c r="F21" i="50"/>
  <c r="Y195" i="40"/>
  <c r="Y197" i="52"/>
  <c r="Y192" i="40"/>
  <c r="Y194" i="52"/>
  <c r="Y190" i="40"/>
  <c r="Y192" i="52"/>
  <c r="Y183" i="40"/>
  <c r="Y191" i="40"/>
  <c r="Y193" i="52"/>
  <c r="Y193" i="40"/>
  <c r="Y195" i="52"/>
  <c r="Y197" i="40"/>
  <c r="Y199" i="52"/>
  <c r="Y194" i="40"/>
  <c r="Y196" i="52"/>
  <c r="Y205" i="40"/>
  <c r="Y189" i="40"/>
  <c r="Y191" i="52"/>
  <c r="X17" i="41"/>
  <c r="X11" i="41"/>
  <c r="T21" i="50"/>
  <c r="Y18" i="52"/>
  <c r="Y18" i="40"/>
  <c r="Y19" i="52"/>
  <c r="Z12" i="52"/>
  <c r="Z22" i="40"/>
  <c r="Z10" i="40"/>
  <c r="Z19" i="40"/>
  <c r="Z20" i="52"/>
  <c r="AQ33" i="35"/>
  <c r="AI34" i="35"/>
  <c r="Y62" i="52"/>
  <c r="Y62" i="40"/>
  <c r="Y63" i="52"/>
  <c r="Z33" i="40"/>
  <c r="Z45" i="40"/>
  <c r="Z35" i="52"/>
  <c r="Z42" i="40"/>
  <c r="Z43" i="52"/>
  <c r="V23" i="50"/>
  <c r="X23" i="52"/>
  <c r="X44" i="52"/>
  <c r="Y12" i="41"/>
  <c r="Z9" i="41"/>
  <c r="Z12" i="41"/>
  <c r="AH28" i="54"/>
  <c r="AG30" i="54"/>
  <c r="X189" i="52"/>
  <c r="Z9" i="38"/>
  <c r="Z12" i="38"/>
  <c r="Y12" i="38"/>
  <c r="Z180" i="40"/>
  <c r="Z186" i="40"/>
  <c r="Z178" i="52"/>
  <c r="Y120" i="52"/>
  <c r="Y119" i="52"/>
  <c r="Y130" i="40"/>
  <c r="Y118" i="40"/>
  <c r="Y131" i="50"/>
  <c r="AE22" i="54"/>
  <c r="AD24" i="54"/>
  <c r="AD32" i="54"/>
  <c r="AD33" i="54"/>
  <c r="X35" i="53"/>
  <c r="X34" i="53"/>
  <c r="X33" i="41"/>
  <c r="X45" i="41"/>
  <c r="X42" i="41"/>
  <c r="X43" i="53"/>
  <c r="Z199" i="40"/>
  <c r="Z183" i="52"/>
  <c r="Z202" i="52"/>
  <c r="Z127" i="40"/>
  <c r="Z128" i="52"/>
  <c r="Z127" i="52"/>
  <c r="Z18" i="52"/>
  <c r="Z18" i="40"/>
  <c r="Z19" i="52"/>
  <c r="X46" i="52"/>
  <c r="Y187" i="52"/>
  <c r="Z326" i="50"/>
  <c r="Z331" i="50"/>
  <c r="Z320" i="50"/>
  <c r="Y10" i="50"/>
  <c r="X13" i="50"/>
  <c r="W18" i="53"/>
  <c r="W18" i="41"/>
  <c r="W19" i="53"/>
  <c r="X181" i="52"/>
  <c r="X11" i="38"/>
  <c r="X17" i="38"/>
  <c r="Z88" i="52"/>
  <c r="Y127" i="40"/>
  <c r="Y128" i="52"/>
  <c r="Y127" i="52"/>
  <c r="X42" i="38"/>
  <c r="X43" i="50"/>
  <c r="X33" i="38"/>
  <c r="X35" i="50"/>
  <c r="X34" i="50"/>
  <c r="X45" i="38"/>
  <c r="Y40" i="38"/>
  <c r="Y34" i="38"/>
  <c r="X41" i="53"/>
  <c r="X41" i="41"/>
  <c r="X42" i="53"/>
  <c r="Z67" i="52"/>
  <c r="W46" i="50"/>
  <c r="Y41" i="40"/>
  <c r="Y42" i="52"/>
  <c r="Y41" i="52"/>
  <c r="W21" i="52"/>
  <c r="Y35" i="52"/>
  <c r="Y34" i="52"/>
  <c r="Y33" i="40"/>
  <c r="Y45" i="40"/>
  <c r="Y42" i="40"/>
  <c r="Y43" i="52"/>
  <c r="X131" i="52"/>
  <c r="Z33" i="50"/>
  <c r="Z36" i="50"/>
  <c r="Y36" i="50"/>
  <c r="X20" i="40"/>
  <c r="Y208" i="50"/>
  <c r="Y184" i="50"/>
  <c r="Y10" i="53"/>
  <c r="X13" i="53"/>
  <c r="Z33" i="52"/>
  <c r="Z36" i="52"/>
  <c r="Y36" i="52"/>
  <c r="W12" i="53"/>
  <c r="W11" i="53"/>
  <c r="W19" i="41"/>
  <c r="W20" i="53"/>
  <c r="W22" i="41"/>
  <c r="W10" i="41"/>
  <c r="Z82" i="40"/>
  <c r="Z78" i="52"/>
  <c r="W43" i="38"/>
  <c r="W43" i="41"/>
  <c r="Z184" i="53"/>
  <c r="Z208" i="53"/>
  <c r="Y83" i="40"/>
  <c r="Y84" i="52"/>
  <c r="Y83" i="52"/>
  <c r="X41" i="38"/>
  <c r="X42" i="50"/>
  <c r="X41" i="50"/>
  <c r="Z34" i="38"/>
  <c r="Z40" i="38"/>
  <c r="Z109" i="52"/>
  <c r="X128" i="40"/>
  <c r="L21" i="50"/>
  <c r="R72" i="54"/>
  <c r="R75" i="54"/>
  <c r="S67" i="54"/>
  <c r="S70" i="54"/>
  <c r="Y187" i="40"/>
  <c r="Y180" i="52"/>
  <c r="Y188" i="52"/>
  <c r="Z205" i="38"/>
  <c r="Z183" i="38"/>
  <c r="Z195" i="38"/>
  <c r="Z197" i="50"/>
  <c r="Z197" i="38"/>
  <c r="Z199" i="50"/>
  <c r="Z190" i="38"/>
  <c r="Z192" i="50"/>
  <c r="Z189" i="38"/>
  <c r="Z191" i="50"/>
  <c r="Z194" i="38"/>
  <c r="Z196" i="50"/>
  <c r="Z193" i="38"/>
  <c r="Z195" i="50"/>
  <c r="Z192" i="38"/>
  <c r="Z194" i="50"/>
  <c r="Z191" i="38"/>
  <c r="Z193" i="50"/>
  <c r="Z131" i="50"/>
  <c r="AB33" i="35"/>
  <c r="T34" i="35"/>
  <c r="Z41" i="40"/>
  <c r="Z42" i="52"/>
  <c r="Z41" i="52"/>
  <c r="Z103" i="40"/>
  <c r="Z99" i="52"/>
  <c r="Z34" i="41"/>
  <c r="Z40" i="41"/>
  <c r="Z33" i="53"/>
  <c r="Z36" i="53"/>
  <c r="Y36" i="53"/>
  <c r="V20" i="38"/>
  <c r="V23" i="53"/>
  <c r="Y184" i="53"/>
  <c r="Y208" i="53"/>
  <c r="U21" i="53"/>
  <c r="Z245" i="52"/>
  <c r="Z243" i="40"/>
  <c r="Z246" i="52"/>
  <c r="W44" i="50"/>
  <c r="W18" i="38"/>
  <c r="W19" i="50"/>
  <c r="W18" i="50"/>
  <c r="Y183" i="52"/>
  <c r="Y202" i="52"/>
  <c r="Y199" i="40"/>
  <c r="Z187" i="50"/>
  <c r="Z189" i="50"/>
  <c r="Z181" i="50"/>
  <c r="L85" i="28"/>
  <c r="L98" i="28"/>
  <c r="L102" i="28"/>
  <c r="M85" i="28"/>
  <c r="M98" i="28"/>
  <c r="M86" i="28"/>
  <c r="M99" i="28"/>
  <c r="N86" i="28"/>
  <c r="N99" i="28"/>
  <c r="N102" i="28"/>
  <c r="Y10" i="40"/>
  <c r="Y22" i="40"/>
  <c r="Y12" i="52"/>
  <c r="Y11" i="52"/>
  <c r="Y19" i="40"/>
  <c r="Y20" i="52"/>
  <c r="AK27" i="54"/>
  <c r="Z61" i="40"/>
  <c r="Z57" i="52"/>
  <c r="Y34" i="41"/>
  <c r="Y40" i="41"/>
  <c r="I21" i="50"/>
  <c r="V20" i="41"/>
  <c r="X129" i="50"/>
  <c r="Z187" i="40"/>
  <c r="Z180" i="52"/>
  <c r="Z188" i="52"/>
  <c r="Z130" i="40"/>
  <c r="Z118" i="40"/>
  <c r="Z120" i="52"/>
  <c r="Z119" i="52"/>
  <c r="Z250" i="52"/>
  <c r="G21" i="50"/>
  <c r="J21" i="50"/>
  <c r="W10" i="38"/>
  <c r="W22" i="38"/>
  <c r="W12" i="50"/>
  <c r="W11" i="50"/>
  <c r="W19" i="38"/>
  <c r="W20" i="50"/>
  <c r="Y104" i="40"/>
  <c r="Y105" i="52"/>
  <c r="Y104" i="52"/>
  <c r="W184" i="52"/>
  <c r="W208" i="52"/>
  <c r="S40" i="35"/>
  <c r="R41" i="35"/>
  <c r="W46" i="53"/>
  <c r="Z119" i="50"/>
  <c r="W20" i="41"/>
  <c r="Z43" i="40"/>
  <c r="AD11" i="47"/>
  <c r="AB60" i="54"/>
  <c r="AB57" i="54"/>
  <c r="AB62" i="54"/>
  <c r="AB63" i="54"/>
  <c r="Z44" i="52"/>
  <c r="M102" i="28"/>
  <c r="AC69" i="54"/>
  <c r="AC41" i="54"/>
  <c r="AC38" i="54"/>
  <c r="AE5" i="47"/>
  <c r="AE6" i="47"/>
  <c r="AD21" i="54"/>
  <c r="AF3" i="47"/>
  <c r="AE7" i="47"/>
  <c r="AE4" i="47"/>
  <c r="Y189" i="52"/>
  <c r="Y128" i="40"/>
  <c r="Y129" i="52"/>
  <c r="Z34" i="52"/>
  <c r="C36" i="35"/>
  <c r="B37" i="35"/>
  <c r="X43" i="38"/>
  <c r="X44" i="50"/>
  <c r="X129" i="52"/>
  <c r="Y13" i="53"/>
  <c r="Z10" i="53"/>
  <c r="Z13" i="53"/>
  <c r="AE24" i="54"/>
  <c r="AE32" i="54"/>
  <c r="AE33" i="54"/>
  <c r="AF22" i="54"/>
  <c r="Y131" i="52"/>
  <c r="W23" i="50"/>
  <c r="Z62" i="40"/>
  <c r="Z63" i="52"/>
  <c r="Z62" i="52"/>
  <c r="V21" i="50"/>
  <c r="Y44" i="52"/>
  <c r="X43" i="41"/>
  <c r="Y181" i="52"/>
  <c r="Z46" i="52"/>
  <c r="W20" i="38"/>
  <c r="Z35" i="50"/>
  <c r="Z33" i="38"/>
  <c r="M77" i="28"/>
  <c r="Z45" i="38"/>
  <c r="Z42" i="38"/>
  <c r="Z43" i="50"/>
  <c r="Y43" i="40"/>
  <c r="X44" i="53"/>
  <c r="Z20" i="40"/>
  <c r="X46" i="53"/>
  <c r="AI28" i="54"/>
  <c r="AH30" i="54"/>
  <c r="Z104" i="52"/>
  <c r="Z104" i="40"/>
  <c r="Z105" i="52"/>
  <c r="Z83" i="52"/>
  <c r="Z83" i="40"/>
  <c r="Z84" i="52"/>
  <c r="W21" i="53"/>
  <c r="W23" i="53"/>
  <c r="X21" i="52"/>
  <c r="Y46" i="52"/>
  <c r="Y35" i="50"/>
  <c r="Y34" i="50"/>
  <c r="Y33" i="38"/>
  <c r="Y45" i="38"/>
  <c r="Y42" i="38"/>
  <c r="Y43" i="50"/>
  <c r="Z10" i="50"/>
  <c r="Z13" i="50"/>
  <c r="Y13" i="50"/>
  <c r="Z128" i="40"/>
  <c r="Z190" i="40"/>
  <c r="Z192" i="52"/>
  <c r="Z205" i="40"/>
  <c r="Z197" i="40"/>
  <c r="Z199" i="52"/>
  <c r="Z194" i="40"/>
  <c r="Z196" i="52"/>
  <c r="Z195" i="40"/>
  <c r="Z197" i="52"/>
  <c r="Z191" i="40"/>
  <c r="Z193" i="52"/>
  <c r="Z189" i="40"/>
  <c r="Z191" i="52"/>
  <c r="Z192" i="40"/>
  <c r="Z194" i="52"/>
  <c r="Z183" i="40"/>
  <c r="Z193" i="40"/>
  <c r="Z195" i="52"/>
  <c r="Z17" i="41"/>
  <c r="Z11" i="41"/>
  <c r="Z23" i="52"/>
  <c r="X19" i="41"/>
  <c r="X20" i="53"/>
  <c r="X10" i="41"/>
  <c r="X22" i="41"/>
  <c r="X12" i="53"/>
  <c r="X11" i="53"/>
  <c r="S72" i="54"/>
  <c r="S75" i="54"/>
  <c r="T67" i="54"/>
  <c r="T70" i="54"/>
  <c r="Z41" i="53"/>
  <c r="Z41" i="41"/>
  <c r="Z42" i="53"/>
  <c r="AB34" i="35"/>
  <c r="T35" i="35"/>
  <c r="Y41" i="50"/>
  <c r="Y41" i="38"/>
  <c r="Y42" i="50"/>
  <c r="X18" i="50"/>
  <c r="X18" i="38"/>
  <c r="X19" i="50"/>
  <c r="Y17" i="38"/>
  <c r="Y11" i="38"/>
  <c r="Y17" i="41"/>
  <c r="Y11" i="41"/>
  <c r="Z11" i="52"/>
  <c r="X18" i="53"/>
  <c r="X18" i="41"/>
  <c r="X19" i="53"/>
  <c r="V21" i="53"/>
  <c r="Y41" i="41"/>
  <c r="Y42" i="53"/>
  <c r="Y41" i="53"/>
  <c r="Z184" i="50"/>
  <c r="Z208" i="50"/>
  <c r="Z35" i="53"/>
  <c r="Z33" i="41"/>
  <c r="Z45" i="41"/>
  <c r="Z42" i="41"/>
  <c r="Z43" i="53"/>
  <c r="X46" i="50"/>
  <c r="X22" i="38"/>
  <c r="X12" i="50"/>
  <c r="X11" i="50"/>
  <c r="X19" i="38"/>
  <c r="X20" i="50"/>
  <c r="X10" i="38"/>
  <c r="Z11" i="38"/>
  <c r="Z17" i="38"/>
  <c r="Y20" i="40"/>
  <c r="Z41" i="38"/>
  <c r="Z42" i="50"/>
  <c r="Z41" i="50"/>
  <c r="Z187" i="52"/>
  <c r="Z189" i="52"/>
  <c r="Z181" i="52"/>
  <c r="S41" i="35"/>
  <c r="R42" i="35"/>
  <c r="Z131" i="52"/>
  <c r="AL27" i="54"/>
  <c r="Y35" i="53"/>
  <c r="Y34" i="53"/>
  <c r="Y45" i="41"/>
  <c r="Y42" i="41"/>
  <c r="Y43" i="53"/>
  <c r="Y33" i="41"/>
  <c r="Y23" i="52"/>
  <c r="X184" i="52"/>
  <c r="X208" i="52"/>
  <c r="AQ34" i="35"/>
  <c r="AI35" i="35"/>
  <c r="Z34" i="53"/>
  <c r="AC60" i="54"/>
  <c r="AC57" i="54"/>
  <c r="AC62" i="54"/>
  <c r="AC63" i="54"/>
  <c r="AE11" i="47"/>
  <c r="AF4" i="47"/>
  <c r="AF5" i="47"/>
  <c r="AE21" i="54"/>
  <c r="AF6" i="47"/>
  <c r="AG3" i="47"/>
  <c r="AF7" i="47"/>
  <c r="AD38" i="54"/>
  <c r="AD41" i="54"/>
  <c r="AD69" i="54"/>
  <c r="C37" i="35"/>
  <c r="B38" i="35"/>
  <c r="X20" i="41"/>
  <c r="X21" i="53"/>
  <c r="Y43" i="41"/>
  <c r="Y43" i="38"/>
  <c r="Y44" i="50"/>
  <c r="Z21" i="52"/>
  <c r="W21" i="50"/>
  <c r="S42" i="35"/>
  <c r="R43" i="35"/>
  <c r="Z43" i="41"/>
  <c r="X23" i="53"/>
  <c r="AF24" i="54"/>
  <c r="AF32" i="54"/>
  <c r="AF33" i="54"/>
  <c r="AG22" i="54"/>
  <c r="AI36" i="35"/>
  <c r="AQ35" i="35"/>
  <c r="Z208" i="52"/>
  <c r="Z184" i="52"/>
  <c r="Y21" i="52"/>
  <c r="X23" i="50"/>
  <c r="Y12" i="53"/>
  <c r="Y11" i="53"/>
  <c r="Y22" i="41"/>
  <c r="Y10" i="41"/>
  <c r="Y19" i="41"/>
  <c r="Y20" i="53"/>
  <c r="X20" i="38"/>
  <c r="Z44" i="53"/>
  <c r="Z46" i="53"/>
  <c r="AM27" i="54"/>
  <c r="Y18" i="41"/>
  <c r="Y19" i="53"/>
  <c r="Y18" i="53"/>
  <c r="AJ28" i="54"/>
  <c r="AI30" i="54"/>
  <c r="Z46" i="50"/>
  <c r="Y184" i="52"/>
  <c r="Y208" i="52"/>
  <c r="Z129" i="52"/>
  <c r="U67" i="54"/>
  <c r="U70" i="54"/>
  <c r="T72" i="54"/>
  <c r="T75" i="54"/>
  <c r="Z12" i="50"/>
  <c r="Z10" i="38"/>
  <c r="M79" i="28"/>
  <c r="Z19" i="38"/>
  <c r="Z20" i="50"/>
  <c r="Z22" i="38"/>
  <c r="Y12" i="50"/>
  <c r="Y11" i="50"/>
  <c r="Y10" i="38"/>
  <c r="Y22" i="38"/>
  <c r="Y19" i="38"/>
  <c r="Y20" i="50"/>
  <c r="Z22" i="41"/>
  <c r="Z10" i="41"/>
  <c r="Z12" i="53"/>
  <c r="Z19" i="41"/>
  <c r="Z20" i="53"/>
  <c r="Z34" i="50"/>
  <c r="Y46" i="53"/>
  <c r="Z18" i="50"/>
  <c r="Z18" i="38"/>
  <c r="Z19" i="50"/>
  <c r="Z43" i="38"/>
  <c r="Z44" i="50"/>
  <c r="Y44" i="53"/>
  <c r="Y18" i="38"/>
  <c r="Y19" i="50"/>
  <c r="Y18" i="50"/>
  <c r="T36" i="35"/>
  <c r="AB35" i="35"/>
  <c r="Z18" i="41"/>
  <c r="Z19" i="53"/>
  <c r="Z18" i="53"/>
  <c r="Y46" i="50"/>
  <c r="AE69" i="54"/>
  <c r="AE41" i="54"/>
  <c r="AE38" i="54"/>
  <c r="Y20" i="38"/>
  <c r="Y21" i="50"/>
  <c r="AF11" i="47"/>
  <c r="AD57" i="54"/>
  <c r="AD62" i="54"/>
  <c r="AD63" i="54"/>
  <c r="AD60" i="54"/>
  <c r="Z20" i="41"/>
  <c r="Z21" i="53"/>
  <c r="Z11" i="53"/>
  <c r="AF21" i="54"/>
  <c r="AG6" i="47"/>
  <c r="AH3" i="47"/>
  <c r="AG4" i="47"/>
  <c r="AG5" i="47"/>
  <c r="AG7" i="47"/>
  <c r="AG11" i="47"/>
  <c r="Z20" i="38"/>
  <c r="Z21" i="50"/>
  <c r="B39" i="35"/>
  <c r="C38" i="35"/>
  <c r="Y20" i="41"/>
  <c r="S43" i="35"/>
  <c r="R44" i="35"/>
  <c r="U72" i="54"/>
  <c r="U75" i="54"/>
  <c r="V67" i="54"/>
  <c r="V70" i="54"/>
  <c r="Y23" i="53"/>
  <c r="AB36" i="35"/>
  <c r="T37" i="35"/>
  <c r="Z23" i="50"/>
  <c r="AI37" i="35"/>
  <c r="AQ36" i="35"/>
  <c r="Z23" i="53"/>
  <c r="AN27" i="54"/>
  <c r="AH22" i="54"/>
  <c r="AG24" i="54"/>
  <c r="AG32" i="54"/>
  <c r="AG33" i="54"/>
  <c r="Z11" i="50"/>
  <c r="Y23" i="50"/>
  <c r="AK28" i="54"/>
  <c r="AJ30" i="54"/>
  <c r="X21" i="50"/>
  <c r="AG21" i="54"/>
  <c r="AH5" i="47"/>
  <c r="AH6" i="47"/>
  <c r="AH7" i="47"/>
  <c r="AH4" i="47"/>
  <c r="AH11" i="47"/>
  <c r="AI3" i="47"/>
  <c r="AF41" i="54"/>
  <c r="AF69" i="54"/>
  <c r="AF38" i="54"/>
  <c r="AE57" i="54"/>
  <c r="AE62" i="54"/>
  <c r="AE63" i="54"/>
  <c r="AE60" i="54"/>
  <c r="C39" i="35"/>
  <c r="B40" i="35"/>
  <c r="AL28" i="54"/>
  <c r="AK30" i="54"/>
  <c r="W67" i="54"/>
  <c r="W70" i="54"/>
  <c r="V72" i="54"/>
  <c r="V75" i="54"/>
  <c r="Y21" i="53"/>
  <c r="AI22" i="54"/>
  <c r="AH24" i="54"/>
  <c r="AH32" i="54"/>
  <c r="AH33" i="54"/>
  <c r="S44" i="35"/>
  <c r="R45" i="35"/>
  <c r="AQ37" i="35"/>
  <c r="AI38" i="35"/>
  <c r="T38" i="35"/>
  <c r="AB37" i="35"/>
  <c r="AO27" i="54"/>
  <c r="AF57" i="54"/>
  <c r="AF62" i="54"/>
  <c r="AF63" i="54"/>
  <c r="AF60" i="54"/>
  <c r="AH21" i="54"/>
  <c r="AJ3" i="47"/>
  <c r="AI7" i="47"/>
  <c r="AI6" i="47"/>
  <c r="AI4" i="47"/>
  <c r="AI5" i="47"/>
  <c r="AG38" i="54"/>
  <c r="AG41" i="54"/>
  <c r="AG69" i="54"/>
  <c r="C40" i="35"/>
  <c r="B41" i="35"/>
  <c r="S45" i="35"/>
  <c r="I55" i="31"/>
  <c r="W72" i="54"/>
  <c r="W75" i="54"/>
  <c r="X67" i="54"/>
  <c r="X70" i="54"/>
  <c r="AP27" i="54"/>
  <c r="AQ38" i="35"/>
  <c r="AI39" i="35"/>
  <c r="AI24" i="54"/>
  <c r="AI32" i="54"/>
  <c r="AI33" i="54"/>
  <c r="AJ22" i="54"/>
  <c r="T39" i="35"/>
  <c r="AB38" i="35"/>
  <c r="AM28" i="54"/>
  <c r="AL30" i="54"/>
  <c r="AI11" i="47"/>
  <c r="AJ6" i="47"/>
  <c r="AJ7" i="47"/>
  <c r="AK3" i="47"/>
  <c r="AI21" i="54"/>
  <c r="AJ5" i="47"/>
  <c r="AJ4" i="47"/>
  <c r="AJ11" i="47"/>
  <c r="AH69" i="54"/>
  <c r="AH41" i="54"/>
  <c r="AH38" i="54"/>
  <c r="AG57" i="54"/>
  <c r="AG62" i="54"/>
  <c r="AG63" i="54"/>
  <c r="AG60" i="54"/>
  <c r="B42" i="35"/>
  <c r="C41" i="35"/>
  <c r="X72" i="54"/>
  <c r="X75" i="54"/>
  <c r="Y67" i="54"/>
  <c r="Y70" i="54"/>
  <c r="AK22" i="54"/>
  <c r="AJ24" i="54"/>
  <c r="AJ32" i="54"/>
  <c r="AJ33" i="54"/>
  <c r="AB39" i="35"/>
  <c r="T40" i="35"/>
  <c r="AI40" i="35"/>
  <c r="AQ39" i="35"/>
  <c r="AQ27" i="54"/>
  <c r="AN28" i="54"/>
  <c r="AM30" i="54"/>
  <c r="AH60" i="54"/>
  <c r="AH57" i="54"/>
  <c r="AH62" i="54"/>
  <c r="AH63" i="54"/>
  <c r="AI38" i="54"/>
  <c r="AI41" i="54"/>
  <c r="AI69" i="54"/>
  <c r="AL3" i="47"/>
  <c r="AK7" i="47"/>
  <c r="AK5" i="47"/>
  <c r="AK6" i="47"/>
  <c r="AK4" i="47"/>
  <c r="AJ21" i="54"/>
  <c r="C42" i="35"/>
  <c r="B43" i="35"/>
  <c r="AR27" i="54"/>
  <c r="AL22" i="54"/>
  <c r="AK24" i="54"/>
  <c r="AK32" i="54"/>
  <c r="AK33" i="54"/>
  <c r="AO28" i="54"/>
  <c r="AN30" i="54"/>
  <c r="Y72" i="54"/>
  <c r="Y75" i="54"/>
  <c r="Z67" i="54"/>
  <c r="Z70" i="54"/>
  <c r="T41" i="35"/>
  <c r="AB40" i="35"/>
  <c r="AQ40" i="35"/>
  <c r="AI41" i="35"/>
  <c r="AL7" i="47"/>
  <c r="AL5" i="47"/>
  <c r="AL4" i="47"/>
  <c r="AM3" i="47"/>
  <c r="AK21" i="54"/>
  <c r="AL6" i="47"/>
  <c r="AI60" i="54"/>
  <c r="AI57" i="54"/>
  <c r="AI62" i="54"/>
  <c r="AI63" i="54"/>
  <c r="AJ41" i="54"/>
  <c r="AJ38" i="54"/>
  <c r="AJ69" i="54"/>
  <c r="AK11" i="47"/>
  <c r="B44" i="35"/>
  <c r="C43" i="35"/>
  <c r="AM22" i="54"/>
  <c r="AL24" i="54"/>
  <c r="AL32" i="54"/>
  <c r="AL33" i="54"/>
  <c r="T42" i="35"/>
  <c r="AB41" i="35"/>
  <c r="AA67" i="54"/>
  <c r="AA70" i="54"/>
  <c r="Z72" i="54"/>
  <c r="Z75" i="54"/>
  <c r="AS27" i="54"/>
  <c r="AQ41" i="35"/>
  <c r="AI42" i="35"/>
  <c r="AP28" i="54"/>
  <c r="AO30" i="54"/>
  <c r="AL11" i="47"/>
  <c r="AK69" i="54"/>
  <c r="AK41" i="54"/>
  <c r="AK38" i="54"/>
  <c r="AN3" i="47"/>
  <c r="AM6" i="47"/>
  <c r="AM5" i="47"/>
  <c r="AM7" i="47"/>
  <c r="AL21" i="54"/>
  <c r="AM4" i="47"/>
  <c r="AJ57" i="54"/>
  <c r="AJ62" i="54"/>
  <c r="AJ63" i="54"/>
  <c r="AJ60" i="54"/>
  <c r="B45" i="35"/>
  <c r="C44" i="35"/>
  <c r="AQ28" i="54"/>
  <c r="AP30" i="54"/>
  <c r="AB42" i="35"/>
  <c r="T43" i="35"/>
  <c r="AB67" i="54"/>
  <c r="AB70" i="54"/>
  <c r="AA72" i="54"/>
  <c r="AA75" i="54"/>
  <c r="AT27" i="54"/>
  <c r="AQ42" i="35"/>
  <c r="AI43" i="35"/>
  <c r="AN22" i="54"/>
  <c r="AM24" i="54"/>
  <c r="AM32" i="54"/>
  <c r="AM33" i="54"/>
  <c r="AL41" i="54"/>
  <c r="AL69" i="54"/>
  <c r="AL38" i="54"/>
  <c r="AN7" i="47"/>
  <c r="AN4" i="47"/>
  <c r="AN5" i="47"/>
  <c r="AN6" i="47"/>
  <c r="AN11" i="47"/>
  <c r="AO3" i="47"/>
  <c r="AM21" i="54"/>
  <c r="AK60" i="54"/>
  <c r="AK57" i="54"/>
  <c r="AK62" i="54"/>
  <c r="AK63" i="54"/>
  <c r="AM11" i="47"/>
  <c r="C45" i="35"/>
  <c r="H55" i="31"/>
  <c r="AB72" i="54"/>
  <c r="AB75" i="54"/>
  <c r="AC67" i="54"/>
  <c r="AC70" i="54"/>
  <c r="T44" i="35"/>
  <c r="AB43" i="35"/>
  <c r="AQ43" i="35"/>
  <c r="AI44" i="35"/>
  <c r="AO22" i="54"/>
  <c r="AN24" i="54"/>
  <c r="AN32" i="54"/>
  <c r="AN33" i="54"/>
  <c r="AU27" i="54"/>
  <c r="AR28" i="54"/>
  <c r="AQ30" i="54"/>
  <c r="AO6" i="47"/>
  <c r="AO5" i="47"/>
  <c r="AO7" i="47"/>
  <c r="AO4" i="47"/>
  <c r="AP3" i="47"/>
  <c r="AN21" i="54"/>
  <c r="AM38" i="54"/>
  <c r="AM41" i="54"/>
  <c r="AM69" i="54"/>
  <c r="AL57" i="54"/>
  <c r="AL62" i="54"/>
  <c r="AL63" i="54"/>
  <c r="AL60" i="54"/>
  <c r="AB55" i="31"/>
  <c r="AR55" i="31"/>
  <c r="AW55" i="31"/>
  <c r="AQ55" i="31"/>
  <c r="AV55" i="31"/>
  <c r="AD55" i="31"/>
  <c r="M55" i="31"/>
  <c r="O55" i="31"/>
  <c r="AG55" i="31"/>
  <c r="AC55" i="31"/>
  <c r="N55" i="31"/>
  <c r="AL55" i="31"/>
  <c r="AO55" i="31"/>
  <c r="R55" i="31"/>
  <c r="T55" i="31"/>
  <c r="AK55" i="31"/>
  <c r="AN55" i="31"/>
  <c r="AJ55" i="31"/>
  <c r="AM55" i="31"/>
  <c r="Y55" i="31"/>
  <c r="BB55" i="31"/>
  <c r="BC55" i="31"/>
  <c r="AZ55" i="31"/>
  <c r="AY55" i="31"/>
  <c r="AX55" i="31"/>
  <c r="P55" i="31"/>
  <c r="AF55" i="31"/>
  <c r="BA55" i="31"/>
  <c r="S55" i="31"/>
  <c r="AP55" i="31"/>
  <c r="AU55" i="31"/>
  <c r="Q55" i="31"/>
  <c r="Z55" i="31"/>
  <c r="U55" i="31"/>
  <c r="G55" i="31"/>
  <c r="F55" i="31"/>
  <c r="AA55" i="31"/>
  <c r="AE55" i="31"/>
  <c r="AB44" i="35"/>
  <c r="T45" i="35"/>
  <c r="AB45" i="35"/>
  <c r="AQ44" i="35"/>
  <c r="AI45" i="35"/>
  <c r="AQ45" i="35"/>
  <c r="AV27" i="54"/>
  <c r="AP22" i="54"/>
  <c r="AO24" i="54"/>
  <c r="AO32" i="54"/>
  <c r="AO33" i="54"/>
  <c r="AS28" i="54"/>
  <c r="AR30" i="54"/>
  <c r="AD67" i="54"/>
  <c r="AD70" i="54"/>
  <c r="AC72" i="54"/>
  <c r="AC75" i="54"/>
  <c r="AO11" i="47"/>
  <c r="AM60" i="54"/>
  <c r="AM57" i="54"/>
  <c r="AM62" i="54"/>
  <c r="AM63" i="54"/>
  <c r="AN69" i="54"/>
  <c r="AN41" i="54"/>
  <c r="AN38" i="54"/>
  <c r="AP4" i="47"/>
  <c r="AP5" i="47"/>
  <c r="AP6" i="47"/>
  <c r="AP7" i="47"/>
  <c r="AP11" i="47"/>
  <c r="AO21" i="54"/>
  <c r="AQ3" i="47"/>
  <c r="AD72" i="54"/>
  <c r="AD75" i="54"/>
  <c r="AE67" i="54"/>
  <c r="AE70" i="54"/>
  <c r="AQ22" i="54"/>
  <c r="AP24" i="54"/>
  <c r="AP32" i="54"/>
  <c r="AP33" i="54"/>
  <c r="AT28" i="54"/>
  <c r="AS30" i="54"/>
  <c r="AO38" i="54"/>
  <c r="AO69" i="54"/>
  <c r="AO41" i="54"/>
  <c r="AN57" i="54"/>
  <c r="AN62" i="54"/>
  <c r="AN63" i="54"/>
  <c r="AN60" i="54"/>
  <c r="AQ5" i="47"/>
  <c r="AQ7" i="47"/>
  <c r="AQ4" i="47"/>
  <c r="AQ6" i="47"/>
  <c r="AQ11" i="47"/>
  <c r="AP21" i="54"/>
  <c r="AR3" i="47"/>
  <c r="AU28" i="54"/>
  <c r="AT30" i="54"/>
  <c r="AR22" i="54"/>
  <c r="AQ24" i="54"/>
  <c r="AQ32" i="54"/>
  <c r="AQ33" i="54"/>
  <c r="AF67" i="54"/>
  <c r="AF70" i="54"/>
  <c r="AE72" i="54"/>
  <c r="AE75" i="54"/>
  <c r="AS3" i="47"/>
  <c r="AQ21" i="54"/>
  <c r="AR4" i="47"/>
  <c r="AR7" i="47"/>
  <c r="AR5" i="47"/>
  <c r="AR6" i="47"/>
  <c r="AO60" i="54"/>
  <c r="AO57" i="54"/>
  <c r="AO62" i="54"/>
  <c r="AO63" i="54"/>
  <c r="AP69" i="54"/>
  <c r="AP38" i="54"/>
  <c r="AP41" i="54"/>
  <c r="AF72" i="54"/>
  <c r="AF75" i="54"/>
  <c r="AG67" i="54"/>
  <c r="AG70" i="54"/>
  <c r="AS22" i="54"/>
  <c r="AR24" i="54"/>
  <c r="AR32" i="54"/>
  <c r="AR33" i="54"/>
  <c r="AV28" i="54"/>
  <c r="AV30" i="54"/>
  <c r="AU30" i="54"/>
  <c r="AR11" i="47"/>
  <c r="AQ38" i="54"/>
  <c r="AQ41" i="54"/>
  <c r="AQ69" i="54"/>
  <c r="AP60" i="54"/>
  <c r="AP57" i="54"/>
  <c r="AP62" i="54"/>
  <c r="AP63" i="54"/>
  <c r="AS6" i="47"/>
  <c r="AR21" i="54"/>
  <c r="AS5" i="47"/>
  <c r="AS7" i="47"/>
  <c r="AT3" i="47"/>
  <c r="AS4" i="47"/>
  <c r="AT22" i="54"/>
  <c r="AS24" i="54"/>
  <c r="AS32" i="54"/>
  <c r="AS33" i="54"/>
  <c r="AH67" i="54"/>
  <c r="AH70" i="54"/>
  <c r="AG72" i="54"/>
  <c r="AG75" i="54"/>
  <c r="AS11" i="47"/>
  <c r="AR69" i="54"/>
  <c r="AR38" i="54"/>
  <c r="AR41" i="54"/>
  <c r="AT6" i="47"/>
  <c r="AT7" i="47"/>
  <c r="AT5" i="47"/>
  <c r="AT4" i="47"/>
  <c r="AT11" i="47"/>
  <c r="AU3" i="47"/>
  <c r="AS21" i="54"/>
  <c r="AQ57" i="54"/>
  <c r="AQ62" i="54"/>
  <c r="AQ63" i="54"/>
  <c r="AQ60" i="54"/>
  <c r="AI67" i="54"/>
  <c r="AI70" i="54"/>
  <c r="AH72" i="54"/>
  <c r="AH75" i="54"/>
  <c r="AU22" i="54"/>
  <c r="AT24" i="54"/>
  <c r="AT32" i="54"/>
  <c r="AT33" i="54"/>
  <c r="AT21" i="54"/>
  <c r="AU4" i="47"/>
  <c r="AU5" i="47"/>
  <c r="F5" i="47"/>
  <c r="G36" i="43"/>
  <c r="AU6" i="47"/>
  <c r="F6" i="47"/>
  <c r="AU7" i="47"/>
  <c r="F7" i="47"/>
  <c r="G33" i="43"/>
  <c r="F4" i="47"/>
  <c r="G37" i="43"/>
  <c r="AR57" i="54"/>
  <c r="AR62" i="54"/>
  <c r="AR63" i="54"/>
  <c r="AR60" i="54"/>
  <c r="AS41" i="54"/>
  <c r="AS38" i="54"/>
  <c r="AS69" i="54"/>
  <c r="AU24" i="54"/>
  <c r="AU32" i="54"/>
  <c r="AV22" i="54"/>
  <c r="AV24" i="54"/>
  <c r="AV32" i="54"/>
  <c r="AI72" i="54"/>
  <c r="AI75" i="54"/>
  <c r="AJ67" i="54"/>
  <c r="AJ70" i="54"/>
  <c r="AU11" i="47"/>
  <c r="AS57" i="54"/>
  <c r="AS62" i="54"/>
  <c r="AS63" i="54"/>
  <c r="AS60" i="54"/>
  <c r="AT41" i="54"/>
  <c r="AT69" i="54"/>
  <c r="AT38" i="54"/>
  <c r="AV38" i="54"/>
  <c r="AV33" i="54"/>
  <c r="AK67" i="54"/>
  <c r="AK70" i="54"/>
  <c r="AJ72" i="54"/>
  <c r="AJ75" i="54"/>
  <c r="AU38" i="54"/>
  <c r="AU62" i="54"/>
  <c r="AU63" i="54"/>
  <c r="AU33" i="54"/>
  <c r="AT57" i="54"/>
  <c r="AT60" i="54"/>
  <c r="AK72" i="54"/>
  <c r="AK75" i="54"/>
  <c r="AL67" i="54"/>
  <c r="AL70" i="54"/>
  <c r="F39" i="54"/>
  <c r="P113" i="48"/>
  <c r="AT62" i="54"/>
  <c r="AT63" i="54"/>
  <c r="F64" i="54"/>
  <c r="O113" i="48"/>
  <c r="F58" i="54"/>
  <c r="T113" i="48"/>
  <c r="AM67" i="54"/>
  <c r="AM70" i="54"/>
  <c r="AL72" i="54"/>
  <c r="AL75" i="54"/>
  <c r="AN67" i="54"/>
  <c r="AN70" i="54"/>
  <c r="AM72" i="54"/>
  <c r="AM75" i="54"/>
  <c r="AO67" i="54"/>
  <c r="AO70" i="54"/>
  <c r="AN72" i="54"/>
  <c r="AN75" i="54"/>
  <c r="AP67" i="54"/>
  <c r="AP70" i="54"/>
  <c r="AO72" i="54"/>
  <c r="AO75" i="54"/>
  <c r="AQ67" i="54"/>
  <c r="AQ70" i="54"/>
  <c r="AP72" i="54"/>
  <c r="AP75" i="54"/>
  <c r="AQ72" i="54"/>
  <c r="AQ75" i="54"/>
  <c r="AR67" i="54"/>
  <c r="AR70" i="54"/>
  <c r="AR72" i="54"/>
  <c r="AR75" i="54"/>
  <c r="AS67" i="54"/>
  <c r="AS70" i="54"/>
  <c r="AT67" i="54"/>
  <c r="AT70" i="54"/>
  <c r="AS72" i="54"/>
  <c r="AS75" i="54"/>
  <c r="AT72" i="54"/>
  <c r="AT75" i="54"/>
  <c r="AU67" i="54"/>
  <c r="AU70" i="54"/>
  <c r="AU72" i="54"/>
  <c r="AU75" i="54"/>
  <c r="F76" i="54"/>
  <c r="O116" i="48"/>
  <c r="E3" i="33"/>
  <c r="F3" i="33"/>
  <c r="E4" i="33"/>
  <c r="F4" i="33"/>
  <c r="E8" i="33"/>
  <c r="F8" i="33"/>
  <c r="G8" i="33"/>
  <c r="E9" i="33"/>
  <c r="F9" i="33"/>
  <c r="G9" i="33"/>
  <c r="E10" i="33"/>
  <c r="F10" i="33"/>
  <c r="G10" i="33"/>
  <c r="E11" i="33"/>
  <c r="F11" i="33"/>
  <c r="G11" i="33"/>
  <c r="E14" i="33"/>
  <c r="F14" i="33"/>
  <c r="G14" i="33"/>
  <c r="E15" i="33"/>
  <c r="F15" i="33"/>
  <c r="G15" i="33"/>
  <c r="E16" i="33"/>
  <c r="F16" i="33"/>
  <c r="G16" i="33"/>
  <c r="E17" i="33"/>
  <c r="F17" i="33"/>
  <c r="G17" i="33"/>
  <c r="E18" i="33"/>
  <c r="F18" i="33"/>
  <c r="G18" i="33"/>
  <c r="AL219" i="33"/>
  <c r="AB225" i="33"/>
  <c r="AK225" i="33"/>
  <c r="AB238" i="33"/>
  <c r="AK238" i="33"/>
  <c r="AB251" i="33"/>
  <c r="AK251" i="33"/>
  <c r="AB265" i="33"/>
  <c r="AK265" i="33"/>
  <c r="AB278" i="33"/>
  <c r="AK278" i="33"/>
  <c r="AB291" i="33"/>
  <c r="AK291" i="33"/>
  <c r="AB306" i="33"/>
  <c r="AK306" i="33"/>
  <c r="AB321" i="33"/>
  <c r="AK321" i="33"/>
  <c r="F58" i="31"/>
  <c r="G58" i="31"/>
  <c r="H58" i="31"/>
  <c r="I58" i="31"/>
  <c r="J58" i="31"/>
  <c r="M58" i="31"/>
  <c r="N58" i="31"/>
  <c r="O58" i="31"/>
  <c r="P58" i="31"/>
  <c r="Q58" i="31"/>
  <c r="R58" i="31"/>
  <c r="S58" i="31"/>
  <c r="T58" i="31"/>
  <c r="U58" i="31"/>
  <c r="Y58" i="31"/>
  <c r="Z58" i="31"/>
  <c r="AA58" i="31"/>
  <c r="AB58" i="31"/>
  <c r="AC58" i="31"/>
  <c r="AD58" i="31"/>
  <c r="AE58" i="31"/>
  <c r="AF58" i="31"/>
  <c r="AG58" i="31"/>
  <c r="AJ58" i="31"/>
  <c r="AK58" i="31"/>
  <c r="AL58" i="31"/>
  <c r="AM58" i="31"/>
  <c r="AN58" i="31"/>
  <c r="AO58" i="31"/>
  <c r="AP58" i="31"/>
  <c r="AQ58" i="31"/>
  <c r="AR58" i="31"/>
  <c r="AU58" i="31"/>
  <c r="AV58" i="31"/>
  <c r="AW58" i="31"/>
  <c r="AX58" i="31"/>
  <c r="AY58" i="31"/>
  <c r="AZ58" i="31"/>
  <c r="BA58" i="31"/>
  <c r="BB58" i="31"/>
  <c r="BC58" i="31"/>
  <c r="F63" i="31"/>
  <c r="G63" i="31"/>
  <c r="H63" i="31"/>
  <c r="I63" i="31"/>
  <c r="J63" i="31"/>
  <c r="M63" i="31"/>
  <c r="N63" i="31"/>
  <c r="O63" i="31"/>
  <c r="P63" i="31"/>
  <c r="Q63" i="31"/>
  <c r="R63" i="31"/>
  <c r="S63" i="31"/>
  <c r="T63" i="31"/>
  <c r="U63" i="31"/>
  <c r="Y63" i="31"/>
  <c r="Z63" i="31"/>
  <c r="AA63" i="31"/>
  <c r="AB63" i="31"/>
  <c r="AC63" i="31"/>
  <c r="AD63" i="31"/>
  <c r="AE63" i="31"/>
  <c r="AF63" i="31"/>
  <c r="AG63" i="31"/>
  <c r="AJ63" i="31"/>
  <c r="AK63" i="31"/>
  <c r="AL63" i="31"/>
  <c r="AM63" i="31"/>
  <c r="AN63" i="31"/>
  <c r="AO63" i="31"/>
  <c r="AP63" i="31"/>
  <c r="AQ63" i="31"/>
  <c r="AR63" i="31"/>
  <c r="AU63" i="31"/>
  <c r="AV63" i="31"/>
  <c r="AW63" i="31"/>
  <c r="AX63" i="31"/>
  <c r="AY63" i="31"/>
  <c r="AZ63" i="31"/>
  <c r="BA63" i="31"/>
  <c r="BB63" i="31"/>
  <c r="BC63" i="31"/>
  <c r="F64" i="31"/>
  <c r="G64" i="31"/>
  <c r="H64" i="31"/>
  <c r="I64" i="31"/>
  <c r="J64" i="31"/>
  <c r="M64" i="31"/>
  <c r="N64" i="31"/>
  <c r="O64" i="31"/>
  <c r="P64" i="31"/>
  <c r="Q64" i="31"/>
  <c r="R64" i="31"/>
  <c r="S64" i="31"/>
  <c r="T64" i="31"/>
  <c r="U64" i="31"/>
  <c r="X64" i="31"/>
  <c r="Y64" i="31"/>
  <c r="Z64" i="31"/>
  <c r="AA64" i="31"/>
  <c r="AB64" i="31"/>
  <c r="AC64" i="31"/>
  <c r="AD64" i="31"/>
  <c r="AE64" i="31"/>
  <c r="AF64" i="31"/>
  <c r="AG64" i="31"/>
  <c r="AI64" i="31"/>
  <c r="AJ64" i="31"/>
  <c r="AK64" i="31"/>
  <c r="AL64" i="31"/>
  <c r="AM64" i="31"/>
  <c r="AN64" i="31"/>
  <c r="AO64" i="31"/>
  <c r="AP64" i="31"/>
  <c r="AQ64" i="31"/>
  <c r="AR64" i="31"/>
  <c r="AT64" i="31"/>
  <c r="AU64" i="31"/>
  <c r="AV64" i="31"/>
  <c r="AW64" i="31"/>
  <c r="AX64" i="31"/>
  <c r="AY64" i="31"/>
  <c r="AZ64" i="31"/>
  <c r="BA64" i="31"/>
  <c r="BB64" i="31"/>
  <c r="BC64" i="31"/>
  <c r="F67" i="31"/>
  <c r="G67" i="31"/>
  <c r="H67" i="31"/>
  <c r="I67" i="31"/>
  <c r="J67" i="31"/>
  <c r="M67" i="31"/>
  <c r="N67" i="31"/>
  <c r="O67" i="31"/>
  <c r="P67" i="31"/>
  <c r="Q67" i="31"/>
  <c r="R67" i="31"/>
  <c r="S67" i="31"/>
  <c r="T67" i="31"/>
  <c r="U67" i="31"/>
  <c r="Y67" i="31"/>
  <c r="Z67" i="31"/>
  <c r="AA67" i="31"/>
  <c r="AB67" i="31"/>
  <c r="AC67" i="31"/>
  <c r="AD67" i="31"/>
  <c r="AE67" i="31"/>
  <c r="AF67" i="31"/>
  <c r="AG67" i="31"/>
  <c r="AJ67" i="31"/>
  <c r="AK67" i="31"/>
  <c r="AL67" i="31"/>
  <c r="AM67" i="31"/>
  <c r="AN67" i="31"/>
  <c r="AO67" i="31"/>
  <c r="AP67" i="31"/>
  <c r="AQ67" i="31"/>
  <c r="AR67" i="31"/>
  <c r="AU67" i="31"/>
  <c r="AV67" i="31"/>
  <c r="AW67" i="31"/>
  <c r="AX67" i="31"/>
  <c r="AY67" i="31"/>
  <c r="AZ67" i="31"/>
  <c r="BA67" i="31"/>
  <c r="BB67" i="31"/>
  <c r="BC67" i="31"/>
  <c r="F68" i="31"/>
  <c r="G68" i="31"/>
  <c r="H68" i="31"/>
  <c r="I68" i="31"/>
  <c r="J68" i="31"/>
  <c r="M68" i="31"/>
  <c r="N68" i="31"/>
  <c r="O68" i="31"/>
  <c r="P68" i="31"/>
  <c r="Q68" i="31"/>
  <c r="R68" i="31"/>
  <c r="S68" i="31"/>
  <c r="T68" i="31"/>
  <c r="U68" i="31"/>
  <c r="Y68" i="31"/>
  <c r="Z68" i="31"/>
  <c r="AA68" i="31"/>
  <c r="AB68" i="31"/>
  <c r="AC68" i="31"/>
  <c r="AD68" i="31"/>
  <c r="AE68" i="31"/>
  <c r="AF68" i="31"/>
  <c r="AG68" i="31"/>
  <c r="AJ68" i="31"/>
  <c r="AK68" i="31"/>
  <c r="AL68" i="31"/>
  <c r="AM68" i="31"/>
  <c r="AN68" i="31"/>
  <c r="AO68" i="31"/>
  <c r="AP68" i="31"/>
  <c r="AQ68" i="31"/>
  <c r="AR68" i="31"/>
  <c r="AU68" i="31"/>
  <c r="AV68" i="31"/>
  <c r="AW68" i="31"/>
  <c r="AX68" i="31"/>
  <c r="AY68" i="31"/>
  <c r="AZ68" i="31"/>
  <c r="BA68" i="31"/>
  <c r="BB68" i="31"/>
  <c r="BC68" i="31"/>
  <c r="F69" i="31"/>
  <c r="G69" i="31"/>
  <c r="H69" i="31"/>
  <c r="I69" i="31"/>
  <c r="J69" i="31"/>
  <c r="M69" i="31"/>
  <c r="N69" i="31"/>
  <c r="O69" i="31"/>
  <c r="P69" i="31"/>
  <c r="Q69" i="31"/>
  <c r="R69" i="31"/>
  <c r="S69" i="31"/>
  <c r="T69" i="31"/>
  <c r="U69" i="31"/>
  <c r="Y69" i="31"/>
  <c r="Z69" i="31"/>
  <c r="AA69" i="31"/>
  <c r="AB69" i="31"/>
  <c r="AC69" i="31"/>
  <c r="AD69" i="31"/>
  <c r="AE69" i="31"/>
  <c r="AF69" i="31"/>
  <c r="AG69" i="31"/>
  <c r="AJ69" i="31"/>
  <c r="AK69" i="31"/>
  <c r="AL69" i="31"/>
  <c r="AM69" i="31"/>
  <c r="AN69" i="31"/>
  <c r="AO69" i="31"/>
  <c r="AP69" i="31"/>
  <c r="AQ69" i="31"/>
  <c r="AR69" i="31"/>
  <c r="AU69" i="31"/>
  <c r="AV69" i="31"/>
  <c r="AW69" i="31"/>
  <c r="AX69" i="31"/>
  <c r="AY69" i="31"/>
  <c r="AZ69" i="31"/>
  <c r="BA69" i="31"/>
  <c r="BB69" i="31"/>
  <c r="BC69" i="31"/>
  <c r="F70" i="31"/>
  <c r="G70" i="31"/>
  <c r="H70" i="31"/>
  <c r="I70" i="31"/>
  <c r="J70" i="31"/>
  <c r="M70" i="31"/>
  <c r="N70" i="31"/>
  <c r="O70" i="31"/>
  <c r="P70" i="31"/>
  <c r="Q70" i="31"/>
  <c r="R70" i="31"/>
  <c r="S70" i="31"/>
  <c r="T70" i="31"/>
  <c r="U70" i="31"/>
  <c r="Y70" i="31"/>
  <c r="Z70" i="31"/>
  <c r="AA70" i="31"/>
  <c r="AB70" i="31"/>
  <c r="AC70" i="31"/>
  <c r="AD70" i="31"/>
  <c r="AE70" i="31"/>
  <c r="AF70" i="31"/>
  <c r="AG70" i="31"/>
  <c r="AJ70" i="31"/>
  <c r="AK70" i="31"/>
  <c r="AL70" i="31"/>
  <c r="AM70" i="31"/>
  <c r="AN70" i="31"/>
  <c r="AO70" i="31"/>
  <c r="AP70" i="31"/>
  <c r="AQ70" i="31"/>
  <c r="AR70" i="31"/>
  <c r="AU70" i="31"/>
  <c r="AV70" i="31"/>
  <c r="AW70" i="31"/>
  <c r="AX70" i="31"/>
  <c r="AY70" i="31"/>
  <c r="AZ70" i="31"/>
  <c r="BA70" i="31"/>
  <c r="BB70" i="31"/>
  <c r="BC70" i="31"/>
  <c r="F71" i="31"/>
  <c r="G71" i="31"/>
  <c r="H71" i="31"/>
  <c r="I71" i="31"/>
  <c r="J71" i="31"/>
  <c r="M71" i="31"/>
  <c r="N71" i="31"/>
  <c r="O71" i="31"/>
  <c r="P71" i="31"/>
  <c r="Q71" i="31"/>
  <c r="R71" i="31"/>
  <c r="S71" i="31"/>
  <c r="T71" i="31"/>
  <c r="U71" i="31"/>
  <c r="X71" i="31"/>
  <c r="Y71" i="31"/>
  <c r="Z71" i="31"/>
  <c r="AA71" i="31"/>
  <c r="AB71" i="31"/>
  <c r="AC71" i="31"/>
  <c r="AD71" i="31"/>
  <c r="AE71" i="31"/>
  <c r="AF71" i="31"/>
  <c r="AG71" i="31"/>
  <c r="AI71" i="31"/>
  <c r="AJ71" i="31"/>
  <c r="AK71" i="31"/>
  <c r="AL71" i="31"/>
  <c r="AM71" i="31"/>
  <c r="AN71" i="31"/>
  <c r="AO71" i="31"/>
  <c r="AP71" i="31"/>
  <c r="AQ71" i="31"/>
  <c r="AR71" i="31"/>
  <c r="AT71" i="31"/>
  <c r="AU71" i="31"/>
  <c r="AV71" i="31"/>
  <c r="AW71" i="31"/>
  <c r="AX71" i="31"/>
  <c r="AY71" i="31"/>
  <c r="AZ71" i="31"/>
  <c r="BA71" i="31"/>
  <c r="BB71" i="31"/>
  <c r="BC71" i="31"/>
  <c r="F79" i="31"/>
  <c r="G79" i="31"/>
  <c r="H79" i="31"/>
  <c r="I79" i="31"/>
  <c r="J79" i="31"/>
  <c r="M79" i="31"/>
  <c r="N79" i="31"/>
  <c r="O79" i="31"/>
  <c r="P79" i="31"/>
  <c r="Q79" i="31"/>
  <c r="R79" i="31"/>
  <c r="S79" i="31"/>
  <c r="T79" i="31"/>
  <c r="U79" i="31"/>
  <c r="Y79" i="31"/>
  <c r="Z79" i="31"/>
  <c r="AA79" i="31"/>
  <c r="AB79" i="31"/>
  <c r="AC79" i="31"/>
  <c r="AD79" i="31"/>
  <c r="AE79" i="31"/>
  <c r="AF79" i="31"/>
  <c r="AG79" i="31"/>
  <c r="AJ79" i="31"/>
  <c r="AK79" i="31"/>
  <c r="AL79" i="31"/>
  <c r="AM79" i="31"/>
  <c r="AN79" i="31"/>
  <c r="AO79" i="31"/>
  <c r="AP79" i="31"/>
  <c r="AQ79" i="31"/>
  <c r="AR79" i="31"/>
  <c r="AU79" i="31"/>
  <c r="AV79" i="31"/>
  <c r="AW79" i="31"/>
  <c r="AX79" i="31"/>
  <c r="AY79" i="31"/>
  <c r="AZ79" i="31"/>
  <c r="BA79" i="31"/>
  <c r="BB79" i="31"/>
  <c r="BC79" i="31"/>
  <c r="F80" i="31"/>
  <c r="G80" i="31"/>
  <c r="H80" i="31"/>
  <c r="I80" i="31"/>
  <c r="J80" i="31"/>
  <c r="M80" i="31"/>
  <c r="N80" i="31"/>
  <c r="O80" i="31"/>
  <c r="P80" i="31"/>
  <c r="Q80" i="31"/>
  <c r="R80" i="31"/>
  <c r="S80" i="31"/>
  <c r="T80" i="31"/>
  <c r="U80" i="31"/>
  <c r="X80" i="31"/>
  <c r="Y80" i="31"/>
  <c r="Z80" i="31"/>
  <c r="AA80" i="31"/>
  <c r="AB80" i="31"/>
  <c r="AC80" i="31"/>
  <c r="AD80" i="31"/>
  <c r="AE80" i="31"/>
  <c r="AF80" i="31"/>
  <c r="AG80" i="31"/>
  <c r="AI80" i="31"/>
  <c r="AJ80" i="31"/>
  <c r="AK80" i="31"/>
  <c r="AL80" i="31"/>
  <c r="AM80" i="31"/>
  <c r="AN80" i="31"/>
  <c r="AO80" i="31"/>
  <c r="AP80" i="31"/>
  <c r="AQ80" i="31"/>
  <c r="AR80" i="31"/>
  <c r="AT80" i="31"/>
  <c r="AU80" i="31"/>
  <c r="AV80" i="31"/>
  <c r="AW80" i="31"/>
  <c r="AX80" i="31"/>
  <c r="AY80" i="31"/>
  <c r="AZ80" i="31"/>
  <c r="BA80" i="31"/>
  <c r="BB80" i="31"/>
  <c r="BC80" i="31"/>
  <c r="F82" i="31"/>
  <c r="G82" i="31"/>
  <c r="H82" i="31"/>
  <c r="I82" i="31"/>
  <c r="J82" i="31"/>
  <c r="M82" i="31"/>
  <c r="N82" i="31"/>
  <c r="O82" i="31"/>
  <c r="P82" i="31"/>
  <c r="Q82" i="31"/>
  <c r="R82" i="31"/>
  <c r="S82" i="31"/>
  <c r="T82" i="31"/>
  <c r="U82" i="31"/>
  <c r="X82" i="31"/>
  <c r="Y82" i="31"/>
  <c r="Z82" i="31"/>
  <c r="AA82" i="31"/>
  <c r="AB82" i="31"/>
  <c r="AC82" i="31"/>
  <c r="AD82" i="31"/>
  <c r="AE82" i="31"/>
  <c r="AF82" i="31"/>
  <c r="AG82" i="31"/>
  <c r="AI82" i="31"/>
  <c r="AJ82" i="31"/>
  <c r="AK82" i="31"/>
  <c r="AL82" i="31"/>
  <c r="AM82" i="31"/>
  <c r="AN82" i="31"/>
  <c r="AO82" i="31"/>
  <c r="AP82" i="31"/>
  <c r="AQ82" i="31"/>
  <c r="AR82" i="31"/>
  <c r="AT82" i="31"/>
  <c r="AU82" i="31"/>
  <c r="AV82" i="31"/>
  <c r="AW82" i="31"/>
  <c r="AX82" i="31"/>
  <c r="AY82" i="31"/>
  <c r="AZ82" i="31"/>
  <c r="BA82" i="31"/>
  <c r="BB82" i="31"/>
  <c r="BC82" i="31"/>
  <c r="F83" i="31"/>
  <c r="G83" i="31"/>
  <c r="H83" i="31"/>
  <c r="I83" i="31"/>
  <c r="J83" i="31"/>
  <c r="M85" i="31"/>
  <c r="N85" i="31"/>
  <c r="O85" i="31"/>
  <c r="P85" i="31"/>
  <c r="Q85" i="31"/>
  <c r="R85" i="31"/>
  <c r="S85" i="31"/>
  <c r="T85" i="31"/>
  <c r="U85" i="31"/>
  <c r="M87" i="31"/>
  <c r="N87" i="31"/>
  <c r="P87" i="31"/>
  <c r="T87" i="31"/>
  <c r="U87" i="31"/>
  <c r="D3" i="42"/>
  <c r="F3" i="42"/>
  <c r="G3" i="42"/>
  <c r="H3" i="42"/>
  <c r="I3" i="42"/>
  <c r="J3" i="42"/>
  <c r="K3" i="42"/>
  <c r="L3" i="42"/>
  <c r="M3" i="42"/>
  <c r="N3" i="42"/>
  <c r="O3" i="42"/>
  <c r="P3" i="42"/>
  <c r="Q3" i="42"/>
  <c r="R3" i="42"/>
  <c r="S3" i="42"/>
  <c r="T3" i="42"/>
  <c r="U3" i="42"/>
  <c r="V3" i="42"/>
  <c r="W3" i="42"/>
  <c r="X3" i="42"/>
  <c r="Y3" i="42"/>
  <c r="Z3" i="42"/>
  <c r="D4" i="42"/>
  <c r="H4" i="42"/>
  <c r="I4" i="42"/>
  <c r="J4" i="42"/>
  <c r="K4" i="42"/>
  <c r="L4" i="42"/>
  <c r="M4" i="42"/>
  <c r="N4" i="42"/>
  <c r="O4" i="42"/>
  <c r="P4" i="42"/>
  <c r="Q4" i="42"/>
  <c r="R4" i="42"/>
  <c r="S4" i="42"/>
  <c r="T4" i="42"/>
  <c r="U4" i="42"/>
  <c r="V4" i="42"/>
  <c r="W4" i="42"/>
  <c r="X4" i="42"/>
  <c r="Y4" i="42"/>
  <c r="Z4" i="42"/>
  <c r="D5" i="42"/>
  <c r="J5" i="42"/>
  <c r="K5" i="42"/>
  <c r="L5" i="42"/>
  <c r="M5" i="42"/>
  <c r="N5" i="42"/>
  <c r="O5" i="42"/>
  <c r="P5" i="42"/>
  <c r="Q5" i="42"/>
  <c r="R5" i="42"/>
  <c r="S5" i="42"/>
  <c r="T5" i="42"/>
  <c r="U5" i="42"/>
  <c r="V5" i="42"/>
  <c r="W5" i="42"/>
  <c r="X5" i="42"/>
  <c r="Y5" i="42"/>
  <c r="Z5" i="42"/>
  <c r="F6" i="42"/>
  <c r="G6" i="42"/>
  <c r="H6" i="42"/>
  <c r="I6" i="42"/>
  <c r="J6" i="42"/>
  <c r="K6" i="42"/>
  <c r="L6" i="42"/>
  <c r="M6" i="42"/>
  <c r="N6" i="42"/>
  <c r="O6" i="42"/>
  <c r="P6" i="42"/>
  <c r="Q6" i="42"/>
  <c r="R6" i="42"/>
  <c r="S6" i="42"/>
  <c r="T6" i="42"/>
  <c r="U6" i="42"/>
  <c r="V6" i="42"/>
  <c r="W6" i="42"/>
  <c r="X6" i="42"/>
  <c r="Y6" i="42"/>
  <c r="Z6" i="42"/>
  <c r="D8" i="42"/>
  <c r="D9" i="42"/>
  <c r="D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D13" i="42"/>
  <c r="H13" i="42"/>
  <c r="I13" i="42"/>
  <c r="J13" i="42"/>
  <c r="K13" i="42"/>
  <c r="L13" i="42"/>
  <c r="M13" i="42"/>
  <c r="N13" i="42"/>
  <c r="O13" i="42"/>
  <c r="P13" i="42"/>
  <c r="Q13" i="42"/>
  <c r="R13" i="42"/>
  <c r="S13" i="42"/>
  <c r="T13" i="42"/>
  <c r="U13" i="42"/>
  <c r="V13" i="42"/>
  <c r="W13" i="42"/>
  <c r="X13" i="42"/>
  <c r="Y13" i="42"/>
  <c r="Z13" i="42"/>
  <c r="D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F15" i="42"/>
  <c r="G15" i="42"/>
  <c r="H15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D17" i="42"/>
  <c r="D18" i="42"/>
  <c r="D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D22" i="42"/>
  <c r="H22" i="42"/>
  <c r="I22" i="42"/>
  <c r="J22" i="42"/>
  <c r="K22" i="42"/>
  <c r="L22" i="42"/>
  <c r="M22" i="42"/>
  <c r="N22" i="42"/>
  <c r="O22" i="42"/>
  <c r="P22" i="42"/>
  <c r="Q22" i="42"/>
  <c r="R22" i="42"/>
  <c r="S22" i="42"/>
  <c r="T22" i="42"/>
  <c r="U22" i="42"/>
  <c r="V22" i="42"/>
  <c r="W22" i="42"/>
  <c r="X22" i="42"/>
  <c r="Y22" i="42"/>
  <c r="Z22" i="42"/>
  <c r="D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F24" i="42"/>
  <c r="G24" i="42"/>
  <c r="H24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D26" i="42"/>
  <c r="D27" i="42"/>
  <c r="D30" i="42"/>
  <c r="F30" i="42"/>
  <c r="G30" i="42"/>
  <c r="H30" i="42"/>
  <c r="I30" i="42"/>
  <c r="J30" i="42"/>
  <c r="K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D31" i="42"/>
  <c r="H31" i="42"/>
  <c r="I31" i="42"/>
  <c r="J31" i="42"/>
  <c r="K31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D32" i="42"/>
  <c r="J32" i="42"/>
  <c r="K32" i="42"/>
  <c r="L32" i="42"/>
  <c r="M32" i="42"/>
  <c r="N32" i="42"/>
  <c r="O32" i="42"/>
  <c r="P32" i="42"/>
  <c r="Q32" i="42"/>
  <c r="R32" i="42"/>
  <c r="S32" i="42"/>
  <c r="T32" i="42"/>
  <c r="U32" i="42"/>
  <c r="V32" i="42"/>
  <c r="W32" i="42"/>
  <c r="X32" i="42"/>
  <c r="Y32" i="42"/>
  <c r="Z32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D35" i="42"/>
  <c r="D36" i="42"/>
  <c r="F39" i="42"/>
  <c r="G39" i="42"/>
  <c r="H39" i="42"/>
  <c r="I39" i="42"/>
  <c r="J39" i="42"/>
  <c r="K39" i="42"/>
  <c r="L39" i="42"/>
  <c r="M39" i="42"/>
  <c r="N39" i="42"/>
  <c r="O39" i="42"/>
  <c r="P39" i="42"/>
  <c r="Q39" i="42"/>
  <c r="R39" i="42"/>
  <c r="S39" i="42"/>
  <c r="T39" i="42"/>
  <c r="U39" i="42"/>
  <c r="V39" i="42"/>
  <c r="W39" i="42"/>
  <c r="X39" i="42"/>
  <c r="Y39" i="42"/>
  <c r="Z39" i="42"/>
  <c r="F40" i="42"/>
  <c r="G40" i="42"/>
  <c r="H40" i="42"/>
  <c r="I40" i="42"/>
  <c r="J40" i="42"/>
  <c r="K40" i="42"/>
  <c r="L40" i="42"/>
  <c r="M40" i="42"/>
  <c r="N40" i="42"/>
  <c r="O40" i="42"/>
  <c r="P40" i="42"/>
  <c r="Q40" i="42"/>
  <c r="R40" i="42"/>
  <c r="S40" i="42"/>
  <c r="T40" i="42"/>
  <c r="U40" i="42"/>
  <c r="V40" i="42"/>
  <c r="W40" i="42"/>
  <c r="X40" i="42"/>
  <c r="Y40" i="42"/>
  <c r="Z40" i="42"/>
  <c r="H41" i="42"/>
  <c r="I41" i="42"/>
  <c r="J41" i="42"/>
  <c r="K41" i="42"/>
  <c r="L41" i="42"/>
  <c r="M41" i="42"/>
  <c r="N41" i="42"/>
  <c r="O41" i="42"/>
  <c r="P41" i="42"/>
  <c r="Q41" i="42"/>
  <c r="R41" i="42"/>
  <c r="S41" i="42"/>
  <c r="T41" i="42"/>
  <c r="U41" i="42"/>
  <c r="V41" i="42"/>
  <c r="W41" i="42"/>
  <c r="X41" i="42"/>
  <c r="Y41" i="42"/>
  <c r="Z41" i="42"/>
  <c r="H42" i="42"/>
  <c r="I42" i="42"/>
  <c r="J42" i="42"/>
  <c r="K42" i="42"/>
  <c r="L42" i="42"/>
  <c r="M42" i="42"/>
  <c r="N42" i="42"/>
  <c r="O42" i="42"/>
  <c r="P42" i="42"/>
  <c r="Q42" i="42"/>
  <c r="R42" i="42"/>
  <c r="S42" i="42"/>
  <c r="T42" i="42"/>
  <c r="U42" i="42"/>
  <c r="V42" i="42"/>
  <c r="W42" i="42"/>
  <c r="X42" i="42"/>
  <c r="Y42" i="42"/>
  <c r="Z42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J44" i="42"/>
  <c r="K44" i="42"/>
  <c r="L44" i="42"/>
  <c r="M44" i="42"/>
  <c r="N44" i="42"/>
  <c r="O44" i="42"/>
  <c r="P44" i="42"/>
  <c r="Q44" i="42"/>
  <c r="R44" i="42"/>
  <c r="S44" i="42"/>
  <c r="T44" i="42"/>
  <c r="U44" i="42"/>
  <c r="V44" i="42"/>
  <c r="W44" i="42"/>
  <c r="X44" i="42"/>
  <c r="Y44" i="42"/>
  <c r="Z44" i="42"/>
  <c r="F45" i="42"/>
  <c r="G45" i="42"/>
  <c r="H45" i="42"/>
  <c r="I45" i="42"/>
  <c r="J45" i="42"/>
  <c r="K45" i="42"/>
  <c r="L45" i="42"/>
  <c r="M45" i="42"/>
  <c r="N45" i="42"/>
  <c r="O45" i="42"/>
  <c r="P45" i="42"/>
  <c r="Q45" i="42"/>
  <c r="R45" i="42"/>
  <c r="S45" i="42"/>
  <c r="T45" i="42"/>
  <c r="U45" i="42"/>
  <c r="V45" i="42"/>
  <c r="W45" i="42"/>
  <c r="X45" i="42"/>
  <c r="Y45" i="42"/>
  <c r="Z45" i="42"/>
  <c r="F46" i="42"/>
  <c r="G46" i="42"/>
  <c r="H46" i="42"/>
  <c r="I46" i="42"/>
  <c r="J46" i="42"/>
  <c r="K46" i="42"/>
  <c r="L46" i="42"/>
  <c r="M46" i="42"/>
  <c r="N46" i="42"/>
  <c r="O46" i="42"/>
  <c r="P46" i="42"/>
  <c r="Q46" i="42"/>
  <c r="R46" i="42"/>
  <c r="S46" i="42"/>
  <c r="T46" i="42"/>
  <c r="U46" i="42"/>
  <c r="V46" i="42"/>
  <c r="W46" i="42"/>
  <c r="X46" i="42"/>
  <c r="Y46" i="42"/>
  <c r="Z46" i="42"/>
  <c r="F48" i="42"/>
  <c r="G48" i="42"/>
  <c r="H48" i="42"/>
  <c r="I48" i="42"/>
  <c r="J48" i="42"/>
  <c r="K48" i="42"/>
  <c r="L48" i="42"/>
  <c r="M48" i="42"/>
  <c r="N48" i="42"/>
  <c r="O48" i="42"/>
  <c r="P48" i="42"/>
  <c r="Q48" i="42"/>
  <c r="R48" i="42"/>
  <c r="S48" i="42"/>
  <c r="T48" i="42"/>
  <c r="U48" i="42"/>
  <c r="V48" i="42"/>
  <c r="W48" i="42"/>
  <c r="X48" i="42"/>
  <c r="Y48" i="42"/>
  <c r="Z48" i="42"/>
  <c r="H49" i="42"/>
  <c r="I49" i="42"/>
  <c r="J49" i="42"/>
  <c r="K49" i="42"/>
  <c r="L49" i="42"/>
  <c r="M49" i="42"/>
  <c r="N49" i="42"/>
  <c r="O49" i="42"/>
  <c r="P49" i="42"/>
  <c r="Q49" i="42"/>
  <c r="R49" i="42"/>
  <c r="S49" i="42"/>
  <c r="T49" i="42"/>
  <c r="U49" i="42"/>
  <c r="V49" i="42"/>
  <c r="W49" i="42"/>
  <c r="X49" i="42"/>
  <c r="Y49" i="42"/>
  <c r="Z49" i="42"/>
  <c r="J50" i="42"/>
  <c r="K50" i="42"/>
  <c r="L50" i="42"/>
  <c r="M50" i="42"/>
  <c r="N50" i="42"/>
  <c r="O50" i="42"/>
  <c r="P50" i="42"/>
  <c r="Q50" i="42"/>
  <c r="R50" i="42"/>
  <c r="S50" i="42"/>
  <c r="T50" i="42"/>
  <c r="U50" i="42"/>
  <c r="V50" i="42"/>
  <c r="W50" i="42"/>
  <c r="X50" i="42"/>
  <c r="Y50" i="42"/>
  <c r="Z50" i="42"/>
  <c r="F51" i="42"/>
  <c r="G51" i="42"/>
  <c r="H51" i="42"/>
  <c r="I51" i="42"/>
  <c r="J51" i="42"/>
  <c r="K51" i="42"/>
  <c r="L51" i="42"/>
  <c r="M51" i="42"/>
  <c r="N51" i="42"/>
  <c r="O51" i="42"/>
  <c r="P51" i="42"/>
  <c r="Q51" i="42"/>
  <c r="R51" i="42"/>
  <c r="S51" i="42"/>
  <c r="T51" i="42"/>
  <c r="U51" i="42"/>
  <c r="V51" i="42"/>
  <c r="W51" i="42"/>
  <c r="X51" i="42"/>
  <c r="Y51" i="42"/>
  <c r="Z51" i="42"/>
  <c r="C55" i="42"/>
  <c r="D55" i="42"/>
  <c r="E55" i="42"/>
  <c r="C56" i="42"/>
  <c r="D56" i="42"/>
  <c r="E56" i="42"/>
  <c r="C57" i="42"/>
  <c r="D57" i="42"/>
  <c r="E57" i="42"/>
  <c r="C58" i="42"/>
  <c r="D58" i="42"/>
  <c r="E58" i="42"/>
  <c r="F3" i="39"/>
  <c r="G3" i="39"/>
  <c r="H3" i="39"/>
  <c r="I3" i="39"/>
  <c r="F4" i="39"/>
  <c r="G4" i="39"/>
  <c r="H4" i="39"/>
  <c r="E6" i="39"/>
  <c r="F6" i="39"/>
  <c r="G6" i="39"/>
  <c r="H6" i="39"/>
  <c r="J6" i="39"/>
  <c r="L6" i="39"/>
  <c r="N6" i="39"/>
  <c r="E7" i="39"/>
  <c r="F7" i="39"/>
  <c r="G7" i="39"/>
  <c r="H7" i="39"/>
  <c r="J7" i="39"/>
  <c r="L7" i="39"/>
  <c r="N7" i="39"/>
  <c r="E8" i="39"/>
  <c r="F8" i="39"/>
  <c r="G8" i="39"/>
  <c r="H8" i="39"/>
  <c r="J8" i="39"/>
  <c r="L8" i="39"/>
  <c r="N8" i="39"/>
  <c r="E9" i="39"/>
  <c r="F9" i="39"/>
  <c r="G9" i="39"/>
  <c r="H9" i="39"/>
  <c r="J9" i="39"/>
  <c r="L9" i="39"/>
  <c r="N9" i="39"/>
  <c r="E10" i="39"/>
  <c r="F10" i="39"/>
  <c r="G10" i="39"/>
  <c r="H10" i="39"/>
  <c r="J10" i="39"/>
  <c r="L10" i="39"/>
  <c r="N10" i="39"/>
  <c r="E11" i="39"/>
  <c r="F11" i="39"/>
  <c r="G11" i="39"/>
  <c r="H11" i="39"/>
  <c r="J11" i="39"/>
  <c r="L11" i="39"/>
  <c r="N11" i="39"/>
  <c r="E14" i="39"/>
  <c r="F14" i="39"/>
  <c r="G14" i="39"/>
  <c r="H14" i="39"/>
  <c r="E17" i="39"/>
  <c r="F17" i="39"/>
  <c r="G17" i="39"/>
  <c r="H17" i="39"/>
  <c r="I17" i="39"/>
  <c r="K17" i="39"/>
  <c r="M17" i="39"/>
  <c r="E18" i="39"/>
  <c r="F18" i="39"/>
  <c r="G18" i="39"/>
  <c r="H18" i="39"/>
  <c r="I18" i="39"/>
  <c r="K18" i="39"/>
  <c r="M18" i="39"/>
  <c r="E19" i="39"/>
  <c r="F19" i="39"/>
  <c r="G19" i="39"/>
  <c r="H19" i="39"/>
  <c r="I19" i="39"/>
  <c r="K19" i="39"/>
  <c r="M19" i="39"/>
  <c r="E20" i="39"/>
  <c r="F20" i="39"/>
  <c r="G20" i="39"/>
  <c r="H20" i="39"/>
  <c r="I20" i="39"/>
  <c r="K20" i="39"/>
  <c r="M20" i="39"/>
  <c r="E21" i="39"/>
  <c r="F21" i="39"/>
  <c r="G21" i="39"/>
  <c r="H21" i="39"/>
  <c r="I21" i="39"/>
  <c r="K21" i="39"/>
  <c r="M21" i="39"/>
  <c r="E22" i="39"/>
  <c r="F22" i="39"/>
  <c r="G22" i="39"/>
  <c r="H22" i="39"/>
  <c r="I22" i="39"/>
  <c r="K22" i="39"/>
  <c r="M22" i="39"/>
  <c r="F25" i="39"/>
  <c r="G25" i="39"/>
  <c r="H25" i="39"/>
  <c r="E28" i="39"/>
  <c r="F28" i="39"/>
  <c r="G28" i="39"/>
  <c r="H28" i="39"/>
  <c r="E30" i="39"/>
  <c r="F30" i="39"/>
  <c r="G30" i="39"/>
  <c r="H30" i="39"/>
  <c r="F32" i="39"/>
  <c r="G32" i="39"/>
  <c r="H32" i="39"/>
  <c r="E33" i="39"/>
  <c r="F33" i="39"/>
  <c r="G33" i="39"/>
  <c r="H33" i="39"/>
  <c r="J33" i="39"/>
  <c r="L33" i="39"/>
  <c r="N33" i="39"/>
  <c r="E36" i="39"/>
  <c r="F36" i="39"/>
  <c r="G36" i="39"/>
  <c r="H36" i="39"/>
  <c r="E38" i="39"/>
  <c r="F38" i="39"/>
  <c r="G38" i="39"/>
  <c r="H38" i="39"/>
  <c r="I38" i="39"/>
  <c r="K38" i="39"/>
  <c r="M38" i="39"/>
  <c r="F41" i="39"/>
  <c r="G41" i="39"/>
  <c r="H41" i="39"/>
  <c r="E44" i="39"/>
  <c r="F44" i="39"/>
  <c r="G44" i="39"/>
  <c r="H44" i="39"/>
  <c r="E46" i="39"/>
  <c r="F46" i="39"/>
  <c r="G46" i="39"/>
  <c r="H46" i="39"/>
  <c r="F48" i="39"/>
  <c r="G48" i="39"/>
  <c r="H48" i="39"/>
  <c r="E49" i="39"/>
  <c r="F49" i="39"/>
  <c r="G49" i="39"/>
  <c r="H49" i="39"/>
  <c r="J49" i="39"/>
  <c r="L49" i="39"/>
  <c r="N49" i="39"/>
  <c r="E52" i="39"/>
  <c r="F52" i="39"/>
  <c r="G52" i="39"/>
  <c r="H52" i="39"/>
  <c r="E54" i="39"/>
  <c r="F54" i="39"/>
  <c r="G54" i="39"/>
  <c r="H54" i="39"/>
  <c r="I54" i="39"/>
  <c r="K54" i="39"/>
  <c r="M54" i="39"/>
  <c r="F57" i="39"/>
  <c r="G57" i="39"/>
  <c r="H57" i="39"/>
  <c r="E60" i="39"/>
  <c r="F60" i="39"/>
  <c r="G60" i="39"/>
  <c r="H60" i="39"/>
  <c r="E62" i="39"/>
  <c r="F62" i="39"/>
  <c r="G62" i="39"/>
  <c r="H62" i="39"/>
  <c r="E64" i="39"/>
  <c r="F64" i="39"/>
  <c r="G64" i="39"/>
  <c r="H64" i="39"/>
  <c r="I64" i="39"/>
  <c r="K64" i="39"/>
  <c r="M64" i="39"/>
  <c r="E65" i="39"/>
  <c r="F65" i="39"/>
  <c r="G65" i="39"/>
  <c r="H65" i="39"/>
  <c r="J65" i="39"/>
  <c r="L65" i="39"/>
  <c r="N65" i="39"/>
  <c r="E66" i="39"/>
  <c r="F66" i="39"/>
  <c r="G66" i="39"/>
  <c r="H66" i="39"/>
  <c r="E70" i="39"/>
  <c r="F70" i="39"/>
  <c r="E71" i="39"/>
  <c r="F71" i="39"/>
  <c r="E72" i="39"/>
  <c r="F72" i="39"/>
  <c r="E73" i="39"/>
  <c r="F73" i="39"/>
  <c r="E74" i="39"/>
  <c r="F74" i="39"/>
  <c r="E75" i="39"/>
  <c r="F75" i="39"/>
  <c r="E76" i="39"/>
  <c r="F76" i="39"/>
  <c r="E77" i="39"/>
  <c r="F77" i="39"/>
  <c r="E78" i="39"/>
  <c r="F78" i="39"/>
  <c r="E81" i="39"/>
  <c r="F81" i="39"/>
  <c r="E82" i="39"/>
  <c r="F82" i="39"/>
  <c r="E83" i="39"/>
  <c r="F83" i="39"/>
  <c r="E84" i="39"/>
  <c r="F84" i="39"/>
  <c r="E85" i="39"/>
  <c r="F85" i="39"/>
  <c r="E86" i="39"/>
  <c r="F86" i="39"/>
  <c r="E87" i="39"/>
  <c r="F87" i="39"/>
  <c r="E88" i="39"/>
  <c r="F88" i="39"/>
  <c r="E91" i="39"/>
  <c r="F91" i="39"/>
  <c r="G91" i="39"/>
  <c r="H91" i="39"/>
  <c r="E92" i="39"/>
  <c r="F92" i="39"/>
  <c r="G92" i="39"/>
  <c r="H92" i="39"/>
  <c r="E93" i="39"/>
  <c r="F93" i="39"/>
  <c r="G93" i="39"/>
  <c r="H93" i="39"/>
  <c r="E99" i="39"/>
  <c r="F99" i="39"/>
  <c r="E100" i="39"/>
  <c r="F100" i="39"/>
  <c r="E101" i="39"/>
  <c r="F101" i="39"/>
  <c r="E102" i="39"/>
  <c r="F102" i="39"/>
  <c r="E103" i="39"/>
  <c r="F103" i="39"/>
  <c r="E104" i="39"/>
  <c r="F104" i="39"/>
  <c r="E105" i="39"/>
  <c r="F105" i="39"/>
  <c r="E106" i="39"/>
  <c r="F106" i="39"/>
  <c r="E107" i="39"/>
  <c r="F107" i="39"/>
  <c r="E110" i="39"/>
  <c r="F110" i="39"/>
  <c r="E111" i="39"/>
  <c r="F111" i="39"/>
  <c r="E112" i="39"/>
  <c r="F112" i="39"/>
  <c r="E113" i="39"/>
  <c r="F113" i="39"/>
  <c r="E114" i="39"/>
  <c r="F114" i="39"/>
  <c r="E115" i="39"/>
  <c r="F115" i="39"/>
  <c r="E117" i="39"/>
  <c r="F117" i="39"/>
  <c r="E120" i="39"/>
  <c r="E121" i="39"/>
  <c r="E122" i="39"/>
  <c r="E128" i="39"/>
  <c r="F128" i="39"/>
  <c r="E129" i="39"/>
  <c r="F129" i="39"/>
  <c r="E130" i="39"/>
  <c r="F130" i="39"/>
  <c r="E131" i="39"/>
  <c r="F131" i="39"/>
  <c r="E132" i="39"/>
  <c r="F132" i="39"/>
  <c r="E133" i="39"/>
  <c r="F133" i="39"/>
  <c r="E134" i="39"/>
  <c r="F134" i="39"/>
  <c r="E135" i="39"/>
  <c r="F135" i="39"/>
  <c r="E136" i="39"/>
  <c r="F136" i="39"/>
  <c r="E139" i="39"/>
  <c r="F139" i="39"/>
  <c r="E140" i="39"/>
  <c r="F140" i="39"/>
  <c r="E141" i="39"/>
  <c r="F141" i="39"/>
  <c r="E142" i="39"/>
  <c r="F142" i="39"/>
  <c r="E144" i="39"/>
  <c r="F144" i="39"/>
  <c r="E146" i="39"/>
  <c r="F146" i="39"/>
  <c r="E149" i="39"/>
  <c r="E150" i="39"/>
  <c r="E151" i="39"/>
  <c r="E157" i="39"/>
  <c r="F157" i="39"/>
  <c r="E158" i="39"/>
  <c r="F158" i="39"/>
  <c r="E159" i="39"/>
  <c r="F159" i="39"/>
  <c r="E160" i="39"/>
  <c r="F160" i="39"/>
  <c r="E161" i="39"/>
  <c r="F161" i="39"/>
  <c r="E162" i="39"/>
  <c r="F162" i="39"/>
  <c r="E163" i="39"/>
  <c r="F163" i="39"/>
  <c r="E164" i="39"/>
  <c r="F164" i="39"/>
  <c r="E165" i="39"/>
  <c r="F165" i="39"/>
  <c r="E168" i="39"/>
  <c r="F168" i="39"/>
  <c r="E169" i="39"/>
  <c r="F169" i="39"/>
  <c r="E170" i="39"/>
  <c r="F170" i="39"/>
  <c r="E171" i="39"/>
  <c r="F171" i="39"/>
  <c r="E172" i="39"/>
  <c r="F172" i="39"/>
  <c r="E173" i="39"/>
  <c r="F173" i="39"/>
  <c r="E174" i="39"/>
  <c r="F174" i="39"/>
  <c r="E175" i="39"/>
  <c r="F175" i="39"/>
  <c r="E178" i="39"/>
  <c r="E179" i="39"/>
  <c r="E180" i="39"/>
  <c r="D9" i="28"/>
  <c r="E9" i="28"/>
  <c r="F9" i="28"/>
  <c r="G9" i="28"/>
  <c r="H9" i="28"/>
  <c r="I9" i="28"/>
  <c r="J9" i="28"/>
  <c r="K9" i="28"/>
  <c r="L9" i="28"/>
  <c r="M9" i="28"/>
  <c r="N9" i="28"/>
  <c r="D11" i="28"/>
  <c r="E11" i="28"/>
  <c r="F11" i="28"/>
  <c r="G11" i="28"/>
  <c r="H11" i="28"/>
  <c r="I11" i="28"/>
  <c r="J11" i="28"/>
  <c r="K11" i="28"/>
  <c r="L11" i="28"/>
  <c r="M11" i="28"/>
  <c r="N11" i="28"/>
  <c r="D13" i="28"/>
  <c r="E13" i="28"/>
  <c r="F13" i="28"/>
  <c r="G13" i="28"/>
  <c r="H13" i="28"/>
  <c r="I13" i="28"/>
  <c r="J13" i="28"/>
  <c r="K13" i="28"/>
  <c r="L13" i="28"/>
  <c r="M13" i="28"/>
  <c r="N13" i="28"/>
  <c r="D14" i="28"/>
  <c r="E14" i="28"/>
  <c r="F14" i="28"/>
  <c r="G14" i="28"/>
  <c r="H14" i="28"/>
  <c r="I14" i="28"/>
  <c r="J14" i="28"/>
  <c r="K14" i="28"/>
  <c r="L14" i="28"/>
  <c r="M14" i="28"/>
  <c r="N14" i="28"/>
  <c r="D15" i="28"/>
  <c r="E15" i="28"/>
  <c r="F15" i="28"/>
  <c r="G15" i="28"/>
  <c r="H15" i="28"/>
  <c r="I15" i="28"/>
  <c r="J15" i="28"/>
  <c r="K15" i="28"/>
  <c r="L15" i="28"/>
  <c r="M15" i="28"/>
  <c r="N15" i="28"/>
  <c r="D16" i="28"/>
  <c r="E16" i="28"/>
  <c r="F16" i="28"/>
  <c r="G16" i="28"/>
  <c r="H16" i="28"/>
  <c r="I16" i="28"/>
  <c r="J16" i="28"/>
  <c r="K16" i="28"/>
  <c r="L16" i="28"/>
  <c r="M16" i="28"/>
  <c r="N16" i="28"/>
  <c r="D17" i="28"/>
  <c r="E17" i="28"/>
  <c r="F17" i="28"/>
  <c r="G17" i="28"/>
  <c r="H17" i="28"/>
  <c r="I17" i="28"/>
  <c r="J17" i="28"/>
  <c r="K17" i="28"/>
  <c r="L17" i="28"/>
  <c r="M17" i="28"/>
  <c r="N17" i="28"/>
  <c r="D19" i="28"/>
  <c r="E19" i="28"/>
  <c r="F19" i="28"/>
  <c r="G19" i="28"/>
  <c r="H19" i="28"/>
  <c r="I19" i="28"/>
  <c r="J19" i="28"/>
  <c r="K19" i="28"/>
  <c r="L19" i="28"/>
  <c r="M19" i="28"/>
  <c r="N19" i="28"/>
  <c r="D22" i="28"/>
  <c r="E22" i="28"/>
  <c r="F22" i="28"/>
  <c r="G22" i="28"/>
  <c r="H22" i="28"/>
  <c r="I22" i="28"/>
  <c r="J22" i="28"/>
  <c r="K22" i="28"/>
  <c r="L22" i="28"/>
  <c r="D24" i="28"/>
  <c r="E24" i="28"/>
  <c r="F24" i="28"/>
  <c r="G24" i="28"/>
  <c r="H24" i="28"/>
  <c r="I24" i="28"/>
  <c r="J24" i="28"/>
  <c r="K24" i="28"/>
  <c r="L24" i="28"/>
  <c r="M24" i="28"/>
  <c r="N24" i="28"/>
  <c r="N25" i="28"/>
  <c r="N26" i="28"/>
  <c r="D27" i="28"/>
  <c r="E27" i="28"/>
  <c r="F27" i="28"/>
  <c r="G27" i="28"/>
  <c r="H27" i="28"/>
  <c r="I27" i="28"/>
  <c r="J27" i="28"/>
  <c r="K27" i="28"/>
  <c r="L27" i="28"/>
  <c r="M27" i="28"/>
  <c r="N27" i="28"/>
  <c r="D46" i="28"/>
  <c r="E46" i="28"/>
  <c r="F46" i="28"/>
  <c r="G46" i="28"/>
  <c r="H46" i="28"/>
  <c r="I46" i="28"/>
  <c r="J46" i="28"/>
  <c r="D47" i="28"/>
  <c r="E47" i="28"/>
  <c r="F47" i="28"/>
  <c r="G47" i="28"/>
  <c r="H47" i="28"/>
  <c r="I47" i="28"/>
  <c r="J47" i="28"/>
  <c r="D48" i="28"/>
  <c r="E48" i="28"/>
  <c r="F48" i="28"/>
  <c r="G48" i="28"/>
  <c r="H48" i="28"/>
  <c r="I48" i="28"/>
  <c r="J48" i="28"/>
  <c r="K48" i="28"/>
  <c r="L48" i="28"/>
  <c r="M48" i="28"/>
  <c r="N48" i="28"/>
  <c r="D49" i="28"/>
  <c r="E49" i="28"/>
  <c r="F49" i="28"/>
  <c r="G49" i="28"/>
  <c r="H49" i="28"/>
  <c r="I49" i="28"/>
  <c r="J49" i="28"/>
  <c r="K49" i="28"/>
  <c r="L49" i="28"/>
  <c r="M49" i="28"/>
  <c r="N49" i="28"/>
  <c r="E50" i="28"/>
  <c r="F50" i="28"/>
  <c r="G50" i="28"/>
  <c r="H50" i="28"/>
  <c r="I50" i="28"/>
  <c r="J50" i="28"/>
  <c r="D51" i="28"/>
  <c r="E51" i="28"/>
  <c r="F51" i="28"/>
  <c r="G51" i="28"/>
  <c r="H51" i="28"/>
  <c r="I51" i="28"/>
  <c r="J51" i="28"/>
  <c r="K51" i="28"/>
  <c r="L51" i="28"/>
  <c r="M51" i="28"/>
  <c r="N51" i="28"/>
  <c r="D54" i="28"/>
  <c r="E54" i="28"/>
  <c r="F54" i="28"/>
  <c r="G54" i="28"/>
  <c r="H54" i="28"/>
  <c r="I54" i="28"/>
  <c r="J54" i="28"/>
  <c r="K54" i="28"/>
  <c r="L54" i="28"/>
  <c r="M54" i="28"/>
  <c r="N54" i="28"/>
  <c r="N55" i="28"/>
  <c r="N56" i="28"/>
  <c r="D57" i="28"/>
  <c r="E57" i="28"/>
  <c r="F57" i="28"/>
  <c r="G57" i="28"/>
  <c r="H57" i="28"/>
  <c r="I57" i="28"/>
  <c r="J57" i="28"/>
  <c r="K57" i="28"/>
  <c r="L57" i="28"/>
  <c r="M57" i="28"/>
  <c r="N57" i="28"/>
  <c r="D58" i="28"/>
  <c r="E58" i="28"/>
  <c r="F58" i="28"/>
  <c r="G58" i="28"/>
  <c r="H58" i="28"/>
  <c r="I58" i="28"/>
  <c r="J58" i="28"/>
  <c r="K58" i="28"/>
  <c r="L58" i="28"/>
  <c r="M58" i="28"/>
  <c r="N58" i="28"/>
  <c r="E59" i="28"/>
  <c r="F59" i="28"/>
  <c r="G59" i="28"/>
  <c r="H59" i="28"/>
  <c r="I59" i="28"/>
  <c r="J59" i="28"/>
  <c r="D60" i="28"/>
  <c r="E60" i="28"/>
  <c r="F60" i="28"/>
  <c r="G60" i="28"/>
  <c r="H60" i="28"/>
  <c r="I60" i="28"/>
  <c r="J60" i="28"/>
  <c r="K60" i="28"/>
  <c r="L60" i="28"/>
  <c r="M60" i="28"/>
  <c r="N60" i="28"/>
  <c r="D61" i="28"/>
  <c r="E61" i="28"/>
  <c r="F61" i="28"/>
  <c r="G61" i="28"/>
  <c r="H61" i="28"/>
  <c r="I61" i="28"/>
  <c r="J61" i="28"/>
  <c r="K61" i="28"/>
  <c r="L61" i="28"/>
  <c r="M61" i="28"/>
  <c r="N61" i="28"/>
  <c r="D62" i="28"/>
  <c r="E62" i="28"/>
  <c r="F62" i="28"/>
  <c r="G62" i="28"/>
  <c r="H62" i="28"/>
  <c r="I62" i="28"/>
  <c r="J62" i="28"/>
  <c r="K62" i="28"/>
  <c r="L62" i="28"/>
  <c r="M62" i="28"/>
  <c r="N62" i="28"/>
  <c r="D63" i="28"/>
  <c r="E63" i="28"/>
  <c r="F63" i="28"/>
  <c r="G63" i="28"/>
  <c r="H63" i="28"/>
  <c r="I63" i="28"/>
  <c r="J63" i="28"/>
  <c r="K63" i="28"/>
  <c r="L63" i="28"/>
  <c r="M63" i="28"/>
  <c r="N63" i="28"/>
  <c r="D65" i="28"/>
  <c r="D66" i="28"/>
  <c r="D67" i="28"/>
  <c r="J67" i="28"/>
  <c r="D68" i="28"/>
  <c r="D69" i="28"/>
  <c r="J69" i="28"/>
  <c r="E107" i="28"/>
  <c r="G107" i="28"/>
  <c r="K108" i="28"/>
  <c r="M108" i="28"/>
  <c r="E110" i="28"/>
  <c r="G110" i="28"/>
  <c r="E112" i="28"/>
  <c r="G112" i="28"/>
  <c r="E113" i="28"/>
  <c r="G113" i="28"/>
  <c r="E114" i="28"/>
  <c r="G114" i="28"/>
  <c r="K114" i="28"/>
  <c r="E115" i="28"/>
  <c r="G115" i="28"/>
  <c r="M115" i="28"/>
  <c r="E116" i="28"/>
  <c r="G116" i="28"/>
  <c r="M116" i="28"/>
  <c r="E117" i="28"/>
  <c r="G117" i="28"/>
  <c r="M117" i="28"/>
  <c r="K123" i="28"/>
  <c r="M123" i="28"/>
  <c r="F129" i="28"/>
  <c r="K129" i="28"/>
  <c r="M129" i="28"/>
  <c r="G38" i="43"/>
  <c r="F23" i="38"/>
  <c r="G23" i="38"/>
  <c r="H23" i="38"/>
  <c r="I23" i="38"/>
  <c r="J23" i="38"/>
  <c r="K23" i="38"/>
  <c r="L23" i="38"/>
  <c r="M23" i="38"/>
  <c r="N23" i="38"/>
  <c r="O23" i="38"/>
  <c r="P23" i="38"/>
  <c r="Q23" i="38"/>
  <c r="R23" i="38"/>
  <c r="S23" i="38"/>
  <c r="T23" i="38"/>
  <c r="U23" i="38"/>
  <c r="V23" i="38"/>
  <c r="W23" i="38"/>
  <c r="X23" i="38"/>
  <c r="Y23" i="38"/>
  <c r="Z23" i="38"/>
  <c r="F24" i="38"/>
  <c r="G24" i="38"/>
  <c r="H24" i="38"/>
  <c r="I24" i="38"/>
  <c r="J24" i="38"/>
  <c r="K24" i="38"/>
  <c r="L24" i="38"/>
  <c r="M24" i="38"/>
  <c r="N24" i="38"/>
  <c r="O24" i="38"/>
  <c r="P24" i="38"/>
  <c r="Q24" i="38"/>
  <c r="R24" i="38"/>
  <c r="S24" i="38"/>
  <c r="T24" i="38"/>
  <c r="U24" i="38"/>
  <c r="V24" i="38"/>
  <c r="W24" i="38"/>
  <c r="X24" i="38"/>
  <c r="Y24" i="38"/>
  <c r="Z24" i="38"/>
  <c r="F26" i="38"/>
  <c r="G26" i="38"/>
  <c r="H26" i="38"/>
  <c r="I26" i="38"/>
  <c r="J26" i="38"/>
  <c r="K26" i="38"/>
  <c r="L26" i="38"/>
  <c r="M26" i="38"/>
  <c r="N26" i="38"/>
  <c r="O26" i="38"/>
  <c r="P26" i="38"/>
  <c r="Q26" i="38"/>
  <c r="R26" i="38"/>
  <c r="S26" i="38"/>
  <c r="T26" i="38"/>
  <c r="U26" i="38"/>
  <c r="V26" i="38"/>
  <c r="W26" i="38"/>
  <c r="X26" i="38"/>
  <c r="Y26" i="38"/>
  <c r="Z26" i="38"/>
  <c r="F27" i="38"/>
  <c r="G27" i="38"/>
  <c r="H27" i="38"/>
  <c r="I27" i="38"/>
  <c r="J27" i="38"/>
  <c r="K27" i="38"/>
  <c r="L27" i="38"/>
  <c r="M27" i="38"/>
  <c r="N27" i="38"/>
  <c r="O27" i="38"/>
  <c r="P27" i="38"/>
  <c r="Q27" i="38"/>
  <c r="R27" i="38"/>
  <c r="S27" i="38"/>
  <c r="T27" i="38"/>
  <c r="U27" i="38"/>
  <c r="V27" i="38"/>
  <c r="W27" i="38"/>
  <c r="X27" i="38"/>
  <c r="Y27" i="38"/>
  <c r="Z27" i="38"/>
  <c r="F28" i="38"/>
  <c r="G28" i="38"/>
  <c r="H28" i="38"/>
  <c r="I28" i="38"/>
  <c r="J28" i="38"/>
  <c r="K28" i="38"/>
  <c r="L28" i="38"/>
  <c r="M28" i="38"/>
  <c r="N28" i="38"/>
  <c r="O28" i="38"/>
  <c r="P28" i="38"/>
  <c r="Q28" i="38"/>
  <c r="R28" i="38"/>
  <c r="S28" i="38"/>
  <c r="T28" i="38"/>
  <c r="U28" i="38"/>
  <c r="V28" i="38"/>
  <c r="W28" i="38"/>
  <c r="X28" i="38"/>
  <c r="Y28" i="38"/>
  <c r="Z28" i="38"/>
  <c r="F46" i="38"/>
  <c r="G46" i="38"/>
  <c r="H46" i="38"/>
  <c r="I46" i="38"/>
  <c r="J46" i="38"/>
  <c r="K46" i="38"/>
  <c r="L46" i="38"/>
  <c r="M46" i="38"/>
  <c r="N46" i="38"/>
  <c r="O46" i="38"/>
  <c r="P46" i="38"/>
  <c r="Q46" i="38"/>
  <c r="R46" i="38"/>
  <c r="S46" i="38"/>
  <c r="T46" i="38"/>
  <c r="U46" i="38"/>
  <c r="V46" i="38"/>
  <c r="W46" i="38"/>
  <c r="X46" i="38"/>
  <c r="Y46" i="38"/>
  <c r="Z46" i="38"/>
  <c r="F47" i="38"/>
  <c r="G47" i="38"/>
  <c r="H47" i="38"/>
  <c r="I47" i="38"/>
  <c r="J47" i="38"/>
  <c r="K47" i="38"/>
  <c r="L47" i="38"/>
  <c r="M47" i="38"/>
  <c r="N47" i="38"/>
  <c r="O47" i="38"/>
  <c r="P47" i="38"/>
  <c r="Q47" i="38"/>
  <c r="R47" i="38"/>
  <c r="S47" i="38"/>
  <c r="T47" i="38"/>
  <c r="U47" i="38"/>
  <c r="V47" i="38"/>
  <c r="W47" i="38"/>
  <c r="X47" i="38"/>
  <c r="Y47" i="38"/>
  <c r="Z47" i="38"/>
  <c r="F49" i="38"/>
  <c r="G49" i="38"/>
  <c r="H49" i="38"/>
  <c r="I49" i="38"/>
  <c r="J49" i="38"/>
  <c r="K49" i="38"/>
  <c r="L49" i="38"/>
  <c r="M49" i="38"/>
  <c r="N49" i="38"/>
  <c r="O49" i="38"/>
  <c r="P49" i="38"/>
  <c r="Q49" i="38"/>
  <c r="R49" i="38"/>
  <c r="S49" i="38"/>
  <c r="T49" i="38"/>
  <c r="U49" i="38"/>
  <c r="V49" i="38"/>
  <c r="W49" i="38"/>
  <c r="X49" i="38"/>
  <c r="Y49" i="38"/>
  <c r="Z49" i="38"/>
  <c r="F50" i="38"/>
  <c r="G50" i="38"/>
  <c r="H50" i="38"/>
  <c r="I50" i="38"/>
  <c r="J50" i="38"/>
  <c r="K50" i="38"/>
  <c r="L50" i="38"/>
  <c r="M50" i="38"/>
  <c r="N50" i="38"/>
  <c r="O50" i="38"/>
  <c r="P50" i="38"/>
  <c r="Q50" i="38"/>
  <c r="R50" i="38"/>
  <c r="S50" i="38"/>
  <c r="T50" i="38"/>
  <c r="U50" i="38"/>
  <c r="V50" i="38"/>
  <c r="W50" i="38"/>
  <c r="X50" i="38"/>
  <c r="Y50" i="38"/>
  <c r="Z50" i="38"/>
  <c r="F51" i="38"/>
  <c r="G51" i="38"/>
  <c r="H51" i="38"/>
  <c r="I51" i="38"/>
  <c r="J51" i="38"/>
  <c r="K51" i="38"/>
  <c r="L51" i="38"/>
  <c r="M51" i="38"/>
  <c r="N51" i="38"/>
  <c r="O51" i="38"/>
  <c r="P51" i="38"/>
  <c r="Q51" i="38"/>
  <c r="R51" i="38"/>
  <c r="S51" i="38"/>
  <c r="T51" i="38"/>
  <c r="U51" i="38"/>
  <c r="V51" i="38"/>
  <c r="W51" i="38"/>
  <c r="X51" i="38"/>
  <c r="Y51" i="38"/>
  <c r="Z51" i="38"/>
  <c r="F63" i="38"/>
  <c r="G63" i="38"/>
  <c r="H63" i="38"/>
  <c r="I63" i="38"/>
  <c r="J63" i="38"/>
  <c r="K63" i="38"/>
  <c r="L63" i="38"/>
  <c r="M63" i="38"/>
  <c r="N63" i="38"/>
  <c r="O63" i="38"/>
  <c r="P63" i="38"/>
  <c r="Q63" i="38"/>
  <c r="R63" i="38"/>
  <c r="S63" i="38"/>
  <c r="T63" i="38"/>
  <c r="U63" i="38"/>
  <c r="V63" i="38"/>
  <c r="W63" i="38"/>
  <c r="X63" i="38"/>
  <c r="Y63" i="38"/>
  <c r="Z63" i="38"/>
  <c r="F64" i="38"/>
  <c r="G64" i="38"/>
  <c r="H64" i="38"/>
  <c r="I64" i="38"/>
  <c r="J64" i="38"/>
  <c r="K64" i="38"/>
  <c r="L64" i="38"/>
  <c r="M64" i="38"/>
  <c r="N64" i="38"/>
  <c r="O64" i="38"/>
  <c r="P64" i="38"/>
  <c r="Q64" i="38"/>
  <c r="R64" i="38"/>
  <c r="S64" i="38"/>
  <c r="T64" i="38"/>
  <c r="U64" i="38"/>
  <c r="V64" i="38"/>
  <c r="W64" i="38"/>
  <c r="X64" i="38"/>
  <c r="Y64" i="38"/>
  <c r="Z64" i="38"/>
  <c r="F67" i="38"/>
  <c r="G67" i="38"/>
  <c r="H67" i="38"/>
  <c r="I67" i="38"/>
  <c r="J67" i="38"/>
  <c r="K67" i="38"/>
  <c r="L67" i="38"/>
  <c r="M67" i="38"/>
  <c r="N67" i="38"/>
  <c r="O67" i="38"/>
  <c r="P67" i="38"/>
  <c r="Q67" i="38"/>
  <c r="R67" i="38"/>
  <c r="S67" i="38"/>
  <c r="T67" i="38"/>
  <c r="U67" i="38"/>
  <c r="V67" i="38"/>
  <c r="W67" i="38"/>
  <c r="X67" i="38"/>
  <c r="Y67" i="38"/>
  <c r="Z67" i="38"/>
  <c r="F68" i="38"/>
  <c r="G68" i="38"/>
  <c r="H68" i="38"/>
  <c r="I68" i="38"/>
  <c r="J68" i="38"/>
  <c r="K68" i="38"/>
  <c r="L68" i="38"/>
  <c r="M68" i="38"/>
  <c r="N68" i="38"/>
  <c r="O68" i="38"/>
  <c r="P68" i="38"/>
  <c r="Q68" i="38"/>
  <c r="R68" i="38"/>
  <c r="S68" i="38"/>
  <c r="T68" i="38"/>
  <c r="U68" i="38"/>
  <c r="V68" i="38"/>
  <c r="W68" i="38"/>
  <c r="X68" i="38"/>
  <c r="Y68" i="38"/>
  <c r="Z68" i="38"/>
  <c r="F70" i="38"/>
  <c r="G70" i="38"/>
  <c r="H70" i="38"/>
  <c r="I70" i="38"/>
  <c r="J70" i="38"/>
  <c r="K70" i="38"/>
  <c r="L70" i="38"/>
  <c r="M70" i="38"/>
  <c r="N70" i="38"/>
  <c r="O70" i="38"/>
  <c r="P70" i="38"/>
  <c r="Q70" i="38"/>
  <c r="R70" i="38"/>
  <c r="S70" i="38"/>
  <c r="T70" i="38"/>
  <c r="U70" i="38"/>
  <c r="V70" i="38"/>
  <c r="W70" i="38"/>
  <c r="X70" i="38"/>
  <c r="Y70" i="38"/>
  <c r="Z70" i="38"/>
  <c r="F71" i="38"/>
  <c r="G71" i="38"/>
  <c r="H71" i="38"/>
  <c r="I71" i="38"/>
  <c r="J71" i="38"/>
  <c r="K71" i="38"/>
  <c r="L71" i="38"/>
  <c r="M71" i="38"/>
  <c r="N71" i="38"/>
  <c r="O71" i="38"/>
  <c r="P71" i="38"/>
  <c r="Q71" i="38"/>
  <c r="R71" i="38"/>
  <c r="S71" i="38"/>
  <c r="T71" i="38"/>
  <c r="U71" i="38"/>
  <c r="V71" i="38"/>
  <c r="W71" i="38"/>
  <c r="X71" i="38"/>
  <c r="Y71" i="38"/>
  <c r="Z71" i="38"/>
  <c r="F72" i="38"/>
  <c r="G72" i="38"/>
  <c r="H72" i="38"/>
  <c r="I72" i="38"/>
  <c r="J72" i="38"/>
  <c r="K72" i="38"/>
  <c r="L72" i="38"/>
  <c r="M72" i="38"/>
  <c r="N72" i="38"/>
  <c r="O72" i="38"/>
  <c r="P72" i="38"/>
  <c r="Q72" i="38"/>
  <c r="R72" i="38"/>
  <c r="S72" i="38"/>
  <c r="T72" i="38"/>
  <c r="U72" i="38"/>
  <c r="V72" i="38"/>
  <c r="W72" i="38"/>
  <c r="X72" i="38"/>
  <c r="Y72" i="38"/>
  <c r="Z72" i="38"/>
  <c r="F84" i="38"/>
  <c r="G84" i="38"/>
  <c r="H84" i="38"/>
  <c r="I84" i="38"/>
  <c r="J84" i="38"/>
  <c r="K84" i="38"/>
  <c r="L84" i="38"/>
  <c r="M84" i="38"/>
  <c r="N84" i="38"/>
  <c r="O84" i="38"/>
  <c r="P84" i="38"/>
  <c r="Q84" i="38"/>
  <c r="R84" i="38"/>
  <c r="S84" i="38"/>
  <c r="T84" i="38"/>
  <c r="U84" i="38"/>
  <c r="V84" i="38"/>
  <c r="W84" i="38"/>
  <c r="X84" i="38"/>
  <c r="Y84" i="38"/>
  <c r="Z84" i="38"/>
  <c r="F85" i="38"/>
  <c r="G85" i="38"/>
  <c r="H85" i="38"/>
  <c r="I85" i="38"/>
  <c r="J85" i="38"/>
  <c r="K85" i="38"/>
  <c r="L85" i="38"/>
  <c r="M85" i="38"/>
  <c r="N85" i="38"/>
  <c r="O85" i="38"/>
  <c r="P85" i="38"/>
  <c r="Q85" i="38"/>
  <c r="R85" i="38"/>
  <c r="S85" i="38"/>
  <c r="T85" i="38"/>
  <c r="U85" i="38"/>
  <c r="V85" i="38"/>
  <c r="W85" i="38"/>
  <c r="X85" i="38"/>
  <c r="Y85" i="38"/>
  <c r="Z85" i="38"/>
  <c r="F88" i="38"/>
  <c r="G88" i="38"/>
  <c r="H88" i="38"/>
  <c r="I88" i="38"/>
  <c r="J88" i="38"/>
  <c r="K88" i="38"/>
  <c r="L88" i="38"/>
  <c r="M88" i="38"/>
  <c r="N88" i="38"/>
  <c r="O88" i="38"/>
  <c r="P88" i="38"/>
  <c r="Q88" i="38"/>
  <c r="R88" i="38"/>
  <c r="S88" i="38"/>
  <c r="T88" i="38"/>
  <c r="U88" i="38"/>
  <c r="V88" i="38"/>
  <c r="W88" i="38"/>
  <c r="X88" i="38"/>
  <c r="Y88" i="38"/>
  <c r="Z88" i="38"/>
  <c r="F89" i="38"/>
  <c r="G89" i="38"/>
  <c r="H89" i="38"/>
  <c r="I89" i="38"/>
  <c r="J89" i="38"/>
  <c r="K89" i="38"/>
  <c r="L89" i="38"/>
  <c r="M89" i="38"/>
  <c r="N89" i="38"/>
  <c r="O89" i="38"/>
  <c r="P89" i="38"/>
  <c r="Q89" i="38"/>
  <c r="R89" i="38"/>
  <c r="S89" i="38"/>
  <c r="T89" i="38"/>
  <c r="U89" i="38"/>
  <c r="V89" i="38"/>
  <c r="W89" i="38"/>
  <c r="X89" i="38"/>
  <c r="Y89" i="38"/>
  <c r="Z89" i="38"/>
  <c r="F91" i="38"/>
  <c r="G91" i="38"/>
  <c r="H91" i="38"/>
  <c r="I91" i="38"/>
  <c r="J91" i="38"/>
  <c r="K91" i="38"/>
  <c r="L91" i="38"/>
  <c r="M91" i="38"/>
  <c r="N91" i="38"/>
  <c r="O91" i="38"/>
  <c r="P91" i="38"/>
  <c r="Q91" i="38"/>
  <c r="R91" i="38"/>
  <c r="S91" i="38"/>
  <c r="T91" i="38"/>
  <c r="U91" i="38"/>
  <c r="V91" i="38"/>
  <c r="W91" i="38"/>
  <c r="X91" i="38"/>
  <c r="Y91" i="38"/>
  <c r="Z91" i="38"/>
  <c r="F92" i="38"/>
  <c r="G92" i="38"/>
  <c r="H92" i="38"/>
  <c r="I92" i="38"/>
  <c r="J92" i="38"/>
  <c r="K92" i="38"/>
  <c r="L92" i="38"/>
  <c r="M92" i="38"/>
  <c r="N92" i="38"/>
  <c r="O92" i="38"/>
  <c r="P92" i="38"/>
  <c r="Q92" i="38"/>
  <c r="R92" i="38"/>
  <c r="S92" i="38"/>
  <c r="T92" i="38"/>
  <c r="U92" i="38"/>
  <c r="V92" i="38"/>
  <c r="W92" i="38"/>
  <c r="X92" i="38"/>
  <c r="Y92" i="38"/>
  <c r="Z92" i="38"/>
  <c r="F93" i="38"/>
  <c r="G93" i="38"/>
  <c r="H93" i="38"/>
  <c r="I93" i="38"/>
  <c r="J93" i="38"/>
  <c r="K93" i="38"/>
  <c r="L93" i="38"/>
  <c r="M93" i="38"/>
  <c r="N93" i="38"/>
  <c r="O93" i="38"/>
  <c r="P93" i="38"/>
  <c r="Q93" i="38"/>
  <c r="R93" i="38"/>
  <c r="S93" i="38"/>
  <c r="T93" i="38"/>
  <c r="U93" i="38"/>
  <c r="V93" i="38"/>
  <c r="W93" i="38"/>
  <c r="X93" i="38"/>
  <c r="Y93" i="38"/>
  <c r="Z93" i="38"/>
  <c r="F105" i="38"/>
  <c r="G105" i="38"/>
  <c r="H105" i="38"/>
  <c r="I105" i="38"/>
  <c r="J105" i="38"/>
  <c r="K105" i="38"/>
  <c r="L105" i="38"/>
  <c r="M105" i="38"/>
  <c r="N105" i="38"/>
  <c r="O105" i="38"/>
  <c r="P105" i="38"/>
  <c r="Q105" i="38"/>
  <c r="R105" i="38"/>
  <c r="S105" i="38"/>
  <c r="T105" i="38"/>
  <c r="U105" i="38"/>
  <c r="V105" i="38"/>
  <c r="W105" i="38"/>
  <c r="X105" i="38"/>
  <c r="Y105" i="38"/>
  <c r="Z105" i="38"/>
  <c r="F106" i="38"/>
  <c r="G106" i="38"/>
  <c r="H106" i="38"/>
  <c r="I106" i="38"/>
  <c r="J106" i="38"/>
  <c r="K106" i="38"/>
  <c r="L106" i="38"/>
  <c r="M106" i="38"/>
  <c r="N106" i="38"/>
  <c r="O106" i="38"/>
  <c r="P106" i="38"/>
  <c r="Q106" i="38"/>
  <c r="R106" i="38"/>
  <c r="S106" i="38"/>
  <c r="T106" i="38"/>
  <c r="U106" i="38"/>
  <c r="V106" i="38"/>
  <c r="W106" i="38"/>
  <c r="X106" i="38"/>
  <c r="Y106" i="38"/>
  <c r="Z106" i="38"/>
  <c r="F109" i="38"/>
  <c r="G109" i="38"/>
  <c r="H109" i="38"/>
  <c r="I109" i="38"/>
  <c r="J109" i="38"/>
  <c r="K109" i="38"/>
  <c r="L109" i="38"/>
  <c r="M109" i="38"/>
  <c r="N109" i="38"/>
  <c r="O109" i="38"/>
  <c r="P109" i="38"/>
  <c r="Q109" i="38"/>
  <c r="R109" i="38"/>
  <c r="S109" i="38"/>
  <c r="T109" i="38"/>
  <c r="U109" i="38"/>
  <c r="V109" i="38"/>
  <c r="W109" i="38"/>
  <c r="X109" i="38"/>
  <c r="Y109" i="38"/>
  <c r="Z109" i="38"/>
  <c r="F110" i="38"/>
  <c r="G110" i="38"/>
  <c r="H110" i="38"/>
  <c r="I110" i="38"/>
  <c r="J110" i="38"/>
  <c r="K110" i="38"/>
  <c r="L110" i="38"/>
  <c r="M110" i="38"/>
  <c r="N110" i="38"/>
  <c r="O110" i="38"/>
  <c r="P110" i="38"/>
  <c r="Q110" i="38"/>
  <c r="R110" i="38"/>
  <c r="S110" i="38"/>
  <c r="T110" i="38"/>
  <c r="U110" i="38"/>
  <c r="V110" i="38"/>
  <c r="W110" i="38"/>
  <c r="X110" i="38"/>
  <c r="Y110" i="38"/>
  <c r="Z110" i="38"/>
  <c r="F112" i="38"/>
  <c r="G112" i="38"/>
  <c r="H112" i="38"/>
  <c r="I112" i="38"/>
  <c r="J112" i="38"/>
  <c r="K112" i="38"/>
  <c r="L112" i="38"/>
  <c r="M112" i="38"/>
  <c r="N112" i="38"/>
  <c r="O112" i="38"/>
  <c r="P112" i="38"/>
  <c r="Q112" i="38"/>
  <c r="R112" i="38"/>
  <c r="S112" i="38"/>
  <c r="T112" i="38"/>
  <c r="U112" i="38"/>
  <c r="V112" i="38"/>
  <c r="W112" i="38"/>
  <c r="X112" i="38"/>
  <c r="Y112" i="38"/>
  <c r="Z112" i="38"/>
  <c r="F113" i="38"/>
  <c r="G113" i="38"/>
  <c r="H113" i="38"/>
  <c r="I113" i="38"/>
  <c r="J113" i="38"/>
  <c r="K113" i="38"/>
  <c r="L113" i="38"/>
  <c r="M113" i="38"/>
  <c r="N113" i="38"/>
  <c r="O113" i="38"/>
  <c r="P113" i="38"/>
  <c r="Q113" i="38"/>
  <c r="R113" i="38"/>
  <c r="S113" i="38"/>
  <c r="T113" i="38"/>
  <c r="U113" i="38"/>
  <c r="V113" i="38"/>
  <c r="W113" i="38"/>
  <c r="X113" i="38"/>
  <c r="Y113" i="38"/>
  <c r="Z113" i="38"/>
  <c r="F114" i="38"/>
  <c r="G114" i="38"/>
  <c r="H114" i="38"/>
  <c r="I114" i="38"/>
  <c r="J114" i="38"/>
  <c r="K114" i="38"/>
  <c r="L114" i="38"/>
  <c r="M114" i="38"/>
  <c r="N114" i="38"/>
  <c r="O114" i="38"/>
  <c r="P114" i="38"/>
  <c r="Q114" i="38"/>
  <c r="R114" i="38"/>
  <c r="S114" i="38"/>
  <c r="T114" i="38"/>
  <c r="U114" i="38"/>
  <c r="V114" i="38"/>
  <c r="W114" i="38"/>
  <c r="X114" i="38"/>
  <c r="Y114" i="38"/>
  <c r="Z114" i="38"/>
  <c r="F131" i="38"/>
  <c r="G131" i="38"/>
  <c r="H131" i="38"/>
  <c r="I131" i="38"/>
  <c r="J131" i="38"/>
  <c r="K131" i="38"/>
  <c r="L131" i="38"/>
  <c r="M131" i="38"/>
  <c r="N131" i="38"/>
  <c r="O131" i="38"/>
  <c r="P131" i="38"/>
  <c r="Q131" i="38"/>
  <c r="R131" i="38"/>
  <c r="S131" i="38"/>
  <c r="T131" i="38"/>
  <c r="U131" i="38"/>
  <c r="V131" i="38"/>
  <c r="W131" i="38"/>
  <c r="X131" i="38"/>
  <c r="Y131" i="38"/>
  <c r="Z131" i="38"/>
  <c r="F132" i="38"/>
  <c r="G132" i="38"/>
  <c r="H132" i="38"/>
  <c r="I132" i="38"/>
  <c r="J132" i="38"/>
  <c r="K132" i="38"/>
  <c r="L132" i="38"/>
  <c r="M132" i="38"/>
  <c r="N132" i="38"/>
  <c r="O132" i="38"/>
  <c r="P132" i="38"/>
  <c r="Q132" i="38"/>
  <c r="R132" i="38"/>
  <c r="S132" i="38"/>
  <c r="T132" i="38"/>
  <c r="U132" i="38"/>
  <c r="V132" i="38"/>
  <c r="W132" i="38"/>
  <c r="X132" i="38"/>
  <c r="Y132" i="38"/>
  <c r="Z132" i="38"/>
  <c r="F134" i="38"/>
  <c r="G134" i="38"/>
  <c r="H134" i="38"/>
  <c r="I134" i="38"/>
  <c r="J134" i="38"/>
  <c r="K134" i="38"/>
  <c r="L134" i="38"/>
  <c r="M134" i="38"/>
  <c r="N134" i="38"/>
  <c r="O134" i="38"/>
  <c r="P134" i="38"/>
  <c r="Q134" i="38"/>
  <c r="R134" i="38"/>
  <c r="S134" i="38"/>
  <c r="T134" i="38"/>
  <c r="U134" i="38"/>
  <c r="V134" i="38"/>
  <c r="W134" i="38"/>
  <c r="X134" i="38"/>
  <c r="Y134" i="38"/>
  <c r="Z134" i="38"/>
  <c r="F135" i="38"/>
  <c r="G135" i="38"/>
  <c r="H135" i="38"/>
  <c r="I135" i="38"/>
  <c r="J135" i="38"/>
  <c r="K135" i="38"/>
  <c r="L135" i="38"/>
  <c r="M135" i="38"/>
  <c r="N135" i="38"/>
  <c r="O135" i="38"/>
  <c r="P135" i="38"/>
  <c r="Q135" i="38"/>
  <c r="R135" i="38"/>
  <c r="S135" i="38"/>
  <c r="T135" i="38"/>
  <c r="U135" i="38"/>
  <c r="V135" i="38"/>
  <c r="W135" i="38"/>
  <c r="X135" i="38"/>
  <c r="Y135" i="38"/>
  <c r="Z135" i="38"/>
  <c r="F136" i="38"/>
  <c r="G136" i="38"/>
  <c r="H136" i="38"/>
  <c r="I136" i="38"/>
  <c r="J136" i="38"/>
  <c r="K136" i="38"/>
  <c r="L136" i="38"/>
  <c r="M136" i="38"/>
  <c r="N136" i="38"/>
  <c r="O136" i="38"/>
  <c r="P136" i="38"/>
  <c r="Q136" i="38"/>
  <c r="R136" i="38"/>
  <c r="S136" i="38"/>
  <c r="T136" i="38"/>
  <c r="U136" i="38"/>
  <c r="V136" i="38"/>
  <c r="W136" i="38"/>
  <c r="X136" i="38"/>
  <c r="Y136" i="38"/>
  <c r="Z136" i="38"/>
  <c r="F138" i="38"/>
  <c r="G138" i="38"/>
  <c r="H138" i="38"/>
  <c r="I138" i="38"/>
  <c r="J138" i="38"/>
  <c r="K138" i="38"/>
  <c r="L138" i="38"/>
  <c r="M138" i="38"/>
  <c r="N138" i="38"/>
  <c r="O138" i="38"/>
  <c r="P138" i="38"/>
  <c r="Q138" i="38"/>
  <c r="R138" i="38"/>
  <c r="S138" i="38"/>
  <c r="T138" i="38"/>
  <c r="U138" i="38"/>
  <c r="V138" i="38"/>
  <c r="W138" i="38"/>
  <c r="X138" i="38"/>
  <c r="Y138" i="38"/>
  <c r="Z138" i="38"/>
  <c r="G141" i="38"/>
  <c r="H141" i="38"/>
  <c r="I141" i="38"/>
  <c r="J141" i="38"/>
  <c r="K141" i="38"/>
  <c r="L141" i="38"/>
  <c r="M141" i="38"/>
  <c r="N141" i="38"/>
  <c r="O141" i="38"/>
  <c r="P141" i="38"/>
  <c r="Q141" i="38"/>
  <c r="R141" i="38"/>
  <c r="S141" i="38"/>
  <c r="T141" i="38"/>
  <c r="U141" i="38"/>
  <c r="V141" i="38"/>
  <c r="W141" i="38"/>
  <c r="X141" i="38"/>
  <c r="Y141" i="38"/>
  <c r="Z141" i="38"/>
  <c r="I142" i="38"/>
  <c r="F143" i="38"/>
  <c r="G143" i="38"/>
  <c r="H143" i="38"/>
  <c r="I143" i="38"/>
  <c r="J143" i="38"/>
  <c r="K143" i="38"/>
  <c r="L143" i="38"/>
  <c r="M143" i="38"/>
  <c r="N143" i="38"/>
  <c r="O143" i="38"/>
  <c r="P143" i="38"/>
  <c r="Q143" i="38"/>
  <c r="R143" i="38"/>
  <c r="S143" i="38"/>
  <c r="T143" i="38"/>
  <c r="U143" i="38"/>
  <c r="V143" i="38"/>
  <c r="W143" i="38"/>
  <c r="X143" i="38"/>
  <c r="Y143" i="38"/>
  <c r="Z143" i="38"/>
  <c r="F144" i="38"/>
  <c r="G144" i="38"/>
  <c r="H144" i="38"/>
  <c r="I144" i="38"/>
  <c r="J144" i="38"/>
  <c r="K144" i="38"/>
  <c r="L144" i="38"/>
  <c r="M144" i="38"/>
  <c r="N144" i="38"/>
  <c r="O144" i="38"/>
  <c r="P144" i="38"/>
  <c r="Q144" i="38"/>
  <c r="R144" i="38"/>
  <c r="S144" i="38"/>
  <c r="T144" i="38"/>
  <c r="U144" i="38"/>
  <c r="V144" i="38"/>
  <c r="W144" i="38"/>
  <c r="X144" i="38"/>
  <c r="Y144" i="38"/>
  <c r="Z144" i="38"/>
  <c r="F146" i="38"/>
  <c r="G146" i="38"/>
  <c r="H146" i="38"/>
  <c r="I146" i="38"/>
  <c r="J146" i="38"/>
  <c r="K146" i="38"/>
  <c r="L146" i="38"/>
  <c r="M146" i="38"/>
  <c r="N146" i="38"/>
  <c r="O146" i="38"/>
  <c r="P146" i="38"/>
  <c r="Q146" i="38"/>
  <c r="R146" i="38"/>
  <c r="S146" i="38"/>
  <c r="T146" i="38"/>
  <c r="U146" i="38"/>
  <c r="V146" i="38"/>
  <c r="W146" i="38"/>
  <c r="X146" i="38"/>
  <c r="Y146" i="38"/>
  <c r="Z146" i="38"/>
  <c r="F147" i="38"/>
  <c r="G147" i="38"/>
  <c r="H147" i="38"/>
  <c r="I147" i="38"/>
  <c r="J147" i="38"/>
  <c r="K147" i="38"/>
  <c r="L147" i="38"/>
  <c r="M147" i="38"/>
  <c r="N147" i="38"/>
  <c r="O147" i="38"/>
  <c r="P147" i="38"/>
  <c r="Q147" i="38"/>
  <c r="R147" i="38"/>
  <c r="S147" i="38"/>
  <c r="T147" i="38"/>
  <c r="U147" i="38"/>
  <c r="V147" i="38"/>
  <c r="W147" i="38"/>
  <c r="X147" i="38"/>
  <c r="Y147" i="38"/>
  <c r="Z147" i="38"/>
  <c r="F148" i="38"/>
  <c r="G148" i="38"/>
  <c r="H148" i="38"/>
  <c r="I148" i="38"/>
  <c r="J148" i="38"/>
  <c r="K148" i="38"/>
  <c r="L148" i="38"/>
  <c r="M148" i="38"/>
  <c r="N148" i="38"/>
  <c r="O148" i="38"/>
  <c r="P148" i="38"/>
  <c r="Q148" i="38"/>
  <c r="R148" i="38"/>
  <c r="S148" i="38"/>
  <c r="T148" i="38"/>
  <c r="U148" i="38"/>
  <c r="V148" i="38"/>
  <c r="W148" i="38"/>
  <c r="X148" i="38"/>
  <c r="Y148" i="38"/>
  <c r="Z148" i="38"/>
  <c r="I150" i="38"/>
  <c r="F152" i="38"/>
  <c r="G152" i="38"/>
  <c r="H152" i="38"/>
  <c r="I152" i="38"/>
  <c r="J152" i="38"/>
  <c r="K152" i="38"/>
  <c r="L152" i="38"/>
  <c r="M152" i="38"/>
  <c r="N152" i="38"/>
  <c r="O152" i="38"/>
  <c r="P152" i="38"/>
  <c r="Q152" i="38"/>
  <c r="R152" i="38"/>
  <c r="S152" i="38"/>
  <c r="T152" i="38"/>
  <c r="U152" i="38"/>
  <c r="V152" i="38"/>
  <c r="W152" i="38"/>
  <c r="X152" i="38"/>
  <c r="Y152" i="38"/>
  <c r="Z152" i="38"/>
  <c r="P155" i="38"/>
  <c r="I156" i="38"/>
  <c r="P157" i="38"/>
  <c r="P158" i="38"/>
  <c r="I159" i="38"/>
  <c r="P159" i="38"/>
  <c r="F162" i="38"/>
  <c r="G162" i="38"/>
  <c r="H162" i="38"/>
  <c r="I162" i="38"/>
  <c r="J162" i="38"/>
  <c r="K162" i="38"/>
  <c r="L162" i="38"/>
  <c r="M162" i="38"/>
  <c r="N162" i="38"/>
  <c r="O162" i="38"/>
  <c r="P162" i="38"/>
  <c r="D196" i="38"/>
  <c r="F196" i="38"/>
  <c r="G196" i="38"/>
  <c r="H196" i="38"/>
  <c r="I196" i="38"/>
  <c r="J196" i="38"/>
  <c r="K196" i="38"/>
  <c r="L196" i="38"/>
  <c r="M196" i="38"/>
  <c r="N196" i="38"/>
  <c r="O196" i="38"/>
  <c r="P196" i="38"/>
  <c r="Q196" i="38"/>
  <c r="R196" i="38"/>
  <c r="S196" i="38"/>
  <c r="T196" i="38"/>
  <c r="U196" i="38"/>
  <c r="V196" i="38"/>
  <c r="W196" i="38"/>
  <c r="X196" i="38"/>
  <c r="Y196" i="38"/>
  <c r="Z196" i="38"/>
  <c r="F200" i="38"/>
  <c r="G200" i="38"/>
  <c r="H200" i="38"/>
  <c r="I200" i="38"/>
  <c r="J200" i="38"/>
  <c r="K200" i="38"/>
  <c r="L200" i="38"/>
  <c r="M200" i="38"/>
  <c r="N200" i="38"/>
  <c r="O200" i="38"/>
  <c r="P200" i="38"/>
  <c r="Q200" i="38"/>
  <c r="R200" i="38"/>
  <c r="S200" i="38"/>
  <c r="T200" i="38"/>
  <c r="U200" i="38"/>
  <c r="V200" i="38"/>
  <c r="W200" i="38"/>
  <c r="X200" i="38"/>
  <c r="Y200" i="38"/>
  <c r="Z200" i="38"/>
  <c r="F202" i="38"/>
  <c r="G202" i="38"/>
  <c r="H202" i="38"/>
  <c r="I202" i="38"/>
  <c r="J202" i="38"/>
  <c r="K202" i="38"/>
  <c r="L202" i="38"/>
  <c r="M202" i="38"/>
  <c r="N202" i="38"/>
  <c r="O202" i="38"/>
  <c r="P202" i="38"/>
  <c r="Q202" i="38"/>
  <c r="R202" i="38"/>
  <c r="S202" i="38"/>
  <c r="T202" i="38"/>
  <c r="U202" i="38"/>
  <c r="V202" i="38"/>
  <c r="W202" i="38"/>
  <c r="X202" i="38"/>
  <c r="Y202" i="38"/>
  <c r="Z202" i="38"/>
  <c r="F206" i="38"/>
  <c r="G206" i="38"/>
  <c r="H206" i="38"/>
  <c r="I206" i="38"/>
  <c r="J206" i="38"/>
  <c r="K206" i="38"/>
  <c r="L206" i="38"/>
  <c r="M206" i="38"/>
  <c r="N206" i="38"/>
  <c r="O206" i="38"/>
  <c r="P206" i="38"/>
  <c r="Q206" i="38"/>
  <c r="R206" i="38"/>
  <c r="S206" i="38"/>
  <c r="T206" i="38"/>
  <c r="U206" i="38"/>
  <c r="V206" i="38"/>
  <c r="W206" i="38"/>
  <c r="X206" i="38"/>
  <c r="Y206" i="38"/>
  <c r="Z206" i="38"/>
  <c r="F207" i="38"/>
  <c r="G207" i="38"/>
  <c r="H207" i="38"/>
  <c r="I207" i="38"/>
  <c r="J207" i="38"/>
  <c r="K207" i="38"/>
  <c r="L207" i="38"/>
  <c r="M207" i="38"/>
  <c r="N207" i="38"/>
  <c r="O207" i="38"/>
  <c r="P207" i="38"/>
  <c r="Q207" i="38"/>
  <c r="R207" i="38"/>
  <c r="S207" i="38"/>
  <c r="T207" i="38"/>
  <c r="U207" i="38"/>
  <c r="V207" i="38"/>
  <c r="W207" i="38"/>
  <c r="X207" i="38"/>
  <c r="Y207" i="38"/>
  <c r="Z207" i="38"/>
  <c r="F208" i="38"/>
  <c r="G208" i="38"/>
  <c r="H208" i="38"/>
  <c r="I208" i="38"/>
  <c r="J208" i="38"/>
  <c r="K208" i="38"/>
  <c r="L208" i="38"/>
  <c r="M208" i="38"/>
  <c r="N208" i="38"/>
  <c r="O208" i="38"/>
  <c r="P208" i="38"/>
  <c r="Q208" i="38"/>
  <c r="R208" i="38"/>
  <c r="S208" i="38"/>
  <c r="T208" i="38"/>
  <c r="U208" i="38"/>
  <c r="V208" i="38"/>
  <c r="W208" i="38"/>
  <c r="X208" i="38"/>
  <c r="Y208" i="38"/>
  <c r="Z208" i="38"/>
  <c r="J211" i="38"/>
  <c r="K211" i="38"/>
  <c r="L211" i="38"/>
  <c r="M211" i="38"/>
  <c r="N211" i="38"/>
  <c r="O211" i="38"/>
  <c r="P211" i="38"/>
  <c r="Q211" i="38"/>
  <c r="R211" i="38"/>
  <c r="S211" i="38"/>
  <c r="T211" i="38"/>
  <c r="U211" i="38"/>
  <c r="V211" i="38"/>
  <c r="W211" i="38"/>
  <c r="X211" i="38"/>
  <c r="Y211" i="38"/>
  <c r="Z211" i="38"/>
  <c r="I212" i="38"/>
  <c r="I214" i="38"/>
  <c r="J214" i="38"/>
  <c r="K214" i="38"/>
  <c r="L214" i="38"/>
  <c r="M214" i="38"/>
  <c r="N214" i="38"/>
  <c r="O214" i="38"/>
  <c r="P214" i="38"/>
  <c r="Q214" i="38"/>
  <c r="R214" i="38"/>
  <c r="S214" i="38"/>
  <c r="T214" i="38"/>
  <c r="U214" i="38"/>
  <c r="V214" i="38"/>
  <c r="W214" i="38"/>
  <c r="X214" i="38"/>
  <c r="Y214" i="38"/>
  <c r="Z214" i="38"/>
  <c r="I216" i="38"/>
  <c r="J216" i="38"/>
  <c r="K216" i="38"/>
  <c r="L216" i="38"/>
  <c r="M216" i="38"/>
  <c r="N216" i="38"/>
  <c r="O216" i="38"/>
  <c r="P216" i="38"/>
  <c r="Q216" i="38"/>
  <c r="R216" i="38"/>
  <c r="S216" i="38"/>
  <c r="T216" i="38"/>
  <c r="U216" i="38"/>
  <c r="V216" i="38"/>
  <c r="W216" i="38"/>
  <c r="X216" i="38"/>
  <c r="Y216" i="38"/>
  <c r="Z216" i="38"/>
  <c r="I217" i="38"/>
  <c r="J217" i="38"/>
  <c r="K217" i="38"/>
  <c r="L217" i="38"/>
  <c r="M217" i="38"/>
  <c r="N217" i="38"/>
  <c r="O217" i="38"/>
  <c r="P217" i="38"/>
  <c r="Q217" i="38"/>
  <c r="R217" i="38"/>
  <c r="S217" i="38"/>
  <c r="T217" i="38"/>
  <c r="U217" i="38"/>
  <c r="V217" i="38"/>
  <c r="W217" i="38"/>
  <c r="X217" i="38"/>
  <c r="Y217" i="38"/>
  <c r="Z217" i="38"/>
  <c r="F218" i="38"/>
  <c r="G218" i="38"/>
  <c r="H218" i="38"/>
  <c r="I218" i="38"/>
  <c r="J218" i="38"/>
  <c r="K218" i="38"/>
  <c r="L218" i="38"/>
  <c r="M218" i="38"/>
  <c r="N218" i="38"/>
  <c r="O218" i="38"/>
  <c r="P218" i="38"/>
  <c r="Q218" i="38"/>
  <c r="R218" i="38"/>
  <c r="S218" i="38"/>
  <c r="T218" i="38"/>
  <c r="U218" i="38"/>
  <c r="V218" i="38"/>
  <c r="W218" i="38"/>
  <c r="X218" i="38"/>
  <c r="Y218" i="38"/>
  <c r="Z218" i="38"/>
  <c r="I220" i="38"/>
  <c r="F222" i="38"/>
  <c r="G222" i="38"/>
  <c r="H222" i="38"/>
  <c r="I222" i="38"/>
  <c r="J222" i="38"/>
  <c r="K222" i="38"/>
  <c r="L222" i="38"/>
  <c r="M222" i="38"/>
  <c r="N222" i="38"/>
  <c r="O222" i="38"/>
  <c r="P222" i="38"/>
  <c r="Q222" i="38"/>
  <c r="R222" i="38"/>
  <c r="S222" i="38"/>
  <c r="T222" i="38"/>
  <c r="U222" i="38"/>
  <c r="V222" i="38"/>
  <c r="W222" i="38"/>
  <c r="X222" i="38"/>
  <c r="Y222" i="38"/>
  <c r="Z222" i="38"/>
  <c r="P225" i="38"/>
  <c r="P226" i="38"/>
  <c r="P227" i="38"/>
  <c r="P228" i="38"/>
  <c r="F230" i="38"/>
  <c r="G230" i="38"/>
  <c r="H230" i="38"/>
  <c r="I230" i="38"/>
  <c r="J230" i="38"/>
  <c r="K230" i="38"/>
  <c r="L230" i="38"/>
  <c r="M230" i="38"/>
  <c r="N230" i="38"/>
  <c r="O230" i="38"/>
  <c r="P230" i="38"/>
  <c r="F244" i="38"/>
  <c r="G244" i="38"/>
  <c r="H244" i="38"/>
  <c r="I244" i="38"/>
  <c r="J244" i="38"/>
  <c r="K244" i="38"/>
  <c r="L244" i="38"/>
  <c r="M244" i="38"/>
  <c r="N244" i="38"/>
  <c r="O244" i="38"/>
  <c r="P244" i="38"/>
  <c r="Q244" i="38"/>
  <c r="R244" i="38"/>
  <c r="S244" i="38"/>
  <c r="T244" i="38"/>
  <c r="U244" i="38"/>
  <c r="V244" i="38"/>
  <c r="W244" i="38"/>
  <c r="X244" i="38"/>
  <c r="Y244" i="38"/>
  <c r="Z244" i="38"/>
  <c r="F245" i="38"/>
  <c r="G245" i="38"/>
  <c r="H245" i="38"/>
  <c r="I245" i="38"/>
  <c r="J245" i="38"/>
  <c r="K245" i="38"/>
  <c r="L245" i="38"/>
  <c r="M245" i="38"/>
  <c r="N245" i="38"/>
  <c r="O245" i="38"/>
  <c r="P245" i="38"/>
  <c r="Q245" i="38"/>
  <c r="R245" i="38"/>
  <c r="S245" i="38"/>
  <c r="T245" i="38"/>
  <c r="U245" i="38"/>
  <c r="V245" i="38"/>
  <c r="W245" i="38"/>
  <c r="X245" i="38"/>
  <c r="Y245" i="38"/>
  <c r="Z245" i="38"/>
  <c r="F248" i="38"/>
  <c r="G248" i="38"/>
  <c r="H248" i="38"/>
  <c r="I248" i="38"/>
  <c r="J248" i="38"/>
  <c r="K248" i="38"/>
  <c r="L248" i="38"/>
  <c r="M248" i="38"/>
  <c r="N248" i="38"/>
  <c r="O248" i="38"/>
  <c r="P248" i="38"/>
  <c r="Q248" i="38"/>
  <c r="R248" i="38"/>
  <c r="S248" i="38"/>
  <c r="T248" i="38"/>
  <c r="U248" i="38"/>
  <c r="V248" i="38"/>
  <c r="W248" i="38"/>
  <c r="X248" i="38"/>
  <c r="Y248" i="38"/>
  <c r="Z248" i="38"/>
  <c r="F249" i="38"/>
  <c r="G249" i="38"/>
  <c r="H249" i="38"/>
  <c r="I249" i="38"/>
  <c r="J249" i="38"/>
  <c r="K249" i="38"/>
  <c r="L249" i="38"/>
  <c r="M249" i="38"/>
  <c r="N249" i="38"/>
  <c r="O249" i="38"/>
  <c r="P249" i="38"/>
  <c r="Q249" i="38"/>
  <c r="R249" i="38"/>
  <c r="S249" i="38"/>
  <c r="T249" i="38"/>
  <c r="U249" i="38"/>
  <c r="V249" i="38"/>
  <c r="W249" i="38"/>
  <c r="X249" i="38"/>
  <c r="Y249" i="38"/>
  <c r="Z249" i="38"/>
  <c r="F251" i="38"/>
  <c r="G251" i="38"/>
  <c r="H251" i="38"/>
  <c r="I251" i="38"/>
  <c r="J251" i="38"/>
  <c r="K251" i="38"/>
  <c r="L251" i="38"/>
  <c r="M251" i="38"/>
  <c r="N251" i="38"/>
  <c r="O251" i="38"/>
  <c r="P251" i="38"/>
  <c r="Q251" i="38"/>
  <c r="R251" i="38"/>
  <c r="S251" i="38"/>
  <c r="T251" i="38"/>
  <c r="U251" i="38"/>
  <c r="V251" i="38"/>
  <c r="W251" i="38"/>
  <c r="X251" i="38"/>
  <c r="Y251" i="38"/>
  <c r="Z251" i="38"/>
  <c r="F252" i="38"/>
  <c r="G252" i="38"/>
  <c r="H252" i="38"/>
  <c r="I252" i="38"/>
  <c r="J252" i="38"/>
  <c r="K252" i="38"/>
  <c r="L252" i="38"/>
  <c r="M252" i="38"/>
  <c r="N252" i="38"/>
  <c r="O252" i="38"/>
  <c r="P252" i="38"/>
  <c r="Q252" i="38"/>
  <c r="R252" i="38"/>
  <c r="S252" i="38"/>
  <c r="T252" i="38"/>
  <c r="U252" i="38"/>
  <c r="V252" i="38"/>
  <c r="W252" i="38"/>
  <c r="X252" i="38"/>
  <c r="Y252" i="38"/>
  <c r="Z252" i="38"/>
  <c r="F253" i="38"/>
  <c r="G253" i="38"/>
  <c r="H253" i="38"/>
  <c r="I253" i="38"/>
  <c r="J253" i="38"/>
  <c r="K253" i="38"/>
  <c r="L253" i="38"/>
  <c r="M253" i="38"/>
  <c r="N253" i="38"/>
  <c r="O253" i="38"/>
  <c r="P253" i="38"/>
  <c r="Q253" i="38"/>
  <c r="R253" i="38"/>
  <c r="S253" i="38"/>
  <c r="T253" i="38"/>
  <c r="U253" i="38"/>
  <c r="V253" i="38"/>
  <c r="W253" i="38"/>
  <c r="X253" i="38"/>
  <c r="Y253" i="38"/>
  <c r="Z253" i="38"/>
  <c r="J256" i="38"/>
  <c r="K256" i="38"/>
  <c r="L256" i="38"/>
  <c r="M256" i="38"/>
  <c r="N256" i="38"/>
  <c r="O256" i="38"/>
  <c r="P256" i="38"/>
  <c r="Q256" i="38"/>
  <c r="R256" i="38"/>
  <c r="S256" i="38"/>
  <c r="T256" i="38"/>
  <c r="U256" i="38"/>
  <c r="V256" i="38"/>
  <c r="W256" i="38"/>
  <c r="X256" i="38"/>
  <c r="Y256" i="38"/>
  <c r="Z256" i="38"/>
  <c r="I257" i="38"/>
  <c r="I259" i="38"/>
  <c r="J259" i="38"/>
  <c r="K259" i="38"/>
  <c r="L259" i="38"/>
  <c r="M259" i="38"/>
  <c r="N259" i="38"/>
  <c r="O259" i="38"/>
  <c r="P259" i="38"/>
  <c r="Q259" i="38"/>
  <c r="R259" i="38"/>
  <c r="S259" i="38"/>
  <c r="T259" i="38"/>
  <c r="U259" i="38"/>
  <c r="V259" i="38"/>
  <c r="W259" i="38"/>
  <c r="X259" i="38"/>
  <c r="Y259" i="38"/>
  <c r="Z259" i="38"/>
  <c r="I261" i="38"/>
  <c r="J261" i="38"/>
  <c r="K261" i="38"/>
  <c r="L261" i="38"/>
  <c r="M261" i="38"/>
  <c r="N261" i="38"/>
  <c r="O261" i="38"/>
  <c r="P261" i="38"/>
  <c r="Q261" i="38"/>
  <c r="R261" i="38"/>
  <c r="S261" i="38"/>
  <c r="T261" i="38"/>
  <c r="U261" i="38"/>
  <c r="V261" i="38"/>
  <c r="W261" i="38"/>
  <c r="X261" i="38"/>
  <c r="Y261" i="38"/>
  <c r="Z261" i="38"/>
  <c r="I262" i="38"/>
  <c r="J262" i="38"/>
  <c r="K262" i="38"/>
  <c r="L262" i="38"/>
  <c r="M262" i="38"/>
  <c r="N262" i="38"/>
  <c r="O262" i="38"/>
  <c r="P262" i="38"/>
  <c r="Q262" i="38"/>
  <c r="R262" i="38"/>
  <c r="S262" i="38"/>
  <c r="T262" i="38"/>
  <c r="U262" i="38"/>
  <c r="V262" i="38"/>
  <c r="W262" i="38"/>
  <c r="X262" i="38"/>
  <c r="Y262" i="38"/>
  <c r="Z262" i="38"/>
  <c r="F263" i="38"/>
  <c r="G263" i="38"/>
  <c r="H263" i="38"/>
  <c r="I263" i="38"/>
  <c r="J263" i="38"/>
  <c r="K263" i="38"/>
  <c r="L263" i="38"/>
  <c r="M263" i="38"/>
  <c r="N263" i="38"/>
  <c r="O263" i="38"/>
  <c r="P263" i="38"/>
  <c r="Q263" i="38"/>
  <c r="R263" i="38"/>
  <c r="S263" i="38"/>
  <c r="T263" i="38"/>
  <c r="U263" i="38"/>
  <c r="V263" i="38"/>
  <c r="W263" i="38"/>
  <c r="X263" i="38"/>
  <c r="Y263" i="38"/>
  <c r="Z263" i="38"/>
  <c r="I265" i="38"/>
  <c r="F267" i="38"/>
  <c r="G267" i="38"/>
  <c r="H267" i="38"/>
  <c r="I267" i="38"/>
  <c r="J267" i="38"/>
  <c r="K267" i="38"/>
  <c r="L267" i="38"/>
  <c r="M267" i="38"/>
  <c r="N267" i="38"/>
  <c r="O267" i="38"/>
  <c r="P267" i="38"/>
  <c r="Q267" i="38"/>
  <c r="R267" i="38"/>
  <c r="S267" i="38"/>
  <c r="T267" i="38"/>
  <c r="U267" i="38"/>
  <c r="V267" i="38"/>
  <c r="W267" i="38"/>
  <c r="X267" i="38"/>
  <c r="Y267" i="38"/>
  <c r="Z267" i="38"/>
  <c r="P270" i="38"/>
  <c r="P271" i="38"/>
  <c r="P272" i="38"/>
  <c r="P273" i="38"/>
  <c r="F275" i="38"/>
  <c r="G275" i="38"/>
  <c r="H275" i="38"/>
  <c r="I275" i="38"/>
  <c r="J275" i="38"/>
  <c r="K275" i="38"/>
  <c r="L275" i="38"/>
  <c r="M275" i="38"/>
  <c r="N275" i="38"/>
  <c r="O275" i="38"/>
  <c r="P275" i="38"/>
  <c r="F277" i="38"/>
  <c r="G277" i="38"/>
  <c r="H277" i="38"/>
  <c r="I277" i="38"/>
  <c r="J277" i="38"/>
  <c r="K277" i="38"/>
  <c r="L277" i="38"/>
  <c r="M277" i="38"/>
  <c r="N277" i="38"/>
  <c r="O277" i="38"/>
  <c r="P277" i="38"/>
  <c r="F279" i="38"/>
  <c r="G279" i="38"/>
  <c r="H279" i="38"/>
  <c r="I279" i="38"/>
  <c r="J279" i="38"/>
  <c r="K279" i="38"/>
  <c r="L279" i="38"/>
  <c r="M279" i="38"/>
  <c r="N279" i="38"/>
  <c r="O279" i="38"/>
  <c r="P279" i="38"/>
  <c r="Q279" i="38"/>
  <c r="R279" i="38"/>
  <c r="S279" i="38"/>
  <c r="T279" i="38"/>
  <c r="U279" i="38"/>
  <c r="V279" i="38"/>
  <c r="W279" i="38"/>
  <c r="X279" i="38"/>
  <c r="Y279" i="38"/>
  <c r="Z279" i="38"/>
  <c r="F280" i="38"/>
  <c r="G280" i="38"/>
  <c r="H280" i="38"/>
  <c r="I280" i="38"/>
  <c r="J280" i="38"/>
  <c r="K280" i="38"/>
  <c r="L280" i="38"/>
  <c r="M280" i="38"/>
  <c r="N280" i="38"/>
  <c r="O280" i="38"/>
  <c r="P280" i="38"/>
  <c r="Q280" i="38"/>
  <c r="R280" i="38"/>
  <c r="S280" i="38"/>
  <c r="T280" i="38"/>
  <c r="U280" i="38"/>
  <c r="V280" i="38"/>
  <c r="W280" i="38"/>
  <c r="X280" i="38"/>
  <c r="Y280" i="38"/>
  <c r="Z280" i="38"/>
  <c r="D288" i="38"/>
  <c r="F288" i="38"/>
  <c r="G288" i="38"/>
  <c r="H288" i="38"/>
  <c r="D289" i="38"/>
  <c r="G289" i="38"/>
  <c r="H289" i="38"/>
  <c r="D291" i="38"/>
  <c r="F291" i="38"/>
  <c r="G291" i="38"/>
  <c r="H291" i="38"/>
  <c r="I291" i="38"/>
  <c r="J291" i="38"/>
  <c r="D292" i="38"/>
  <c r="F292" i="38"/>
  <c r="G292" i="38"/>
  <c r="H292" i="38"/>
  <c r="I292" i="38"/>
  <c r="J292" i="38"/>
  <c r="D295" i="38"/>
  <c r="F295" i="38"/>
  <c r="G295" i="38"/>
  <c r="H295" i="38"/>
  <c r="I295" i="38"/>
  <c r="J295" i="38"/>
  <c r="K295" i="38"/>
  <c r="L295" i="38"/>
  <c r="M295" i="38"/>
  <c r="N295" i="38"/>
  <c r="O295" i="38"/>
  <c r="P295" i="38"/>
  <c r="Q295" i="38"/>
  <c r="R295" i="38"/>
  <c r="S295" i="38"/>
  <c r="T295" i="38"/>
  <c r="U295" i="38"/>
  <c r="V295" i="38"/>
  <c r="W295" i="38"/>
  <c r="X295" i="38"/>
  <c r="Y295" i="38"/>
  <c r="Z295" i="38"/>
  <c r="D296" i="38"/>
  <c r="F296" i="38"/>
  <c r="G296" i="38"/>
  <c r="H296" i="38"/>
  <c r="I296" i="38"/>
  <c r="J296" i="38"/>
  <c r="K296" i="38"/>
  <c r="L296" i="38"/>
  <c r="M296" i="38"/>
  <c r="N296" i="38"/>
  <c r="O296" i="38"/>
  <c r="P296" i="38"/>
  <c r="Q296" i="38"/>
  <c r="R296" i="38"/>
  <c r="S296" i="38"/>
  <c r="T296" i="38"/>
  <c r="U296" i="38"/>
  <c r="V296" i="38"/>
  <c r="W296" i="38"/>
  <c r="X296" i="38"/>
  <c r="Y296" i="38"/>
  <c r="Z296" i="38"/>
  <c r="D297" i="38"/>
  <c r="F297" i="38"/>
  <c r="G297" i="38"/>
  <c r="H297" i="38"/>
  <c r="I297" i="38"/>
  <c r="J297" i="38"/>
  <c r="K297" i="38"/>
  <c r="L297" i="38"/>
  <c r="M297" i="38"/>
  <c r="N297" i="38"/>
  <c r="O297" i="38"/>
  <c r="P297" i="38"/>
  <c r="Q297" i="38"/>
  <c r="R297" i="38"/>
  <c r="S297" i="38"/>
  <c r="T297" i="38"/>
  <c r="U297" i="38"/>
  <c r="V297" i="38"/>
  <c r="W297" i="38"/>
  <c r="X297" i="38"/>
  <c r="Y297" i="38"/>
  <c r="Z297" i="38"/>
  <c r="D298" i="38"/>
  <c r="F298" i="38"/>
  <c r="G298" i="38"/>
  <c r="H298" i="38"/>
  <c r="I298" i="38"/>
  <c r="J298" i="38"/>
  <c r="K298" i="38"/>
  <c r="L298" i="38"/>
  <c r="M298" i="38"/>
  <c r="N298" i="38"/>
  <c r="O298" i="38"/>
  <c r="P298" i="38"/>
  <c r="Q298" i="38"/>
  <c r="R298" i="38"/>
  <c r="S298" i="38"/>
  <c r="T298" i="38"/>
  <c r="U298" i="38"/>
  <c r="V298" i="38"/>
  <c r="W298" i="38"/>
  <c r="X298" i="38"/>
  <c r="Y298" i="38"/>
  <c r="Z298" i="38"/>
  <c r="D299" i="38"/>
  <c r="F299" i="38"/>
  <c r="G299" i="38"/>
  <c r="H299" i="38"/>
  <c r="I299" i="38"/>
  <c r="J299" i="38"/>
  <c r="K299" i="38"/>
  <c r="L299" i="38"/>
  <c r="M299" i="38"/>
  <c r="N299" i="38"/>
  <c r="O299" i="38"/>
  <c r="P299" i="38"/>
  <c r="Q299" i="38"/>
  <c r="R299" i="38"/>
  <c r="S299" i="38"/>
  <c r="T299" i="38"/>
  <c r="U299" i="38"/>
  <c r="V299" i="38"/>
  <c r="W299" i="38"/>
  <c r="X299" i="38"/>
  <c r="Y299" i="38"/>
  <c r="Z299" i="38"/>
  <c r="D300" i="38"/>
  <c r="F300" i="38"/>
  <c r="G300" i="38"/>
  <c r="H300" i="38"/>
  <c r="I300" i="38"/>
  <c r="J300" i="38"/>
  <c r="K300" i="38"/>
  <c r="L300" i="38"/>
  <c r="M300" i="38"/>
  <c r="N300" i="38"/>
  <c r="O300" i="38"/>
  <c r="P300" i="38"/>
  <c r="Q300" i="38"/>
  <c r="R300" i="38"/>
  <c r="S300" i="38"/>
  <c r="T300" i="38"/>
  <c r="U300" i="38"/>
  <c r="V300" i="38"/>
  <c r="W300" i="38"/>
  <c r="X300" i="38"/>
  <c r="Y300" i="38"/>
  <c r="Z300" i="38"/>
  <c r="D301" i="38"/>
  <c r="F301" i="38"/>
  <c r="G301" i="38"/>
  <c r="H301" i="38"/>
  <c r="I301" i="38"/>
  <c r="J301" i="38"/>
  <c r="K301" i="38"/>
  <c r="L301" i="38"/>
  <c r="M301" i="38"/>
  <c r="N301" i="38"/>
  <c r="O301" i="38"/>
  <c r="P301" i="38"/>
  <c r="Q301" i="38"/>
  <c r="R301" i="38"/>
  <c r="S301" i="38"/>
  <c r="T301" i="38"/>
  <c r="U301" i="38"/>
  <c r="V301" i="38"/>
  <c r="W301" i="38"/>
  <c r="X301" i="38"/>
  <c r="Y301" i="38"/>
  <c r="Z301" i="38"/>
  <c r="D302" i="38"/>
  <c r="F302" i="38"/>
  <c r="G302" i="38"/>
  <c r="H302" i="38"/>
  <c r="I302" i="38"/>
  <c r="J302" i="38"/>
  <c r="K302" i="38"/>
  <c r="L302" i="38"/>
  <c r="M302" i="38"/>
  <c r="N302" i="38"/>
  <c r="O302" i="38"/>
  <c r="P302" i="38"/>
  <c r="Q302" i="38"/>
  <c r="R302" i="38"/>
  <c r="S302" i="38"/>
  <c r="T302" i="38"/>
  <c r="U302" i="38"/>
  <c r="V302" i="38"/>
  <c r="W302" i="38"/>
  <c r="X302" i="38"/>
  <c r="Y302" i="38"/>
  <c r="Z302" i="38"/>
  <c r="D304" i="38"/>
  <c r="F304" i="38"/>
  <c r="G304" i="38"/>
  <c r="H304" i="38"/>
  <c r="I304" i="38"/>
  <c r="J304" i="38"/>
  <c r="K304" i="38"/>
  <c r="L304" i="38"/>
  <c r="M304" i="38"/>
  <c r="N304" i="38"/>
  <c r="O304" i="38"/>
  <c r="P304" i="38"/>
  <c r="Q304" i="38"/>
  <c r="R304" i="38"/>
  <c r="S304" i="38"/>
  <c r="T304" i="38"/>
  <c r="U304" i="38"/>
  <c r="V304" i="38"/>
  <c r="W304" i="38"/>
  <c r="X304" i="38"/>
  <c r="Y304" i="38"/>
  <c r="Z304" i="38"/>
  <c r="D307" i="38"/>
  <c r="F307" i="38"/>
  <c r="G307" i="38"/>
  <c r="H307" i="38"/>
  <c r="I307" i="38"/>
  <c r="J307" i="38"/>
  <c r="K307" i="38"/>
  <c r="L307" i="38"/>
  <c r="M307" i="38"/>
  <c r="N307" i="38"/>
  <c r="O307" i="38"/>
  <c r="P307" i="38"/>
  <c r="Q307" i="38"/>
  <c r="R307" i="38"/>
  <c r="S307" i="38"/>
  <c r="T307" i="38"/>
  <c r="U307" i="38"/>
  <c r="V307" i="38"/>
  <c r="W307" i="38"/>
  <c r="X307" i="38"/>
  <c r="Y307" i="38"/>
  <c r="Z307" i="38"/>
  <c r="D308" i="38"/>
  <c r="F308" i="38"/>
  <c r="G308" i="38"/>
  <c r="H308" i="38"/>
  <c r="I308" i="38"/>
  <c r="J308" i="38"/>
  <c r="K308" i="38"/>
  <c r="L308" i="38"/>
  <c r="M308" i="38"/>
  <c r="N308" i="38"/>
  <c r="O308" i="38"/>
  <c r="P308" i="38"/>
  <c r="D309" i="38"/>
  <c r="F309" i="38"/>
  <c r="G309" i="38"/>
  <c r="H309" i="38"/>
  <c r="I309" i="38"/>
  <c r="J309" i="38"/>
  <c r="K309" i="38"/>
  <c r="L309" i="38"/>
  <c r="M309" i="38"/>
  <c r="N309" i="38"/>
  <c r="O309" i="38"/>
  <c r="P309" i="38"/>
  <c r="Q309" i="38"/>
  <c r="R309" i="38"/>
  <c r="S309" i="38"/>
  <c r="T309" i="38"/>
  <c r="U309" i="38"/>
  <c r="V309" i="38"/>
  <c r="W309" i="38"/>
  <c r="X309" i="38"/>
  <c r="Y309" i="38"/>
  <c r="Z309" i="38"/>
  <c r="D311" i="38"/>
  <c r="D312" i="38"/>
  <c r="D313" i="38"/>
  <c r="F318" i="38"/>
  <c r="G318" i="38"/>
  <c r="H318" i="38"/>
  <c r="I318" i="38"/>
  <c r="J318" i="38"/>
  <c r="K318" i="38"/>
  <c r="L318" i="38"/>
  <c r="M318" i="38"/>
  <c r="N318" i="38"/>
  <c r="O318" i="38"/>
  <c r="P318" i="38"/>
  <c r="Q318" i="38"/>
  <c r="R318" i="38"/>
  <c r="S318" i="38"/>
  <c r="T318" i="38"/>
  <c r="U318" i="38"/>
  <c r="V318" i="38"/>
  <c r="W318" i="38"/>
  <c r="X318" i="38"/>
  <c r="Y318" i="38"/>
  <c r="Z318" i="38"/>
  <c r="F319" i="38"/>
  <c r="G319" i="38"/>
  <c r="H319" i="38"/>
  <c r="I319" i="38"/>
  <c r="J319" i="38"/>
  <c r="K319" i="38"/>
  <c r="L319" i="38"/>
  <c r="M319" i="38"/>
  <c r="N319" i="38"/>
  <c r="O319" i="38"/>
  <c r="P319" i="38"/>
  <c r="Q319" i="38"/>
  <c r="R319" i="38"/>
  <c r="S319" i="38"/>
  <c r="T319" i="38"/>
  <c r="U319" i="38"/>
  <c r="V319" i="38"/>
  <c r="W319" i="38"/>
  <c r="X319" i="38"/>
  <c r="Y319" i="38"/>
  <c r="Z319" i="38"/>
  <c r="F320" i="38"/>
  <c r="G320" i="38"/>
  <c r="H320" i="38"/>
  <c r="I320" i="38"/>
  <c r="J320" i="38"/>
  <c r="K320" i="38"/>
  <c r="L320" i="38"/>
  <c r="M320" i="38"/>
  <c r="N320" i="38"/>
  <c r="O320" i="38"/>
  <c r="P320" i="38"/>
  <c r="Q320" i="38"/>
  <c r="R320" i="38"/>
  <c r="S320" i="38"/>
  <c r="T320" i="38"/>
  <c r="U320" i="38"/>
  <c r="V320" i="38"/>
  <c r="W320" i="38"/>
  <c r="X320" i="38"/>
  <c r="Y320" i="38"/>
  <c r="Z320" i="38"/>
  <c r="F321" i="38"/>
  <c r="G321" i="38"/>
  <c r="H321" i="38"/>
  <c r="I321" i="38"/>
  <c r="J321" i="38"/>
  <c r="K321" i="38"/>
  <c r="L321" i="38"/>
  <c r="M321" i="38"/>
  <c r="N321" i="38"/>
  <c r="O321" i="38"/>
  <c r="P321" i="38"/>
  <c r="Q321" i="38"/>
  <c r="R321" i="38"/>
  <c r="S321" i="38"/>
  <c r="T321" i="38"/>
  <c r="U321" i="38"/>
  <c r="V321" i="38"/>
  <c r="W321" i="38"/>
  <c r="X321" i="38"/>
  <c r="Y321" i="38"/>
  <c r="Z321" i="38"/>
  <c r="P324" i="38"/>
  <c r="P325" i="38"/>
  <c r="P326" i="38"/>
  <c r="D332" i="38"/>
  <c r="F332" i="38"/>
  <c r="G332" i="38"/>
  <c r="H332" i="38"/>
  <c r="D335" i="38"/>
  <c r="F335" i="38"/>
  <c r="G335" i="38"/>
  <c r="H335" i="38"/>
  <c r="I335" i="38"/>
  <c r="J335" i="38"/>
  <c r="D336" i="38"/>
  <c r="F336" i="38"/>
  <c r="G336" i="38"/>
  <c r="H336" i="38"/>
  <c r="I336" i="38"/>
  <c r="J336" i="38"/>
  <c r="D339" i="38"/>
  <c r="F339" i="38"/>
  <c r="G339" i="38"/>
  <c r="H339" i="38"/>
  <c r="I339" i="38"/>
  <c r="J339" i="38"/>
  <c r="K339" i="38"/>
  <c r="L339" i="38"/>
  <c r="M339" i="38"/>
  <c r="N339" i="38"/>
  <c r="O339" i="38"/>
  <c r="P339" i="38"/>
  <c r="Q339" i="38"/>
  <c r="R339" i="38"/>
  <c r="S339" i="38"/>
  <c r="T339" i="38"/>
  <c r="U339" i="38"/>
  <c r="V339" i="38"/>
  <c r="W339" i="38"/>
  <c r="X339" i="38"/>
  <c r="Y339" i="38"/>
  <c r="Z339" i="38"/>
  <c r="D340" i="38"/>
  <c r="F340" i="38"/>
  <c r="G340" i="38"/>
  <c r="H340" i="38"/>
  <c r="I340" i="38"/>
  <c r="J340" i="38"/>
  <c r="K340" i="38"/>
  <c r="L340" i="38"/>
  <c r="M340" i="38"/>
  <c r="N340" i="38"/>
  <c r="O340" i="38"/>
  <c r="P340" i="38"/>
  <c r="Q340" i="38"/>
  <c r="R340" i="38"/>
  <c r="S340" i="38"/>
  <c r="T340" i="38"/>
  <c r="U340" i="38"/>
  <c r="V340" i="38"/>
  <c r="W340" i="38"/>
  <c r="X340" i="38"/>
  <c r="Y340" i="38"/>
  <c r="Z340" i="38"/>
  <c r="D341" i="38"/>
  <c r="F341" i="38"/>
  <c r="G341" i="38"/>
  <c r="H341" i="38"/>
  <c r="I341" i="38"/>
  <c r="J341" i="38"/>
  <c r="K341" i="38"/>
  <c r="L341" i="38"/>
  <c r="M341" i="38"/>
  <c r="N341" i="38"/>
  <c r="O341" i="38"/>
  <c r="P341" i="38"/>
  <c r="Q341" i="38"/>
  <c r="R341" i="38"/>
  <c r="S341" i="38"/>
  <c r="T341" i="38"/>
  <c r="U341" i="38"/>
  <c r="V341" i="38"/>
  <c r="W341" i="38"/>
  <c r="X341" i="38"/>
  <c r="Y341" i="38"/>
  <c r="Z341" i="38"/>
  <c r="D342" i="38"/>
  <c r="F342" i="38"/>
  <c r="G342" i="38"/>
  <c r="H342" i="38"/>
  <c r="I342" i="38"/>
  <c r="J342" i="38"/>
  <c r="K342" i="38"/>
  <c r="L342" i="38"/>
  <c r="M342" i="38"/>
  <c r="N342" i="38"/>
  <c r="O342" i="38"/>
  <c r="P342" i="38"/>
  <c r="Q342" i="38"/>
  <c r="R342" i="38"/>
  <c r="S342" i="38"/>
  <c r="T342" i="38"/>
  <c r="U342" i="38"/>
  <c r="V342" i="38"/>
  <c r="W342" i="38"/>
  <c r="X342" i="38"/>
  <c r="Y342" i="38"/>
  <c r="Z342" i="38"/>
  <c r="D343" i="38"/>
  <c r="F343" i="38"/>
  <c r="G343" i="38"/>
  <c r="H343" i="38"/>
  <c r="I343" i="38"/>
  <c r="J343" i="38"/>
  <c r="K343" i="38"/>
  <c r="L343" i="38"/>
  <c r="M343" i="38"/>
  <c r="N343" i="38"/>
  <c r="O343" i="38"/>
  <c r="P343" i="38"/>
  <c r="Q343" i="38"/>
  <c r="R343" i="38"/>
  <c r="S343" i="38"/>
  <c r="T343" i="38"/>
  <c r="U343" i="38"/>
  <c r="V343" i="38"/>
  <c r="W343" i="38"/>
  <c r="X343" i="38"/>
  <c r="Y343" i="38"/>
  <c r="Z343" i="38"/>
  <c r="D345" i="38"/>
  <c r="F345" i="38"/>
  <c r="G345" i="38"/>
  <c r="H345" i="38"/>
  <c r="I345" i="38"/>
  <c r="J345" i="38"/>
  <c r="K345" i="38"/>
  <c r="L345" i="38"/>
  <c r="M345" i="38"/>
  <c r="N345" i="38"/>
  <c r="O345" i="38"/>
  <c r="P345" i="38"/>
  <c r="Q345" i="38"/>
  <c r="R345" i="38"/>
  <c r="S345" i="38"/>
  <c r="T345" i="38"/>
  <c r="U345" i="38"/>
  <c r="V345" i="38"/>
  <c r="W345" i="38"/>
  <c r="X345" i="38"/>
  <c r="Y345" i="38"/>
  <c r="Z345" i="38"/>
  <c r="D346" i="38"/>
  <c r="F346" i="38"/>
  <c r="G346" i="38"/>
  <c r="H346" i="38"/>
  <c r="I346" i="38"/>
  <c r="J346" i="38"/>
  <c r="K346" i="38"/>
  <c r="L346" i="38"/>
  <c r="M346" i="38"/>
  <c r="N346" i="38"/>
  <c r="O346" i="38"/>
  <c r="P346" i="38"/>
  <c r="Q346" i="38"/>
  <c r="R346" i="38"/>
  <c r="S346" i="38"/>
  <c r="T346" i="38"/>
  <c r="U346" i="38"/>
  <c r="V346" i="38"/>
  <c r="W346" i="38"/>
  <c r="X346" i="38"/>
  <c r="Y346" i="38"/>
  <c r="Z346" i="38"/>
  <c r="D349" i="38"/>
  <c r="F349" i="38"/>
  <c r="G349" i="38"/>
  <c r="H349" i="38"/>
  <c r="I349" i="38"/>
  <c r="J349" i="38"/>
  <c r="K349" i="38"/>
  <c r="L349" i="38"/>
  <c r="M349" i="38"/>
  <c r="N349" i="38"/>
  <c r="O349" i="38"/>
  <c r="P349" i="38"/>
  <c r="Q349" i="38"/>
  <c r="R349" i="38"/>
  <c r="S349" i="38"/>
  <c r="T349" i="38"/>
  <c r="U349" i="38"/>
  <c r="V349" i="38"/>
  <c r="W349" i="38"/>
  <c r="X349" i="38"/>
  <c r="Y349" i="38"/>
  <c r="Z349" i="38"/>
  <c r="D350" i="38"/>
  <c r="F350" i="38"/>
  <c r="G350" i="38"/>
  <c r="H350" i="38"/>
  <c r="I350" i="38"/>
  <c r="J350" i="38"/>
  <c r="K350" i="38"/>
  <c r="L350" i="38"/>
  <c r="M350" i="38"/>
  <c r="N350" i="38"/>
  <c r="O350" i="38"/>
  <c r="P350" i="38"/>
  <c r="D351" i="38"/>
  <c r="F351" i="38"/>
  <c r="G351" i="38"/>
  <c r="H351" i="38"/>
  <c r="I351" i="38"/>
  <c r="J351" i="38"/>
  <c r="K351" i="38"/>
  <c r="L351" i="38"/>
  <c r="M351" i="38"/>
  <c r="N351" i="38"/>
  <c r="O351" i="38"/>
  <c r="P351" i="38"/>
  <c r="Q351" i="38"/>
  <c r="R351" i="38"/>
  <c r="S351" i="38"/>
  <c r="T351" i="38"/>
  <c r="U351" i="38"/>
  <c r="V351" i="38"/>
  <c r="W351" i="38"/>
  <c r="X351" i="38"/>
  <c r="Y351" i="38"/>
  <c r="Z351" i="38"/>
  <c r="D353" i="38"/>
  <c r="D354" i="38"/>
  <c r="D355" i="38"/>
  <c r="F360" i="38"/>
  <c r="G360" i="38"/>
  <c r="H360" i="38"/>
  <c r="I360" i="38"/>
  <c r="J360" i="38"/>
  <c r="K360" i="38"/>
  <c r="L360" i="38"/>
  <c r="M360" i="38"/>
  <c r="N360" i="38"/>
  <c r="O360" i="38"/>
  <c r="P360" i="38"/>
  <c r="Q360" i="38"/>
  <c r="R360" i="38"/>
  <c r="S360" i="38"/>
  <c r="T360" i="38"/>
  <c r="U360" i="38"/>
  <c r="V360" i="38"/>
  <c r="W360" i="38"/>
  <c r="X360" i="38"/>
  <c r="Y360" i="38"/>
  <c r="Z360" i="38"/>
  <c r="F363" i="38"/>
  <c r="G363" i="38"/>
  <c r="H363" i="38"/>
  <c r="I363" i="38"/>
  <c r="J363" i="38"/>
  <c r="K363" i="38"/>
  <c r="L363" i="38"/>
  <c r="M363" i="38"/>
  <c r="N363" i="38"/>
  <c r="O363" i="38"/>
  <c r="P363" i="38"/>
  <c r="F364" i="38"/>
  <c r="G364" i="38"/>
  <c r="H364" i="38"/>
  <c r="I364" i="38"/>
  <c r="J364" i="38"/>
  <c r="K364" i="38"/>
  <c r="L364" i="38"/>
  <c r="M364" i="38"/>
  <c r="N364" i="38"/>
  <c r="O364" i="38"/>
  <c r="P364" i="38"/>
  <c r="P365" i="38"/>
  <c r="P366" i="38"/>
  <c r="D367" i="38"/>
  <c r="F367" i="38"/>
  <c r="G367" i="38"/>
  <c r="H367" i="38"/>
  <c r="I367" i="38"/>
  <c r="J367" i="38"/>
  <c r="K367" i="38"/>
  <c r="L367" i="38"/>
  <c r="M367" i="38"/>
  <c r="N367" i="38"/>
  <c r="O367" i="38"/>
  <c r="P367" i="38"/>
  <c r="Q367" i="38"/>
  <c r="R367" i="38"/>
  <c r="S367" i="38"/>
  <c r="T367" i="38"/>
  <c r="U367" i="38"/>
  <c r="V367" i="38"/>
  <c r="W367" i="38"/>
  <c r="X367" i="38"/>
  <c r="Y367" i="38"/>
  <c r="Z367" i="38"/>
  <c r="D369" i="38"/>
  <c r="F372" i="38"/>
  <c r="G372" i="38"/>
  <c r="H372" i="38"/>
  <c r="I372" i="38"/>
  <c r="J372" i="38"/>
  <c r="K372" i="38"/>
  <c r="L372" i="38"/>
  <c r="M372" i="38"/>
  <c r="N372" i="38"/>
  <c r="O372" i="38"/>
  <c r="P372" i="38"/>
  <c r="Q372" i="38"/>
  <c r="R372" i="38"/>
  <c r="S372" i="38"/>
  <c r="T372" i="38"/>
  <c r="U372" i="38"/>
  <c r="V372" i="38"/>
  <c r="W372" i="38"/>
  <c r="X372" i="38"/>
  <c r="Y372" i="38"/>
  <c r="Z372" i="38"/>
  <c r="F373" i="38"/>
  <c r="G373" i="38"/>
  <c r="H373" i="38"/>
  <c r="I373" i="38"/>
  <c r="J373" i="38"/>
  <c r="K373" i="38"/>
  <c r="L373" i="38"/>
  <c r="M373" i="38"/>
  <c r="N373" i="38"/>
  <c r="O373" i="38"/>
  <c r="P373" i="38"/>
  <c r="Q373" i="38"/>
  <c r="R373" i="38"/>
  <c r="S373" i="38"/>
  <c r="T373" i="38"/>
  <c r="U373" i="38"/>
  <c r="V373" i="38"/>
  <c r="W373" i="38"/>
  <c r="X373" i="38"/>
  <c r="Y373" i="38"/>
  <c r="Z373" i="38"/>
  <c r="L374" i="38"/>
  <c r="L375" i="38"/>
  <c r="F376" i="38"/>
  <c r="G376" i="38"/>
  <c r="H376" i="38"/>
  <c r="I376" i="38"/>
  <c r="J376" i="38"/>
  <c r="K376" i="38"/>
  <c r="L376" i="38"/>
  <c r="M376" i="38"/>
  <c r="N376" i="38"/>
  <c r="O376" i="38"/>
  <c r="P376" i="38"/>
  <c r="F377" i="38"/>
  <c r="G377" i="38"/>
  <c r="H377" i="38"/>
  <c r="I377" i="38"/>
  <c r="J377" i="38"/>
  <c r="K377" i="38"/>
  <c r="L377" i="38"/>
  <c r="M377" i="38"/>
  <c r="N377" i="38"/>
  <c r="O377" i="38"/>
  <c r="P377" i="38"/>
  <c r="P378" i="38"/>
  <c r="D380" i="38"/>
  <c r="F380" i="38"/>
  <c r="G380" i="38"/>
  <c r="H380" i="38"/>
  <c r="I380" i="38"/>
  <c r="J380" i="38"/>
  <c r="K380" i="38"/>
  <c r="L380" i="38"/>
  <c r="M380" i="38"/>
  <c r="N380" i="38"/>
  <c r="O380" i="38"/>
  <c r="P380" i="38"/>
  <c r="Q380" i="38"/>
  <c r="R380" i="38"/>
  <c r="S380" i="38"/>
  <c r="T380" i="38"/>
  <c r="U380" i="38"/>
  <c r="V380" i="38"/>
  <c r="W380" i="38"/>
  <c r="X380" i="38"/>
  <c r="Y380" i="38"/>
  <c r="Z380" i="38"/>
  <c r="D382" i="38"/>
  <c r="D383" i="38"/>
  <c r="K385" i="38"/>
  <c r="L385" i="38"/>
  <c r="M385" i="38"/>
  <c r="N385" i="38"/>
  <c r="O385" i="38"/>
  <c r="P385" i="38"/>
  <c r="D388" i="38"/>
  <c r="G388" i="38"/>
  <c r="H388" i="38"/>
  <c r="I388" i="38"/>
  <c r="J388" i="38"/>
  <c r="K388" i="38"/>
  <c r="L388" i="38"/>
  <c r="M388" i="38"/>
  <c r="N388" i="38"/>
  <c r="O388" i="38"/>
  <c r="P388" i="38"/>
  <c r="Q388" i="38"/>
  <c r="R388" i="38"/>
  <c r="S388" i="38"/>
  <c r="T388" i="38"/>
  <c r="U388" i="38"/>
  <c r="V388" i="38"/>
  <c r="W388" i="38"/>
  <c r="X388" i="38"/>
  <c r="Y388" i="38"/>
  <c r="Z388" i="38"/>
  <c r="D389" i="38"/>
  <c r="F389" i="38"/>
  <c r="G389" i="38"/>
  <c r="H389" i="38"/>
  <c r="I389" i="38"/>
  <c r="J389" i="38"/>
  <c r="K389" i="38"/>
  <c r="L389" i="38"/>
  <c r="M389" i="38"/>
  <c r="N389" i="38"/>
  <c r="O389" i="38"/>
  <c r="P389" i="38"/>
  <c r="Q389" i="38"/>
  <c r="R389" i="38"/>
  <c r="S389" i="38"/>
  <c r="T389" i="38"/>
  <c r="U389" i="38"/>
  <c r="V389" i="38"/>
  <c r="W389" i="38"/>
  <c r="X389" i="38"/>
  <c r="Y389" i="38"/>
  <c r="Z389" i="38"/>
  <c r="D390" i="38"/>
  <c r="F390" i="38"/>
  <c r="G390" i="38"/>
  <c r="H390" i="38"/>
  <c r="I390" i="38"/>
  <c r="J390" i="38"/>
  <c r="K390" i="38"/>
  <c r="L390" i="38"/>
  <c r="M390" i="38"/>
  <c r="N390" i="38"/>
  <c r="O390" i="38"/>
  <c r="P390" i="38"/>
  <c r="D391" i="38"/>
  <c r="J391" i="38"/>
  <c r="K391" i="38"/>
  <c r="L391" i="38"/>
  <c r="M391" i="38"/>
  <c r="N391" i="38"/>
  <c r="O391" i="38"/>
  <c r="P391" i="38"/>
  <c r="D392" i="38"/>
  <c r="F392" i="38"/>
  <c r="G392" i="38"/>
  <c r="H392" i="38"/>
  <c r="I392" i="38"/>
  <c r="J392" i="38"/>
  <c r="K392" i="38"/>
  <c r="L392" i="38"/>
  <c r="M392" i="38"/>
  <c r="N392" i="38"/>
  <c r="O392" i="38"/>
  <c r="P392" i="38"/>
  <c r="D393" i="38"/>
  <c r="P393" i="38"/>
  <c r="D394" i="38"/>
  <c r="P394" i="38"/>
  <c r="D395" i="38"/>
  <c r="F395" i="38"/>
  <c r="G395" i="38"/>
  <c r="H395" i="38"/>
  <c r="I395" i="38"/>
  <c r="J395" i="38"/>
  <c r="K395" i="38"/>
  <c r="L395" i="38"/>
  <c r="M395" i="38"/>
  <c r="N395" i="38"/>
  <c r="O395" i="38"/>
  <c r="P395" i="38"/>
  <c r="Q395" i="38"/>
  <c r="R395" i="38"/>
  <c r="S395" i="38"/>
  <c r="T395" i="38"/>
  <c r="U395" i="38"/>
  <c r="V395" i="38"/>
  <c r="W395" i="38"/>
  <c r="X395" i="38"/>
  <c r="Y395" i="38"/>
  <c r="Z395" i="38"/>
  <c r="F400" i="38"/>
  <c r="G400" i="38"/>
  <c r="H400" i="38"/>
  <c r="I400" i="38"/>
  <c r="J400" i="38"/>
  <c r="K400" i="38"/>
  <c r="L400" i="38"/>
  <c r="M400" i="38"/>
  <c r="N400" i="38"/>
  <c r="O400" i="38"/>
  <c r="P400" i="38"/>
  <c r="Q400" i="38"/>
  <c r="R400" i="38"/>
  <c r="S400" i="38"/>
  <c r="T400" i="38"/>
  <c r="U400" i="38"/>
  <c r="V400" i="38"/>
  <c r="W400" i="38"/>
  <c r="X400" i="38"/>
  <c r="Y400" i="38"/>
  <c r="Z400" i="38"/>
  <c r="F403" i="38"/>
  <c r="G403" i="38"/>
  <c r="H403" i="38"/>
  <c r="I403" i="38"/>
  <c r="J403" i="38"/>
  <c r="K403" i="38"/>
  <c r="L403" i="38"/>
  <c r="M403" i="38"/>
  <c r="N403" i="38"/>
  <c r="O403" i="38"/>
  <c r="P403" i="38"/>
  <c r="F404" i="38"/>
  <c r="G404" i="38"/>
  <c r="H404" i="38"/>
  <c r="I404" i="38"/>
  <c r="J404" i="38"/>
  <c r="K404" i="38"/>
  <c r="L404" i="38"/>
  <c r="M404" i="38"/>
  <c r="N404" i="38"/>
  <c r="O404" i="38"/>
  <c r="P404" i="38"/>
  <c r="I405" i="38"/>
  <c r="P405" i="38"/>
  <c r="P406" i="38"/>
  <c r="D407" i="38"/>
  <c r="F407" i="38"/>
  <c r="G407" i="38"/>
  <c r="H407" i="38"/>
  <c r="I407" i="38"/>
  <c r="J407" i="38"/>
  <c r="K407" i="38"/>
  <c r="L407" i="38"/>
  <c r="M407" i="38"/>
  <c r="N407" i="38"/>
  <c r="O407" i="38"/>
  <c r="P407" i="38"/>
  <c r="Q407" i="38"/>
  <c r="R407" i="38"/>
  <c r="S407" i="38"/>
  <c r="T407" i="38"/>
  <c r="U407" i="38"/>
  <c r="V407" i="38"/>
  <c r="W407" i="38"/>
  <c r="X407" i="38"/>
  <c r="Y407" i="38"/>
  <c r="Z407" i="38"/>
  <c r="D409" i="38"/>
  <c r="F412" i="38"/>
  <c r="G412" i="38"/>
  <c r="H412" i="38"/>
  <c r="I412" i="38"/>
  <c r="J412" i="38"/>
  <c r="K412" i="38"/>
  <c r="L412" i="38"/>
  <c r="M412" i="38"/>
  <c r="N412" i="38"/>
  <c r="O412" i="38"/>
  <c r="P412" i="38"/>
  <c r="Q412" i="38"/>
  <c r="R412" i="38"/>
  <c r="S412" i="38"/>
  <c r="T412" i="38"/>
  <c r="U412" i="38"/>
  <c r="V412" i="38"/>
  <c r="W412" i="38"/>
  <c r="X412" i="38"/>
  <c r="Y412" i="38"/>
  <c r="Z412" i="38"/>
  <c r="F413" i="38"/>
  <c r="G413" i="38"/>
  <c r="H413" i="38"/>
  <c r="I413" i="38"/>
  <c r="J413" i="38"/>
  <c r="K413" i="38"/>
  <c r="L413" i="38"/>
  <c r="M413" i="38"/>
  <c r="N413" i="38"/>
  <c r="O413" i="38"/>
  <c r="P413" i="38"/>
  <c r="Q413" i="38"/>
  <c r="R413" i="38"/>
  <c r="S413" i="38"/>
  <c r="T413" i="38"/>
  <c r="U413" i="38"/>
  <c r="V413" i="38"/>
  <c r="W413" i="38"/>
  <c r="X413" i="38"/>
  <c r="Y413" i="38"/>
  <c r="Z413" i="38"/>
  <c r="L414" i="38"/>
  <c r="L415" i="38"/>
  <c r="F416" i="38"/>
  <c r="G416" i="38"/>
  <c r="H416" i="38"/>
  <c r="I416" i="38"/>
  <c r="J416" i="38"/>
  <c r="K416" i="38"/>
  <c r="L416" i="38"/>
  <c r="M416" i="38"/>
  <c r="N416" i="38"/>
  <c r="O416" i="38"/>
  <c r="P416" i="38"/>
  <c r="F417" i="38"/>
  <c r="G417" i="38"/>
  <c r="H417" i="38"/>
  <c r="I417" i="38"/>
  <c r="J417" i="38"/>
  <c r="K417" i="38"/>
  <c r="L417" i="38"/>
  <c r="M417" i="38"/>
  <c r="N417" i="38"/>
  <c r="O417" i="38"/>
  <c r="P417" i="38"/>
  <c r="I418" i="38"/>
  <c r="P418" i="38"/>
  <c r="D420" i="38"/>
  <c r="F420" i="38"/>
  <c r="G420" i="38"/>
  <c r="H420" i="38"/>
  <c r="I420" i="38"/>
  <c r="J420" i="38"/>
  <c r="K420" i="38"/>
  <c r="L420" i="38"/>
  <c r="M420" i="38"/>
  <c r="N420" i="38"/>
  <c r="O420" i="38"/>
  <c r="P420" i="38"/>
  <c r="Q420" i="38"/>
  <c r="R420" i="38"/>
  <c r="S420" i="38"/>
  <c r="T420" i="38"/>
  <c r="U420" i="38"/>
  <c r="V420" i="38"/>
  <c r="W420" i="38"/>
  <c r="X420" i="38"/>
  <c r="Y420" i="38"/>
  <c r="Z420" i="38"/>
  <c r="D422" i="38"/>
  <c r="D423" i="38"/>
  <c r="K425" i="38"/>
  <c r="L425" i="38"/>
  <c r="M425" i="38"/>
  <c r="N425" i="38"/>
  <c r="O425" i="38"/>
  <c r="P425" i="38"/>
  <c r="D428" i="38"/>
  <c r="G428" i="38"/>
  <c r="H428" i="38"/>
  <c r="I428" i="38"/>
  <c r="J428" i="38"/>
  <c r="K428" i="38"/>
  <c r="L428" i="38"/>
  <c r="M428" i="38"/>
  <c r="N428" i="38"/>
  <c r="O428" i="38"/>
  <c r="P428" i="38"/>
  <c r="Q428" i="38"/>
  <c r="R428" i="38"/>
  <c r="S428" i="38"/>
  <c r="T428" i="38"/>
  <c r="U428" i="38"/>
  <c r="V428" i="38"/>
  <c r="W428" i="38"/>
  <c r="X428" i="38"/>
  <c r="Y428" i="38"/>
  <c r="Z428" i="38"/>
  <c r="D429" i="38"/>
  <c r="F429" i="38"/>
  <c r="G429" i="38"/>
  <c r="H429" i="38"/>
  <c r="I429" i="38"/>
  <c r="J429" i="38"/>
  <c r="K429" i="38"/>
  <c r="L429" i="38"/>
  <c r="M429" i="38"/>
  <c r="N429" i="38"/>
  <c r="O429" i="38"/>
  <c r="P429" i="38"/>
  <c r="Q429" i="38"/>
  <c r="R429" i="38"/>
  <c r="S429" i="38"/>
  <c r="T429" i="38"/>
  <c r="U429" i="38"/>
  <c r="V429" i="38"/>
  <c r="W429" i="38"/>
  <c r="X429" i="38"/>
  <c r="Y429" i="38"/>
  <c r="Z429" i="38"/>
  <c r="D430" i="38"/>
  <c r="F430" i="38"/>
  <c r="G430" i="38"/>
  <c r="H430" i="38"/>
  <c r="I430" i="38"/>
  <c r="J430" i="38"/>
  <c r="K430" i="38"/>
  <c r="L430" i="38"/>
  <c r="M430" i="38"/>
  <c r="N430" i="38"/>
  <c r="O430" i="38"/>
  <c r="P430" i="38"/>
  <c r="D431" i="38"/>
  <c r="J431" i="38"/>
  <c r="K431" i="38"/>
  <c r="L431" i="38"/>
  <c r="M431" i="38"/>
  <c r="N431" i="38"/>
  <c r="O431" i="38"/>
  <c r="P431" i="38"/>
  <c r="D432" i="38"/>
  <c r="F432" i="38"/>
  <c r="G432" i="38"/>
  <c r="H432" i="38"/>
  <c r="I432" i="38"/>
  <c r="J432" i="38"/>
  <c r="K432" i="38"/>
  <c r="L432" i="38"/>
  <c r="M432" i="38"/>
  <c r="N432" i="38"/>
  <c r="O432" i="38"/>
  <c r="P432" i="38"/>
  <c r="D433" i="38"/>
  <c r="I433" i="38"/>
  <c r="P433" i="38"/>
  <c r="D434" i="38"/>
  <c r="P434" i="38"/>
  <c r="D435" i="38"/>
  <c r="F435" i="38"/>
  <c r="G435" i="38"/>
  <c r="H435" i="38"/>
  <c r="I435" i="38"/>
  <c r="J435" i="38"/>
  <c r="K435" i="38"/>
  <c r="L435" i="38"/>
  <c r="M435" i="38"/>
  <c r="N435" i="38"/>
  <c r="O435" i="38"/>
  <c r="P435" i="38"/>
  <c r="Q435" i="38"/>
  <c r="R435" i="38"/>
  <c r="S435" i="38"/>
  <c r="T435" i="38"/>
  <c r="U435" i="38"/>
  <c r="V435" i="38"/>
  <c r="W435" i="38"/>
  <c r="X435" i="38"/>
  <c r="Y435" i="38"/>
  <c r="Z435" i="38"/>
  <c r="F24" i="50"/>
  <c r="G24" i="50"/>
  <c r="H24" i="50"/>
  <c r="I24" i="50"/>
  <c r="J24" i="50"/>
  <c r="K24" i="50"/>
  <c r="L24" i="50"/>
  <c r="M24" i="50"/>
  <c r="N24" i="50"/>
  <c r="O24" i="50"/>
  <c r="P24" i="50"/>
  <c r="Q24" i="50"/>
  <c r="R24" i="50"/>
  <c r="S24" i="50"/>
  <c r="T24" i="50"/>
  <c r="U24" i="50"/>
  <c r="V24" i="50"/>
  <c r="W24" i="50"/>
  <c r="X24" i="50"/>
  <c r="Y24" i="50"/>
  <c r="Z24" i="50"/>
  <c r="F25" i="50"/>
  <c r="G25" i="50"/>
  <c r="H25" i="50"/>
  <c r="I25" i="50"/>
  <c r="J25" i="50"/>
  <c r="K25" i="50"/>
  <c r="L25" i="50"/>
  <c r="M25" i="50"/>
  <c r="N25" i="50"/>
  <c r="O25" i="50"/>
  <c r="P25" i="50"/>
  <c r="Q25" i="50"/>
  <c r="R25" i="50"/>
  <c r="S25" i="50"/>
  <c r="T25" i="50"/>
  <c r="U25" i="50"/>
  <c r="V25" i="50"/>
  <c r="W25" i="50"/>
  <c r="X25" i="50"/>
  <c r="Y25" i="50"/>
  <c r="Z25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F28" i="50"/>
  <c r="G28" i="50"/>
  <c r="H28" i="50"/>
  <c r="I28" i="50"/>
  <c r="J28" i="50"/>
  <c r="K28" i="50"/>
  <c r="L28" i="50"/>
  <c r="M28" i="50"/>
  <c r="N28" i="50"/>
  <c r="O28" i="50"/>
  <c r="P28" i="50"/>
  <c r="Q28" i="50"/>
  <c r="R28" i="50"/>
  <c r="S28" i="50"/>
  <c r="T28" i="50"/>
  <c r="U28" i="50"/>
  <c r="V28" i="50"/>
  <c r="W28" i="50"/>
  <c r="X28" i="50"/>
  <c r="Y28" i="50"/>
  <c r="Z28" i="50"/>
  <c r="F29" i="50"/>
  <c r="G29" i="50"/>
  <c r="H29" i="50"/>
  <c r="I29" i="50"/>
  <c r="J29" i="50"/>
  <c r="K29" i="50"/>
  <c r="L29" i="50"/>
  <c r="M29" i="50"/>
  <c r="N29" i="50"/>
  <c r="O29" i="50"/>
  <c r="P29" i="50"/>
  <c r="Q29" i="50"/>
  <c r="R29" i="50"/>
  <c r="S29" i="50"/>
  <c r="T29" i="50"/>
  <c r="U29" i="50"/>
  <c r="V29" i="50"/>
  <c r="W29" i="50"/>
  <c r="X29" i="50"/>
  <c r="Y29" i="50"/>
  <c r="Z29" i="50"/>
  <c r="F47" i="50"/>
  <c r="G47" i="50"/>
  <c r="H47" i="50"/>
  <c r="I47" i="50"/>
  <c r="J47" i="50"/>
  <c r="K47" i="50"/>
  <c r="L47" i="50"/>
  <c r="M47" i="50"/>
  <c r="N47" i="50"/>
  <c r="O47" i="50"/>
  <c r="P47" i="50"/>
  <c r="Q47" i="50"/>
  <c r="R47" i="50"/>
  <c r="S47" i="50"/>
  <c r="T47" i="50"/>
  <c r="U47" i="50"/>
  <c r="V47" i="50"/>
  <c r="W47" i="50"/>
  <c r="X47" i="50"/>
  <c r="Y47" i="50"/>
  <c r="Z47" i="50"/>
  <c r="F48" i="50"/>
  <c r="G48" i="50"/>
  <c r="H48" i="50"/>
  <c r="I48" i="50"/>
  <c r="J48" i="50"/>
  <c r="K48" i="50"/>
  <c r="L48" i="50"/>
  <c r="M48" i="50"/>
  <c r="N48" i="50"/>
  <c r="O48" i="50"/>
  <c r="P48" i="50"/>
  <c r="Q48" i="50"/>
  <c r="R48" i="50"/>
  <c r="S48" i="50"/>
  <c r="T48" i="50"/>
  <c r="U48" i="50"/>
  <c r="V48" i="50"/>
  <c r="W48" i="50"/>
  <c r="X48" i="50"/>
  <c r="Y48" i="50"/>
  <c r="Z48" i="50"/>
  <c r="F50" i="50"/>
  <c r="G50" i="50"/>
  <c r="H50" i="50"/>
  <c r="I50" i="50"/>
  <c r="J50" i="50"/>
  <c r="K50" i="50"/>
  <c r="L50" i="50"/>
  <c r="M50" i="50"/>
  <c r="N50" i="50"/>
  <c r="O50" i="50"/>
  <c r="P50" i="50"/>
  <c r="Q50" i="50"/>
  <c r="R50" i="50"/>
  <c r="S50" i="50"/>
  <c r="T50" i="50"/>
  <c r="U50" i="50"/>
  <c r="V50" i="50"/>
  <c r="W50" i="50"/>
  <c r="X50" i="50"/>
  <c r="Y50" i="50"/>
  <c r="Z50" i="50"/>
  <c r="F51" i="50"/>
  <c r="G51" i="50"/>
  <c r="H51" i="50"/>
  <c r="I51" i="50"/>
  <c r="J51" i="50"/>
  <c r="K51" i="50"/>
  <c r="L51" i="50"/>
  <c r="M51" i="50"/>
  <c r="N51" i="50"/>
  <c r="O51" i="50"/>
  <c r="P51" i="50"/>
  <c r="Q51" i="50"/>
  <c r="R51" i="50"/>
  <c r="S51" i="50"/>
  <c r="T51" i="50"/>
  <c r="U51" i="50"/>
  <c r="V51" i="50"/>
  <c r="W51" i="50"/>
  <c r="X51" i="50"/>
  <c r="Y51" i="50"/>
  <c r="Z51" i="50"/>
  <c r="F52" i="50"/>
  <c r="G52" i="50"/>
  <c r="H52" i="50"/>
  <c r="I52" i="50"/>
  <c r="J52" i="50"/>
  <c r="K52" i="50"/>
  <c r="L52" i="50"/>
  <c r="M52" i="50"/>
  <c r="N52" i="50"/>
  <c r="O52" i="50"/>
  <c r="P52" i="50"/>
  <c r="Q52" i="50"/>
  <c r="R52" i="50"/>
  <c r="S52" i="50"/>
  <c r="T52" i="50"/>
  <c r="U52" i="50"/>
  <c r="V52" i="50"/>
  <c r="W52" i="50"/>
  <c r="X52" i="50"/>
  <c r="Y52" i="50"/>
  <c r="Z52" i="50"/>
  <c r="F64" i="50"/>
  <c r="G64" i="50"/>
  <c r="H64" i="50"/>
  <c r="I64" i="50"/>
  <c r="J64" i="50"/>
  <c r="K64" i="50"/>
  <c r="L64" i="50"/>
  <c r="M64" i="50"/>
  <c r="N64" i="50"/>
  <c r="O64" i="50"/>
  <c r="P64" i="50"/>
  <c r="Q64" i="50"/>
  <c r="R64" i="50"/>
  <c r="S64" i="50"/>
  <c r="T64" i="50"/>
  <c r="U64" i="50"/>
  <c r="V64" i="50"/>
  <c r="W64" i="50"/>
  <c r="X64" i="50"/>
  <c r="Y64" i="50"/>
  <c r="Z64" i="50"/>
  <c r="F65" i="50"/>
  <c r="G65" i="50"/>
  <c r="H65" i="50"/>
  <c r="I65" i="50"/>
  <c r="J65" i="50"/>
  <c r="K65" i="50"/>
  <c r="L65" i="50"/>
  <c r="M65" i="50"/>
  <c r="N65" i="50"/>
  <c r="O65" i="50"/>
  <c r="P65" i="50"/>
  <c r="Q65" i="50"/>
  <c r="R65" i="50"/>
  <c r="S65" i="50"/>
  <c r="T65" i="50"/>
  <c r="U65" i="50"/>
  <c r="V65" i="50"/>
  <c r="W65" i="50"/>
  <c r="X65" i="50"/>
  <c r="Y65" i="50"/>
  <c r="Z65" i="50"/>
  <c r="F68" i="50"/>
  <c r="G68" i="50"/>
  <c r="H68" i="50"/>
  <c r="I68" i="50"/>
  <c r="J68" i="50"/>
  <c r="K68" i="50"/>
  <c r="L68" i="50"/>
  <c r="M68" i="50"/>
  <c r="N68" i="50"/>
  <c r="O68" i="50"/>
  <c r="P68" i="50"/>
  <c r="Q68" i="50"/>
  <c r="R68" i="50"/>
  <c r="S68" i="50"/>
  <c r="T68" i="50"/>
  <c r="U68" i="50"/>
  <c r="V68" i="50"/>
  <c r="W68" i="50"/>
  <c r="X68" i="50"/>
  <c r="Y68" i="50"/>
  <c r="Z68" i="50"/>
  <c r="F69" i="50"/>
  <c r="G69" i="50"/>
  <c r="H69" i="50"/>
  <c r="I69" i="50"/>
  <c r="J69" i="50"/>
  <c r="K69" i="50"/>
  <c r="L69" i="50"/>
  <c r="M69" i="50"/>
  <c r="N69" i="50"/>
  <c r="O69" i="50"/>
  <c r="P69" i="50"/>
  <c r="Q69" i="50"/>
  <c r="R69" i="50"/>
  <c r="S69" i="50"/>
  <c r="T69" i="50"/>
  <c r="U69" i="50"/>
  <c r="V69" i="50"/>
  <c r="W69" i="50"/>
  <c r="X69" i="50"/>
  <c r="Y69" i="50"/>
  <c r="Z69" i="50"/>
  <c r="F71" i="50"/>
  <c r="G71" i="50"/>
  <c r="H71" i="50"/>
  <c r="I71" i="50"/>
  <c r="J71" i="50"/>
  <c r="K71" i="50"/>
  <c r="L71" i="50"/>
  <c r="M71" i="50"/>
  <c r="N71" i="50"/>
  <c r="O71" i="50"/>
  <c r="P71" i="50"/>
  <c r="Q71" i="50"/>
  <c r="R71" i="50"/>
  <c r="S71" i="50"/>
  <c r="T71" i="50"/>
  <c r="U71" i="50"/>
  <c r="V71" i="50"/>
  <c r="W71" i="50"/>
  <c r="X71" i="50"/>
  <c r="Y71" i="50"/>
  <c r="Z71" i="50"/>
  <c r="F72" i="50"/>
  <c r="G72" i="50"/>
  <c r="H72" i="50"/>
  <c r="I72" i="50"/>
  <c r="J72" i="50"/>
  <c r="K72" i="50"/>
  <c r="L72" i="50"/>
  <c r="M72" i="50"/>
  <c r="N72" i="50"/>
  <c r="O72" i="50"/>
  <c r="P72" i="50"/>
  <c r="Q72" i="50"/>
  <c r="R72" i="50"/>
  <c r="S72" i="50"/>
  <c r="T72" i="50"/>
  <c r="U72" i="50"/>
  <c r="V72" i="50"/>
  <c r="W72" i="50"/>
  <c r="X72" i="50"/>
  <c r="Y72" i="50"/>
  <c r="Z72" i="50"/>
  <c r="F73" i="50"/>
  <c r="G73" i="50"/>
  <c r="H73" i="50"/>
  <c r="I73" i="50"/>
  <c r="J73" i="50"/>
  <c r="K73" i="50"/>
  <c r="L73" i="50"/>
  <c r="M73" i="50"/>
  <c r="N73" i="50"/>
  <c r="O73" i="50"/>
  <c r="P73" i="50"/>
  <c r="Q73" i="50"/>
  <c r="R73" i="50"/>
  <c r="S73" i="50"/>
  <c r="T73" i="50"/>
  <c r="U73" i="50"/>
  <c r="V73" i="50"/>
  <c r="W73" i="50"/>
  <c r="X73" i="50"/>
  <c r="Y73" i="50"/>
  <c r="Z73" i="50"/>
  <c r="F85" i="50"/>
  <c r="G85" i="50"/>
  <c r="H85" i="50"/>
  <c r="I85" i="50"/>
  <c r="J85" i="50"/>
  <c r="K85" i="50"/>
  <c r="L85" i="50"/>
  <c r="M85" i="50"/>
  <c r="N85" i="50"/>
  <c r="O85" i="50"/>
  <c r="P85" i="50"/>
  <c r="Q85" i="50"/>
  <c r="R85" i="50"/>
  <c r="S85" i="50"/>
  <c r="T85" i="50"/>
  <c r="U85" i="50"/>
  <c r="V85" i="50"/>
  <c r="W85" i="50"/>
  <c r="X85" i="50"/>
  <c r="Y85" i="50"/>
  <c r="Z85" i="50"/>
  <c r="F86" i="50"/>
  <c r="G86" i="50"/>
  <c r="H86" i="50"/>
  <c r="I86" i="50"/>
  <c r="J86" i="50"/>
  <c r="K86" i="50"/>
  <c r="L86" i="50"/>
  <c r="M86" i="50"/>
  <c r="N86" i="50"/>
  <c r="O86" i="50"/>
  <c r="P86" i="50"/>
  <c r="Q86" i="50"/>
  <c r="R86" i="50"/>
  <c r="S86" i="50"/>
  <c r="T86" i="50"/>
  <c r="U86" i="50"/>
  <c r="V86" i="50"/>
  <c r="W86" i="50"/>
  <c r="X86" i="50"/>
  <c r="Y86" i="50"/>
  <c r="Z86" i="50"/>
  <c r="F89" i="50"/>
  <c r="G89" i="50"/>
  <c r="H89" i="50"/>
  <c r="I89" i="50"/>
  <c r="J89" i="50"/>
  <c r="K89" i="50"/>
  <c r="L89" i="50"/>
  <c r="M89" i="50"/>
  <c r="N89" i="50"/>
  <c r="O89" i="50"/>
  <c r="P89" i="50"/>
  <c r="Q89" i="50"/>
  <c r="R89" i="50"/>
  <c r="S89" i="50"/>
  <c r="T89" i="50"/>
  <c r="U89" i="50"/>
  <c r="V89" i="50"/>
  <c r="W89" i="50"/>
  <c r="X89" i="50"/>
  <c r="Y89" i="50"/>
  <c r="Z89" i="50"/>
  <c r="F90" i="50"/>
  <c r="G90" i="50"/>
  <c r="H90" i="50"/>
  <c r="I90" i="50"/>
  <c r="J90" i="50"/>
  <c r="K90" i="50"/>
  <c r="L90" i="50"/>
  <c r="M90" i="50"/>
  <c r="N90" i="50"/>
  <c r="O90" i="50"/>
  <c r="P90" i="50"/>
  <c r="Q90" i="50"/>
  <c r="R90" i="50"/>
  <c r="S90" i="50"/>
  <c r="T90" i="50"/>
  <c r="U90" i="50"/>
  <c r="V90" i="50"/>
  <c r="W90" i="50"/>
  <c r="X90" i="50"/>
  <c r="Y90" i="50"/>
  <c r="Z90" i="50"/>
  <c r="F92" i="50"/>
  <c r="G92" i="50"/>
  <c r="H92" i="50"/>
  <c r="I92" i="50"/>
  <c r="J92" i="50"/>
  <c r="K92" i="50"/>
  <c r="L92" i="50"/>
  <c r="M92" i="50"/>
  <c r="N92" i="50"/>
  <c r="O92" i="50"/>
  <c r="P92" i="50"/>
  <c r="Q92" i="50"/>
  <c r="R92" i="50"/>
  <c r="S92" i="50"/>
  <c r="T92" i="50"/>
  <c r="U92" i="50"/>
  <c r="V92" i="50"/>
  <c r="W92" i="50"/>
  <c r="X92" i="50"/>
  <c r="Y92" i="50"/>
  <c r="Z92" i="50"/>
  <c r="F93" i="50"/>
  <c r="G93" i="50"/>
  <c r="H93" i="50"/>
  <c r="I93" i="50"/>
  <c r="J93" i="50"/>
  <c r="K93" i="50"/>
  <c r="L93" i="50"/>
  <c r="M93" i="50"/>
  <c r="N93" i="50"/>
  <c r="O93" i="50"/>
  <c r="P93" i="50"/>
  <c r="Q93" i="50"/>
  <c r="R93" i="50"/>
  <c r="S93" i="50"/>
  <c r="T93" i="50"/>
  <c r="U93" i="50"/>
  <c r="V93" i="50"/>
  <c r="W93" i="50"/>
  <c r="X93" i="50"/>
  <c r="Y93" i="50"/>
  <c r="Z93" i="50"/>
  <c r="F94" i="50"/>
  <c r="G94" i="50"/>
  <c r="H94" i="50"/>
  <c r="I94" i="50"/>
  <c r="J94" i="50"/>
  <c r="K94" i="50"/>
  <c r="L94" i="50"/>
  <c r="M94" i="50"/>
  <c r="N94" i="50"/>
  <c r="O94" i="50"/>
  <c r="P94" i="50"/>
  <c r="Q94" i="50"/>
  <c r="R94" i="50"/>
  <c r="S94" i="50"/>
  <c r="T94" i="50"/>
  <c r="U94" i="50"/>
  <c r="V94" i="50"/>
  <c r="W94" i="50"/>
  <c r="X94" i="50"/>
  <c r="Y94" i="50"/>
  <c r="Z94" i="50"/>
  <c r="F106" i="50"/>
  <c r="G106" i="50"/>
  <c r="H106" i="50"/>
  <c r="I106" i="50"/>
  <c r="J106" i="50"/>
  <c r="K106" i="50"/>
  <c r="L106" i="50"/>
  <c r="M106" i="50"/>
  <c r="N106" i="50"/>
  <c r="O106" i="50"/>
  <c r="P106" i="50"/>
  <c r="Q106" i="50"/>
  <c r="R106" i="50"/>
  <c r="S106" i="50"/>
  <c r="T106" i="50"/>
  <c r="U106" i="50"/>
  <c r="V106" i="50"/>
  <c r="W106" i="50"/>
  <c r="X106" i="50"/>
  <c r="Y106" i="50"/>
  <c r="Z106" i="50"/>
  <c r="F107" i="50"/>
  <c r="G107" i="50"/>
  <c r="H107" i="50"/>
  <c r="I107" i="50"/>
  <c r="J107" i="50"/>
  <c r="K107" i="50"/>
  <c r="L107" i="50"/>
  <c r="M107" i="50"/>
  <c r="N107" i="50"/>
  <c r="O107" i="50"/>
  <c r="P107" i="50"/>
  <c r="Q107" i="50"/>
  <c r="R107" i="50"/>
  <c r="S107" i="50"/>
  <c r="T107" i="50"/>
  <c r="U107" i="50"/>
  <c r="V107" i="50"/>
  <c r="W107" i="50"/>
  <c r="X107" i="50"/>
  <c r="Y107" i="50"/>
  <c r="Z107" i="50"/>
  <c r="F110" i="50"/>
  <c r="G110" i="50"/>
  <c r="H110" i="50"/>
  <c r="I110" i="50"/>
  <c r="J110" i="50"/>
  <c r="K110" i="50"/>
  <c r="L110" i="50"/>
  <c r="M110" i="50"/>
  <c r="N110" i="50"/>
  <c r="O110" i="50"/>
  <c r="P110" i="50"/>
  <c r="Q110" i="50"/>
  <c r="R110" i="50"/>
  <c r="S110" i="50"/>
  <c r="T110" i="50"/>
  <c r="U110" i="50"/>
  <c r="V110" i="50"/>
  <c r="W110" i="50"/>
  <c r="X110" i="50"/>
  <c r="Y110" i="50"/>
  <c r="Z110" i="50"/>
  <c r="F111" i="50"/>
  <c r="G111" i="50"/>
  <c r="H111" i="50"/>
  <c r="I111" i="50"/>
  <c r="J111" i="50"/>
  <c r="K111" i="50"/>
  <c r="L111" i="50"/>
  <c r="M111" i="50"/>
  <c r="N111" i="50"/>
  <c r="O111" i="50"/>
  <c r="P111" i="50"/>
  <c r="Q111" i="50"/>
  <c r="R111" i="50"/>
  <c r="S111" i="50"/>
  <c r="T111" i="50"/>
  <c r="U111" i="50"/>
  <c r="V111" i="50"/>
  <c r="W111" i="50"/>
  <c r="X111" i="50"/>
  <c r="Y111" i="50"/>
  <c r="Z111" i="50"/>
  <c r="F113" i="50"/>
  <c r="G113" i="50"/>
  <c r="H113" i="50"/>
  <c r="I113" i="50"/>
  <c r="J113" i="50"/>
  <c r="K113" i="50"/>
  <c r="L113" i="50"/>
  <c r="M113" i="50"/>
  <c r="N113" i="50"/>
  <c r="O113" i="50"/>
  <c r="P113" i="50"/>
  <c r="Q113" i="50"/>
  <c r="R113" i="50"/>
  <c r="S113" i="50"/>
  <c r="T113" i="50"/>
  <c r="U113" i="50"/>
  <c r="V113" i="50"/>
  <c r="W113" i="50"/>
  <c r="X113" i="50"/>
  <c r="Y113" i="50"/>
  <c r="Z113" i="50"/>
  <c r="F114" i="50"/>
  <c r="G114" i="50"/>
  <c r="H114" i="50"/>
  <c r="I114" i="50"/>
  <c r="J114" i="50"/>
  <c r="K114" i="50"/>
  <c r="L114" i="50"/>
  <c r="M114" i="50"/>
  <c r="N114" i="50"/>
  <c r="O114" i="50"/>
  <c r="P114" i="50"/>
  <c r="Q114" i="50"/>
  <c r="R114" i="50"/>
  <c r="S114" i="50"/>
  <c r="T114" i="50"/>
  <c r="U114" i="50"/>
  <c r="V114" i="50"/>
  <c r="W114" i="50"/>
  <c r="X114" i="50"/>
  <c r="Y114" i="50"/>
  <c r="Z114" i="50"/>
  <c r="F115" i="50"/>
  <c r="G115" i="50"/>
  <c r="H115" i="50"/>
  <c r="I115" i="50"/>
  <c r="J115" i="50"/>
  <c r="K115" i="50"/>
  <c r="L115" i="50"/>
  <c r="M115" i="50"/>
  <c r="N115" i="50"/>
  <c r="O115" i="50"/>
  <c r="P115" i="50"/>
  <c r="Q115" i="50"/>
  <c r="R115" i="50"/>
  <c r="S115" i="50"/>
  <c r="T115" i="50"/>
  <c r="U115" i="50"/>
  <c r="V115" i="50"/>
  <c r="W115" i="50"/>
  <c r="X115" i="50"/>
  <c r="Y115" i="50"/>
  <c r="Z115" i="50"/>
  <c r="F132" i="50"/>
  <c r="G132" i="50"/>
  <c r="H132" i="50"/>
  <c r="I132" i="50"/>
  <c r="J132" i="50"/>
  <c r="K132" i="50"/>
  <c r="L132" i="50"/>
  <c r="M132" i="50"/>
  <c r="N132" i="50"/>
  <c r="O132" i="50"/>
  <c r="P132" i="50"/>
  <c r="Q132" i="50"/>
  <c r="R132" i="50"/>
  <c r="S132" i="50"/>
  <c r="T132" i="50"/>
  <c r="U132" i="50"/>
  <c r="V132" i="50"/>
  <c r="W132" i="50"/>
  <c r="X132" i="50"/>
  <c r="Y132" i="50"/>
  <c r="Z132" i="50"/>
  <c r="F133" i="50"/>
  <c r="G133" i="50"/>
  <c r="H133" i="50"/>
  <c r="I133" i="50"/>
  <c r="J133" i="50"/>
  <c r="K133" i="50"/>
  <c r="L133" i="50"/>
  <c r="M133" i="50"/>
  <c r="N133" i="50"/>
  <c r="O133" i="50"/>
  <c r="P133" i="50"/>
  <c r="Q133" i="50"/>
  <c r="R133" i="50"/>
  <c r="S133" i="50"/>
  <c r="T133" i="50"/>
  <c r="U133" i="50"/>
  <c r="V133" i="50"/>
  <c r="W133" i="50"/>
  <c r="X133" i="50"/>
  <c r="Y133" i="50"/>
  <c r="Z133" i="50"/>
  <c r="F135" i="50"/>
  <c r="G135" i="50"/>
  <c r="H135" i="50"/>
  <c r="I135" i="50"/>
  <c r="J135" i="50"/>
  <c r="K135" i="50"/>
  <c r="L135" i="50"/>
  <c r="M135" i="50"/>
  <c r="N135" i="50"/>
  <c r="O135" i="50"/>
  <c r="P135" i="50"/>
  <c r="Q135" i="50"/>
  <c r="R135" i="50"/>
  <c r="S135" i="50"/>
  <c r="T135" i="50"/>
  <c r="U135" i="50"/>
  <c r="V135" i="50"/>
  <c r="W135" i="50"/>
  <c r="X135" i="50"/>
  <c r="Y135" i="50"/>
  <c r="Z135" i="50"/>
  <c r="F136" i="50"/>
  <c r="G136" i="50"/>
  <c r="H136" i="50"/>
  <c r="I136" i="50"/>
  <c r="J136" i="50"/>
  <c r="K136" i="50"/>
  <c r="L136" i="50"/>
  <c r="M136" i="50"/>
  <c r="N136" i="50"/>
  <c r="O136" i="50"/>
  <c r="P136" i="50"/>
  <c r="Q136" i="50"/>
  <c r="R136" i="50"/>
  <c r="S136" i="50"/>
  <c r="T136" i="50"/>
  <c r="U136" i="50"/>
  <c r="V136" i="50"/>
  <c r="W136" i="50"/>
  <c r="X136" i="50"/>
  <c r="Y136" i="50"/>
  <c r="Z136" i="50"/>
  <c r="F137" i="50"/>
  <c r="G137" i="50"/>
  <c r="H137" i="50"/>
  <c r="I137" i="50"/>
  <c r="J137" i="50"/>
  <c r="K137" i="50"/>
  <c r="L137" i="50"/>
  <c r="M137" i="50"/>
  <c r="N137" i="50"/>
  <c r="O137" i="50"/>
  <c r="P137" i="50"/>
  <c r="Q137" i="50"/>
  <c r="R137" i="50"/>
  <c r="S137" i="50"/>
  <c r="T137" i="50"/>
  <c r="U137" i="50"/>
  <c r="V137" i="50"/>
  <c r="W137" i="50"/>
  <c r="X137" i="50"/>
  <c r="Y137" i="50"/>
  <c r="Z137" i="50"/>
  <c r="F139" i="50"/>
  <c r="G139" i="50"/>
  <c r="H139" i="50"/>
  <c r="I139" i="50"/>
  <c r="J139" i="50"/>
  <c r="K139" i="50"/>
  <c r="L139" i="50"/>
  <c r="M139" i="50"/>
  <c r="N139" i="50"/>
  <c r="O139" i="50"/>
  <c r="P139" i="50"/>
  <c r="Q139" i="50"/>
  <c r="R139" i="50"/>
  <c r="S139" i="50"/>
  <c r="T139" i="50"/>
  <c r="U139" i="50"/>
  <c r="V139" i="50"/>
  <c r="W139" i="50"/>
  <c r="X139" i="50"/>
  <c r="Y139" i="50"/>
  <c r="Z139" i="50"/>
  <c r="G142" i="50"/>
  <c r="H142" i="50"/>
  <c r="I142" i="50"/>
  <c r="J142" i="50"/>
  <c r="K142" i="50"/>
  <c r="L142" i="50"/>
  <c r="M142" i="50"/>
  <c r="N142" i="50"/>
  <c r="O142" i="50"/>
  <c r="P142" i="50"/>
  <c r="Q142" i="50"/>
  <c r="R142" i="50"/>
  <c r="S142" i="50"/>
  <c r="T142" i="50"/>
  <c r="U142" i="50"/>
  <c r="V142" i="50"/>
  <c r="W142" i="50"/>
  <c r="X142" i="50"/>
  <c r="Y142" i="50"/>
  <c r="Z142" i="50"/>
  <c r="I143" i="50"/>
  <c r="F144" i="50"/>
  <c r="G144" i="50"/>
  <c r="H144" i="50"/>
  <c r="I144" i="50"/>
  <c r="J144" i="50"/>
  <c r="K144" i="50"/>
  <c r="L144" i="50"/>
  <c r="M144" i="50"/>
  <c r="N144" i="50"/>
  <c r="O144" i="50"/>
  <c r="P144" i="50"/>
  <c r="Q144" i="50"/>
  <c r="R144" i="50"/>
  <c r="S144" i="50"/>
  <c r="T144" i="50"/>
  <c r="U144" i="50"/>
  <c r="V144" i="50"/>
  <c r="W144" i="50"/>
  <c r="X144" i="50"/>
  <c r="Y144" i="50"/>
  <c r="Z144" i="50"/>
  <c r="F145" i="50"/>
  <c r="G145" i="50"/>
  <c r="H145" i="50"/>
  <c r="I145" i="50"/>
  <c r="J145" i="50"/>
  <c r="K145" i="50"/>
  <c r="L145" i="50"/>
  <c r="M145" i="50"/>
  <c r="N145" i="50"/>
  <c r="O145" i="50"/>
  <c r="P145" i="50"/>
  <c r="Q145" i="50"/>
  <c r="R145" i="50"/>
  <c r="S145" i="50"/>
  <c r="T145" i="50"/>
  <c r="U145" i="50"/>
  <c r="V145" i="50"/>
  <c r="W145" i="50"/>
  <c r="X145" i="50"/>
  <c r="Y145" i="50"/>
  <c r="Z145" i="50"/>
  <c r="F147" i="50"/>
  <c r="G147" i="50"/>
  <c r="H147" i="50"/>
  <c r="I147" i="50"/>
  <c r="J147" i="50"/>
  <c r="K147" i="50"/>
  <c r="L147" i="50"/>
  <c r="M147" i="50"/>
  <c r="N147" i="50"/>
  <c r="O147" i="50"/>
  <c r="P147" i="50"/>
  <c r="Q147" i="50"/>
  <c r="R147" i="50"/>
  <c r="S147" i="50"/>
  <c r="T147" i="50"/>
  <c r="U147" i="50"/>
  <c r="V147" i="50"/>
  <c r="W147" i="50"/>
  <c r="X147" i="50"/>
  <c r="Y147" i="50"/>
  <c r="Z147" i="50"/>
  <c r="F148" i="50"/>
  <c r="G148" i="50"/>
  <c r="H148" i="50"/>
  <c r="I148" i="50"/>
  <c r="J148" i="50"/>
  <c r="K148" i="50"/>
  <c r="L148" i="50"/>
  <c r="M148" i="50"/>
  <c r="N148" i="50"/>
  <c r="O148" i="50"/>
  <c r="P148" i="50"/>
  <c r="Q148" i="50"/>
  <c r="R148" i="50"/>
  <c r="S148" i="50"/>
  <c r="T148" i="50"/>
  <c r="U148" i="50"/>
  <c r="V148" i="50"/>
  <c r="W148" i="50"/>
  <c r="X148" i="50"/>
  <c r="Y148" i="50"/>
  <c r="Z148" i="50"/>
  <c r="F149" i="50"/>
  <c r="G149" i="50"/>
  <c r="H149" i="50"/>
  <c r="I149" i="50"/>
  <c r="J149" i="50"/>
  <c r="K149" i="50"/>
  <c r="L149" i="50"/>
  <c r="M149" i="50"/>
  <c r="N149" i="50"/>
  <c r="O149" i="50"/>
  <c r="P149" i="50"/>
  <c r="Q149" i="50"/>
  <c r="R149" i="50"/>
  <c r="S149" i="50"/>
  <c r="T149" i="50"/>
  <c r="U149" i="50"/>
  <c r="V149" i="50"/>
  <c r="W149" i="50"/>
  <c r="X149" i="50"/>
  <c r="Y149" i="50"/>
  <c r="Z149" i="50"/>
  <c r="I151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P156" i="50"/>
  <c r="I157" i="50"/>
  <c r="P158" i="50"/>
  <c r="P159" i="50"/>
  <c r="I160" i="50"/>
  <c r="P160" i="50"/>
  <c r="F163" i="50"/>
  <c r="G163" i="50"/>
  <c r="H163" i="50"/>
  <c r="I163" i="50"/>
  <c r="J163" i="50"/>
  <c r="K163" i="50"/>
  <c r="L163" i="50"/>
  <c r="M163" i="50"/>
  <c r="N163" i="50"/>
  <c r="O163" i="50"/>
  <c r="P163" i="50"/>
  <c r="D198" i="50"/>
  <c r="F198" i="50"/>
  <c r="G198" i="50"/>
  <c r="H198" i="50"/>
  <c r="I198" i="50"/>
  <c r="J198" i="50"/>
  <c r="K198" i="50"/>
  <c r="L198" i="50"/>
  <c r="M198" i="50"/>
  <c r="N198" i="50"/>
  <c r="O198" i="50"/>
  <c r="P198" i="50"/>
  <c r="Q198" i="50"/>
  <c r="R198" i="50"/>
  <c r="S198" i="50"/>
  <c r="T198" i="50"/>
  <c r="U198" i="50"/>
  <c r="V198" i="50"/>
  <c r="W198" i="50"/>
  <c r="X198" i="50"/>
  <c r="Y198" i="50"/>
  <c r="Z198" i="50"/>
  <c r="F200" i="50"/>
  <c r="G200" i="50"/>
  <c r="H200" i="50"/>
  <c r="I200" i="50"/>
  <c r="J200" i="50"/>
  <c r="K200" i="50"/>
  <c r="L200" i="50"/>
  <c r="M200" i="50"/>
  <c r="N200" i="50"/>
  <c r="O200" i="50"/>
  <c r="P200" i="50"/>
  <c r="Q200" i="50"/>
  <c r="R200" i="50"/>
  <c r="S200" i="50"/>
  <c r="T200" i="50"/>
  <c r="U200" i="50"/>
  <c r="V200" i="50"/>
  <c r="W200" i="50"/>
  <c r="X200" i="50"/>
  <c r="Y200" i="50"/>
  <c r="Z200" i="50"/>
  <c r="F203" i="50"/>
  <c r="G203" i="50"/>
  <c r="H203" i="50"/>
  <c r="I203" i="50"/>
  <c r="J203" i="50"/>
  <c r="K203" i="50"/>
  <c r="L203" i="50"/>
  <c r="M203" i="50"/>
  <c r="N203" i="50"/>
  <c r="O203" i="50"/>
  <c r="P203" i="50"/>
  <c r="Q203" i="50"/>
  <c r="R203" i="50"/>
  <c r="S203" i="50"/>
  <c r="T203" i="50"/>
  <c r="U203" i="50"/>
  <c r="V203" i="50"/>
  <c r="W203" i="50"/>
  <c r="X203" i="50"/>
  <c r="Y203" i="50"/>
  <c r="Z203" i="50"/>
  <c r="F205" i="50"/>
  <c r="G205" i="50"/>
  <c r="H205" i="50"/>
  <c r="I205" i="50"/>
  <c r="J205" i="50"/>
  <c r="K205" i="50"/>
  <c r="L205" i="50"/>
  <c r="M205" i="50"/>
  <c r="N205" i="50"/>
  <c r="O205" i="50"/>
  <c r="P205" i="50"/>
  <c r="Q205" i="50"/>
  <c r="R205" i="50"/>
  <c r="S205" i="50"/>
  <c r="T205" i="50"/>
  <c r="U205" i="50"/>
  <c r="V205" i="50"/>
  <c r="W205" i="50"/>
  <c r="X205" i="50"/>
  <c r="Y205" i="50"/>
  <c r="Z205" i="50"/>
  <c r="F209" i="50"/>
  <c r="G209" i="50"/>
  <c r="H209" i="50"/>
  <c r="I209" i="50"/>
  <c r="J209" i="50"/>
  <c r="K209" i="50"/>
  <c r="L209" i="50"/>
  <c r="M209" i="50"/>
  <c r="N209" i="50"/>
  <c r="O209" i="50"/>
  <c r="P209" i="50"/>
  <c r="Q209" i="50"/>
  <c r="R209" i="50"/>
  <c r="S209" i="50"/>
  <c r="T209" i="50"/>
  <c r="U209" i="50"/>
  <c r="V209" i="50"/>
  <c r="W209" i="50"/>
  <c r="X209" i="50"/>
  <c r="Y209" i="50"/>
  <c r="Z209" i="50"/>
  <c r="F210" i="50"/>
  <c r="G210" i="50"/>
  <c r="H210" i="50"/>
  <c r="I210" i="50"/>
  <c r="J210" i="50"/>
  <c r="K210" i="50"/>
  <c r="L210" i="50"/>
  <c r="M210" i="50"/>
  <c r="N210" i="50"/>
  <c r="O210" i="50"/>
  <c r="P210" i="50"/>
  <c r="Q210" i="50"/>
  <c r="R210" i="50"/>
  <c r="S210" i="50"/>
  <c r="T210" i="50"/>
  <c r="U210" i="50"/>
  <c r="V210" i="50"/>
  <c r="W210" i="50"/>
  <c r="X210" i="50"/>
  <c r="Y210" i="50"/>
  <c r="Z210" i="50"/>
  <c r="F211" i="50"/>
  <c r="G211" i="50"/>
  <c r="H211" i="50"/>
  <c r="I211" i="50"/>
  <c r="J211" i="50"/>
  <c r="K211" i="50"/>
  <c r="L211" i="50"/>
  <c r="M211" i="50"/>
  <c r="N211" i="50"/>
  <c r="O211" i="50"/>
  <c r="P211" i="50"/>
  <c r="Q211" i="50"/>
  <c r="R211" i="50"/>
  <c r="S211" i="50"/>
  <c r="T211" i="50"/>
  <c r="U211" i="50"/>
  <c r="V211" i="50"/>
  <c r="W211" i="50"/>
  <c r="X211" i="50"/>
  <c r="Y211" i="50"/>
  <c r="Z211" i="50"/>
  <c r="J214" i="50"/>
  <c r="K214" i="50"/>
  <c r="L214" i="50"/>
  <c r="M214" i="50"/>
  <c r="N214" i="50"/>
  <c r="O214" i="50"/>
  <c r="P214" i="50"/>
  <c r="Q214" i="50"/>
  <c r="R214" i="50"/>
  <c r="S214" i="50"/>
  <c r="T214" i="50"/>
  <c r="U214" i="50"/>
  <c r="V214" i="50"/>
  <c r="W214" i="50"/>
  <c r="X214" i="50"/>
  <c r="Y214" i="50"/>
  <c r="Z214" i="50"/>
  <c r="I215" i="50"/>
  <c r="I217" i="50"/>
  <c r="J217" i="50"/>
  <c r="K217" i="50"/>
  <c r="L217" i="50"/>
  <c r="M217" i="50"/>
  <c r="N217" i="50"/>
  <c r="O217" i="50"/>
  <c r="P217" i="50"/>
  <c r="Q217" i="50"/>
  <c r="R217" i="50"/>
  <c r="S217" i="50"/>
  <c r="T217" i="50"/>
  <c r="U217" i="50"/>
  <c r="V217" i="50"/>
  <c r="W217" i="50"/>
  <c r="X217" i="50"/>
  <c r="Y217" i="50"/>
  <c r="Z217" i="50"/>
  <c r="I219" i="50"/>
  <c r="J219" i="50"/>
  <c r="K219" i="50"/>
  <c r="L219" i="50"/>
  <c r="M219" i="50"/>
  <c r="N219" i="50"/>
  <c r="O219" i="50"/>
  <c r="P219" i="50"/>
  <c r="Q219" i="50"/>
  <c r="R219" i="50"/>
  <c r="S219" i="50"/>
  <c r="T219" i="50"/>
  <c r="U219" i="50"/>
  <c r="V219" i="50"/>
  <c r="W219" i="50"/>
  <c r="X219" i="50"/>
  <c r="Y219" i="50"/>
  <c r="Z219" i="50"/>
  <c r="I220" i="50"/>
  <c r="J220" i="50"/>
  <c r="K220" i="50"/>
  <c r="L220" i="50"/>
  <c r="M220" i="50"/>
  <c r="N220" i="50"/>
  <c r="O220" i="50"/>
  <c r="P220" i="50"/>
  <c r="Q220" i="50"/>
  <c r="R220" i="50"/>
  <c r="S220" i="50"/>
  <c r="T220" i="50"/>
  <c r="U220" i="50"/>
  <c r="V220" i="50"/>
  <c r="W220" i="50"/>
  <c r="X220" i="50"/>
  <c r="Y220" i="50"/>
  <c r="Z220" i="50"/>
  <c r="F221" i="50"/>
  <c r="G221" i="50"/>
  <c r="H221" i="50"/>
  <c r="I221" i="50"/>
  <c r="J221" i="50"/>
  <c r="K221" i="50"/>
  <c r="L221" i="50"/>
  <c r="M221" i="50"/>
  <c r="N221" i="50"/>
  <c r="O221" i="50"/>
  <c r="P221" i="50"/>
  <c r="Q221" i="50"/>
  <c r="R221" i="50"/>
  <c r="S221" i="50"/>
  <c r="T221" i="50"/>
  <c r="U221" i="50"/>
  <c r="V221" i="50"/>
  <c r="W221" i="50"/>
  <c r="X221" i="50"/>
  <c r="Y221" i="50"/>
  <c r="Z221" i="50"/>
  <c r="I223" i="50"/>
  <c r="F225" i="50"/>
  <c r="G225" i="50"/>
  <c r="H225" i="50"/>
  <c r="I225" i="50"/>
  <c r="J225" i="50"/>
  <c r="K225" i="50"/>
  <c r="L225" i="50"/>
  <c r="M225" i="50"/>
  <c r="N225" i="50"/>
  <c r="O225" i="50"/>
  <c r="P225" i="50"/>
  <c r="Q225" i="50"/>
  <c r="R225" i="50"/>
  <c r="S225" i="50"/>
  <c r="T225" i="50"/>
  <c r="U225" i="50"/>
  <c r="V225" i="50"/>
  <c r="W225" i="50"/>
  <c r="X225" i="50"/>
  <c r="Y225" i="50"/>
  <c r="Z225" i="50"/>
  <c r="P228" i="50"/>
  <c r="P229" i="50"/>
  <c r="P230" i="50"/>
  <c r="P231" i="50"/>
  <c r="F233" i="50"/>
  <c r="G233" i="50"/>
  <c r="H233" i="50"/>
  <c r="I233" i="50"/>
  <c r="J233" i="50"/>
  <c r="K233" i="50"/>
  <c r="L233" i="50"/>
  <c r="M233" i="50"/>
  <c r="N233" i="50"/>
  <c r="O233" i="50"/>
  <c r="P233" i="50"/>
  <c r="F247" i="50"/>
  <c r="G247" i="50"/>
  <c r="H247" i="50"/>
  <c r="I247" i="50"/>
  <c r="J247" i="50"/>
  <c r="K247" i="50"/>
  <c r="L247" i="50"/>
  <c r="M247" i="50"/>
  <c r="N247" i="50"/>
  <c r="O247" i="50"/>
  <c r="P247" i="50"/>
  <c r="Q247" i="50"/>
  <c r="R247" i="50"/>
  <c r="S247" i="50"/>
  <c r="T247" i="50"/>
  <c r="U247" i="50"/>
  <c r="V247" i="50"/>
  <c r="W247" i="50"/>
  <c r="X247" i="50"/>
  <c r="Y247" i="50"/>
  <c r="Z247" i="50"/>
  <c r="F248" i="50"/>
  <c r="G248" i="50"/>
  <c r="H248" i="50"/>
  <c r="I248" i="50"/>
  <c r="J248" i="50"/>
  <c r="K248" i="50"/>
  <c r="L248" i="50"/>
  <c r="M248" i="50"/>
  <c r="N248" i="50"/>
  <c r="O248" i="50"/>
  <c r="P248" i="50"/>
  <c r="Q248" i="50"/>
  <c r="R248" i="50"/>
  <c r="S248" i="50"/>
  <c r="T248" i="50"/>
  <c r="U248" i="50"/>
  <c r="V248" i="50"/>
  <c r="W248" i="50"/>
  <c r="X248" i="50"/>
  <c r="Y248" i="50"/>
  <c r="Z248" i="50"/>
  <c r="F251" i="50"/>
  <c r="G251" i="50"/>
  <c r="H251" i="50"/>
  <c r="I251" i="50"/>
  <c r="J251" i="50"/>
  <c r="K251" i="50"/>
  <c r="L251" i="50"/>
  <c r="M251" i="50"/>
  <c r="N251" i="50"/>
  <c r="O251" i="50"/>
  <c r="P251" i="50"/>
  <c r="Q251" i="50"/>
  <c r="R251" i="50"/>
  <c r="S251" i="50"/>
  <c r="T251" i="50"/>
  <c r="U251" i="50"/>
  <c r="V251" i="50"/>
  <c r="W251" i="50"/>
  <c r="X251" i="50"/>
  <c r="Y251" i="50"/>
  <c r="Z251" i="50"/>
  <c r="F252" i="50"/>
  <c r="G252" i="50"/>
  <c r="H252" i="50"/>
  <c r="I252" i="50"/>
  <c r="J252" i="50"/>
  <c r="K252" i="50"/>
  <c r="L252" i="50"/>
  <c r="M252" i="50"/>
  <c r="N252" i="50"/>
  <c r="O252" i="50"/>
  <c r="P252" i="50"/>
  <c r="Q252" i="50"/>
  <c r="R252" i="50"/>
  <c r="S252" i="50"/>
  <c r="T252" i="50"/>
  <c r="U252" i="50"/>
  <c r="V252" i="50"/>
  <c r="W252" i="50"/>
  <c r="X252" i="50"/>
  <c r="Y252" i="50"/>
  <c r="Z252" i="50"/>
  <c r="F254" i="50"/>
  <c r="G254" i="50"/>
  <c r="H254" i="50"/>
  <c r="I254" i="50"/>
  <c r="J254" i="50"/>
  <c r="K254" i="50"/>
  <c r="L254" i="50"/>
  <c r="M254" i="50"/>
  <c r="N254" i="50"/>
  <c r="O254" i="50"/>
  <c r="P254" i="50"/>
  <c r="Q254" i="50"/>
  <c r="R254" i="50"/>
  <c r="S254" i="50"/>
  <c r="T254" i="50"/>
  <c r="U254" i="50"/>
  <c r="V254" i="50"/>
  <c r="W254" i="50"/>
  <c r="X254" i="50"/>
  <c r="Y254" i="50"/>
  <c r="Z254" i="50"/>
  <c r="F255" i="50"/>
  <c r="G255" i="50"/>
  <c r="H255" i="50"/>
  <c r="I255" i="50"/>
  <c r="J255" i="50"/>
  <c r="K255" i="50"/>
  <c r="L255" i="50"/>
  <c r="M255" i="50"/>
  <c r="N255" i="50"/>
  <c r="O255" i="50"/>
  <c r="P255" i="50"/>
  <c r="Q255" i="50"/>
  <c r="R255" i="50"/>
  <c r="S255" i="50"/>
  <c r="T255" i="50"/>
  <c r="U255" i="50"/>
  <c r="V255" i="50"/>
  <c r="W255" i="50"/>
  <c r="X255" i="50"/>
  <c r="Y255" i="50"/>
  <c r="Z255" i="50"/>
  <c r="F256" i="50"/>
  <c r="G256" i="50"/>
  <c r="H256" i="50"/>
  <c r="I256" i="50"/>
  <c r="J256" i="50"/>
  <c r="K256" i="50"/>
  <c r="L256" i="50"/>
  <c r="M256" i="50"/>
  <c r="N256" i="50"/>
  <c r="O256" i="50"/>
  <c r="P256" i="50"/>
  <c r="Q256" i="50"/>
  <c r="R256" i="50"/>
  <c r="S256" i="50"/>
  <c r="T256" i="50"/>
  <c r="U256" i="50"/>
  <c r="V256" i="50"/>
  <c r="W256" i="50"/>
  <c r="X256" i="50"/>
  <c r="Y256" i="50"/>
  <c r="Z256" i="50"/>
  <c r="J259" i="50"/>
  <c r="K259" i="50"/>
  <c r="L259" i="50"/>
  <c r="M259" i="50"/>
  <c r="N259" i="50"/>
  <c r="O259" i="50"/>
  <c r="P259" i="50"/>
  <c r="Q259" i="50"/>
  <c r="R259" i="50"/>
  <c r="S259" i="50"/>
  <c r="T259" i="50"/>
  <c r="U259" i="50"/>
  <c r="V259" i="50"/>
  <c r="W259" i="50"/>
  <c r="X259" i="50"/>
  <c r="Y259" i="50"/>
  <c r="Z259" i="50"/>
  <c r="I260" i="50"/>
  <c r="I262" i="50"/>
  <c r="J262" i="50"/>
  <c r="K262" i="50"/>
  <c r="L262" i="50"/>
  <c r="M262" i="50"/>
  <c r="N262" i="50"/>
  <c r="O262" i="50"/>
  <c r="P262" i="50"/>
  <c r="Q262" i="50"/>
  <c r="R262" i="50"/>
  <c r="S262" i="50"/>
  <c r="T262" i="50"/>
  <c r="U262" i="50"/>
  <c r="V262" i="50"/>
  <c r="W262" i="50"/>
  <c r="X262" i="50"/>
  <c r="Y262" i="50"/>
  <c r="Z262" i="50"/>
  <c r="I264" i="50"/>
  <c r="J264" i="50"/>
  <c r="K264" i="50"/>
  <c r="L264" i="50"/>
  <c r="M264" i="50"/>
  <c r="N264" i="50"/>
  <c r="O264" i="50"/>
  <c r="P264" i="50"/>
  <c r="Q264" i="50"/>
  <c r="R264" i="50"/>
  <c r="S264" i="50"/>
  <c r="T264" i="50"/>
  <c r="U264" i="50"/>
  <c r="V264" i="50"/>
  <c r="W264" i="50"/>
  <c r="X264" i="50"/>
  <c r="Y264" i="50"/>
  <c r="Z264" i="50"/>
  <c r="I265" i="50"/>
  <c r="J265" i="50"/>
  <c r="K265" i="50"/>
  <c r="L265" i="50"/>
  <c r="M265" i="50"/>
  <c r="N265" i="50"/>
  <c r="O265" i="50"/>
  <c r="P265" i="50"/>
  <c r="Q265" i="50"/>
  <c r="R265" i="50"/>
  <c r="S265" i="50"/>
  <c r="T265" i="50"/>
  <c r="U265" i="50"/>
  <c r="V265" i="50"/>
  <c r="W265" i="50"/>
  <c r="X265" i="50"/>
  <c r="Y265" i="50"/>
  <c r="Z265" i="50"/>
  <c r="F266" i="50"/>
  <c r="G266" i="50"/>
  <c r="H266" i="50"/>
  <c r="I266" i="50"/>
  <c r="J266" i="50"/>
  <c r="K266" i="50"/>
  <c r="L266" i="50"/>
  <c r="M266" i="50"/>
  <c r="N266" i="50"/>
  <c r="O266" i="50"/>
  <c r="P266" i="50"/>
  <c r="Q266" i="50"/>
  <c r="R266" i="50"/>
  <c r="S266" i="50"/>
  <c r="T266" i="50"/>
  <c r="U266" i="50"/>
  <c r="V266" i="50"/>
  <c r="W266" i="50"/>
  <c r="X266" i="50"/>
  <c r="Y266" i="50"/>
  <c r="Z266" i="50"/>
  <c r="I268" i="50"/>
  <c r="F270" i="50"/>
  <c r="G270" i="50"/>
  <c r="H270" i="50"/>
  <c r="I270" i="50"/>
  <c r="J270" i="50"/>
  <c r="K270" i="50"/>
  <c r="L270" i="50"/>
  <c r="M270" i="50"/>
  <c r="N270" i="50"/>
  <c r="O270" i="50"/>
  <c r="P270" i="50"/>
  <c r="Q270" i="50"/>
  <c r="R270" i="50"/>
  <c r="S270" i="50"/>
  <c r="T270" i="50"/>
  <c r="U270" i="50"/>
  <c r="V270" i="50"/>
  <c r="W270" i="50"/>
  <c r="X270" i="50"/>
  <c r="Y270" i="50"/>
  <c r="Z270" i="50"/>
  <c r="P273" i="50"/>
  <c r="P274" i="50"/>
  <c r="P275" i="50"/>
  <c r="P276" i="50"/>
  <c r="F278" i="50"/>
  <c r="G278" i="50"/>
  <c r="H278" i="50"/>
  <c r="I278" i="50"/>
  <c r="J278" i="50"/>
  <c r="K278" i="50"/>
  <c r="L278" i="50"/>
  <c r="M278" i="50"/>
  <c r="N278" i="50"/>
  <c r="O278" i="50"/>
  <c r="P278" i="50"/>
  <c r="F280" i="50"/>
  <c r="G280" i="50"/>
  <c r="H280" i="50"/>
  <c r="I280" i="50"/>
  <c r="J280" i="50"/>
  <c r="K280" i="50"/>
  <c r="L280" i="50"/>
  <c r="M280" i="50"/>
  <c r="N280" i="50"/>
  <c r="O280" i="50"/>
  <c r="P280" i="50"/>
  <c r="F282" i="50"/>
  <c r="G282" i="50"/>
  <c r="H282" i="50"/>
  <c r="I282" i="50"/>
  <c r="J282" i="50"/>
  <c r="K282" i="50"/>
  <c r="L282" i="50"/>
  <c r="M282" i="50"/>
  <c r="N282" i="50"/>
  <c r="O282" i="50"/>
  <c r="P282" i="50"/>
  <c r="Q282" i="50"/>
  <c r="R282" i="50"/>
  <c r="S282" i="50"/>
  <c r="T282" i="50"/>
  <c r="U282" i="50"/>
  <c r="V282" i="50"/>
  <c r="W282" i="50"/>
  <c r="X282" i="50"/>
  <c r="Y282" i="50"/>
  <c r="Z282" i="50"/>
  <c r="F283" i="50"/>
  <c r="G283" i="50"/>
  <c r="H283" i="50"/>
  <c r="I283" i="50"/>
  <c r="J283" i="50"/>
  <c r="K283" i="50"/>
  <c r="L283" i="50"/>
  <c r="M283" i="50"/>
  <c r="N283" i="50"/>
  <c r="O283" i="50"/>
  <c r="P283" i="50"/>
  <c r="Q283" i="50"/>
  <c r="R283" i="50"/>
  <c r="S283" i="50"/>
  <c r="T283" i="50"/>
  <c r="U283" i="50"/>
  <c r="V283" i="50"/>
  <c r="W283" i="50"/>
  <c r="X283" i="50"/>
  <c r="Y283" i="50"/>
  <c r="Z283" i="50"/>
  <c r="D291" i="50"/>
  <c r="F291" i="50"/>
  <c r="G291" i="50"/>
  <c r="H291" i="50"/>
  <c r="D292" i="50"/>
  <c r="G292" i="50"/>
  <c r="H292" i="50"/>
  <c r="D294" i="50"/>
  <c r="F294" i="50"/>
  <c r="G294" i="50"/>
  <c r="H294" i="50"/>
  <c r="I294" i="50"/>
  <c r="J294" i="50"/>
  <c r="D295" i="50"/>
  <c r="F295" i="50"/>
  <c r="G295" i="50"/>
  <c r="H295" i="50"/>
  <c r="I295" i="50"/>
  <c r="J295" i="50"/>
  <c r="D298" i="50"/>
  <c r="F298" i="50"/>
  <c r="G298" i="50"/>
  <c r="H298" i="50"/>
  <c r="I298" i="50"/>
  <c r="J298" i="50"/>
  <c r="K298" i="50"/>
  <c r="L298" i="50"/>
  <c r="M298" i="50"/>
  <c r="N298" i="50"/>
  <c r="O298" i="50"/>
  <c r="P298" i="50"/>
  <c r="Q298" i="50"/>
  <c r="R298" i="50"/>
  <c r="S298" i="50"/>
  <c r="T298" i="50"/>
  <c r="U298" i="50"/>
  <c r="V298" i="50"/>
  <c r="W298" i="50"/>
  <c r="X298" i="50"/>
  <c r="Y298" i="50"/>
  <c r="Z298" i="50"/>
  <c r="D299" i="50"/>
  <c r="F299" i="50"/>
  <c r="G299" i="50"/>
  <c r="H299" i="50"/>
  <c r="I299" i="50"/>
  <c r="J299" i="50"/>
  <c r="K299" i="50"/>
  <c r="L299" i="50"/>
  <c r="M299" i="50"/>
  <c r="N299" i="50"/>
  <c r="O299" i="50"/>
  <c r="P299" i="50"/>
  <c r="Q299" i="50"/>
  <c r="R299" i="50"/>
  <c r="S299" i="50"/>
  <c r="T299" i="50"/>
  <c r="U299" i="50"/>
  <c r="V299" i="50"/>
  <c r="W299" i="50"/>
  <c r="X299" i="50"/>
  <c r="Y299" i="50"/>
  <c r="Z299" i="50"/>
  <c r="D300" i="50"/>
  <c r="F300" i="50"/>
  <c r="G300" i="50"/>
  <c r="H300" i="50"/>
  <c r="I300" i="50"/>
  <c r="J300" i="50"/>
  <c r="K300" i="50"/>
  <c r="L300" i="50"/>
  <c r="M300" i="50"/>
  <c r="N300" i="50"/>
  <c r="O300" i="50"/>
  <c r="P300" i="50"/>
  <c r="Q300" i="50"/>
  <c r="R300" i="50"/>
  <c r="S300" i="50"/>
  <c r="T300" i="50"/>
  <c r="U300" i="50"/>
  <c r="V300" i="50"/>
  <c r="W300" i="50"/>
  <c r="X300" i="50"/>
  <c r="Y300" i="50"/>
  <c r="Z300" i="50"/>
  <c r="D301" i="50"/>
  <c r="F301" i="50"/>
  <c r="G301" i="50"/>
  <c r="H301" i="50"/>
  <c r="I301" i="50"/>
  <c r="J301" i="50"/>
  <c r="K301" i="50"/>
  <c r="L301" i="50"/>
  <c r="M301" i="50"/>
  <c r="N301" i="50"/>
  <c r="O301" i="50"/>
  <c r="P301" i="50"/>
  <c r="Q301" i="50"/>
  <c r="R301" i="50"/>
  <c r="S301" i="50"/>
  <c r="T301" i="50"/>
  <c r="U301" i="50"/>
  <c r="V301" i="50"/>
  <c r="W301" i="50"/>
  <c r="X301" i="50"/>
  <c r="Y301" i="50"/>
  <c r="Z301" i="50"/>
  <c r="D302" i="50"/>
  <c r="F302" i="50"/>
  <c r="G302" i="50"/>
  <c r="H302" i="50"/>
  <c r="I302" i="50"/>
  <c r="J302" i="50"/>
  <c r="K302" i="50"/>
  <c r="L302" i="50"/>
  <c r="M302" i="50"/>
  <c r="N302" i="50"/>
  <c r="O302" i="50"/>
  <c r="P302" i="50"/>
  <c r="Q302" i="50"/>
  <c r="R302" i="50"/>
  <c r="S302" i="50"/>
  <c r="T302" i="50"/>
  <c r="U302" i="50"/>
  <c r="V302" i="50"/>
  <c r="W302" i="50"/>
  <c r="X302" i="50"/>
  <c r="Y302" i="50"/>
  <c r="Z302" i="50"/>
  <c r="D303" i="50"/>
  <c r="F303" i="50"/>
  <c r="G303" i="50"/>
  <c r="H303" i="50"/>
  <c r="I303" i="50"/>
  <c r="J303" i="50"/>
  <c r="K303" i="50"/>
  <c r="L303" i="50"/>
  <c r="M303" i="50"/>
  <c r="N303" i="50"/>
  <c r="O303" i="50"/>
  <c r="P303" i="50"/>
  <c r="Q303" i="50"/>
  <c r="R303" i="50"/>
  <c r="S303" i="50"/>
  <c r="T303" i="50"/>
  <c r="U303" i="50"/>
  <c r="V303" i="50"/>
  <c r="W303" i="50"/>
  <c r="X303" i="50"/>
  <c r="Y303" i="50"/>
  <c r="Z303" i="50"/>
  <c r="D304" i="50"/>
  <c r="F304" i="50"/>
  <c r="G304" i="50"/>
  <c r="H304" i="50"/>
  <c r="I304" i="50"/>
  <c r="J304" i="50"/>
  <c r="K304" i="50"/>
  <c r="L304" i="50"/>
  <c r="M304" i="50"/>
  <c r="N304" i="50"/>
  <c r="O304" i="50"/>
  <c r="P304" i="50"/>
  <c r="Q304" i="50"/>
  <c r="R304" i="50"/>
  <c r="S304" i="50"/>
  <c r="T304" i="50"/>
  <c r="U304" i="50"/>
  <c r="V304" i="50"/>
  <c r="W304" i="50"/>
  <c r="X304" i="50"/>
  <c r="Y304" i="50"/>
  <c r="Z304" i="50"/>
  <c r="D305" i="50"/>
  <c r="F305" i="50"/>
  <c r="G305" i="50"/>
  <c r="H305" i="50"/>
  <c r="I305" i="50"/>
  <c r="J305" i="50"/>
  <c r="K305" i="50"/>
  <c r="L305" i="50"/>
  <c r="M305" i="50"/>
  <c r="N305" i="50"/>
  <c r="O305" i="50"/>
  <c r="P305" i="50"/>
  <c r="Q305" i="50"/>
  <c r="R305" i="50"/>
  <c r="S305" i="50"/>
  <c r="T305" i="50"/>
  <c r="U305" i="50"/>
  <c r="V305" i="50"/>
  <c r="W305" i="50"/>
  <c r="X305" i="50"/>
  <c r="Y305" i="50"/>
  <c r="Z305" i="50"/>
  <c r="D307" i="50"/>
  <c r="F307" i="50"/>
  <c r="G307" i="50"/>
  <c r="H307" i="50"/>
  <c r="I307" i="50"/>
  <c r="J307" i="50"/>
  <c r="K307" i="50"/>
  <c r="L307" i="50"/>
  <c r="M307" i="50"/>
  <c r="N307" i="50"/>
  <c r="O307" i="50"/>
  <c r="P307" i="50"/>
  <c r="Q307" i="50"/>
  <c r="R307" i="50"/>
  <c r="S307" i="50"/>
  <c r="T307" i="50"/>
  <c r="U307" i="50"/>
  <c r="V307" i="50"/>
  <c r="W307" i="50"/>
  <c r="X307" i="50"/>
  <c r="Y307" i="50"/>
  <c r="Z307" i="50"/>
  <c r="D310" i="50"/>
  <c r="F310" i="50"/>
  <c r="G310" i="50"/>
  <c r="H310" i="50"/>
  <c r="I310" i="50"/>
  <c r="J310" i="50"/>
  <c r="K310" i="50"/>
  <c r="L310" i="50"/>
  <c r="M310" i="50"/>
  <c r="N310" i="50"/>
  <c r="O310" i="50"/>
  <c r="P310" i="50"/>
  <c r="Q310" i="50"/>
  <c r="R310" i="50"/>
  <c r="S310" i="50"/>
  <c r="T310" i="50"/>
  <c r="U310" i="50"/>
  <c r="V310" i="50"/>
  <c r="W310" i="50"/>
  <c r="X310" i="50"/>
  <c r="Y310" i="50"/>
  <c r="Z310" i="50"/>
  <c r="D311" i="50"/>
  <c r="F311" i="50"/>
  <c r="G311" i="50"/>
  <c r="H311" i="50"/>
  <c r="I311" i="50"/>
  <c r="J311" i="50"/>
  <c r="K311" i="50"/>
  <c r="L311" i="50"/>
  <c r="M311" i="50"/>
  <c r="N311" i="50"/>
  <c r="O311" i="50"/>
  <c r="P311" i="50"/>
  <c r="D312" i="50"/>
  <c r="F312" i="50"/>
  <c r="G312" i="50"/>
  <c r="H312" i="50"/>
  <c r="I312" i="50"/>
  <c r="J312" i="50"/>
  <c r="K312" i="50"/>
  <c r="L312" i="50"/>
  <c r="M312" i="50"/>
  <c r="N312" i="50"/>
  <c r="O312" i="50"/>
  <c r="P312" i="50"/>
  <c r="Q312" i="50"/>
  <c r="R312" i="50"/>
  <c r="S312" i="50"/>
  <c r="T312" i="50"/>
  <c r="U312" i="50"/>
  <c r="V312" i="50"/>
  <c r="W312" i="50"/>
  <c r="X312" i="50"/>
  <c r="Y312" i="50"/>
  <c r="Z312" i="50"/>
  <c r="C314" i="50"/>
  <c r="C315" i="50"/>
  <c r="C316" i="50"/>
  <c r="F321" i="50"/>
  <c r="G321" i="50"/>
  <c r="H321" i="50"/>
  <c r="I321" i="50"/>
  <c r="J321" i="50"/>
  <c r="K321" i="50"/>
  <c r="L321" i="50"/>
  <c r="M321" i="50"/>
  <c r="N321" i="50"/>
  <c r="O321" i="50"/>
  <c r="P321" i="50"/>
  <c r="Q321" i="50"/>
  <c r="R321" i="50"/>
  <c r="S321" i="50"/>
  <c r="T321" i="50"/>
  <c r="U321" i="50"/>
  <c r="V321" i="50"/>
  <c r="W321" i="50"/>
  <c r="X321" i="50"/>
  <c r="Y321" i="50"/>
  <c r="Z321" i="50"/>
  <c r="F322" i="50"/>
  <c r="G322" i="50"/>
  <c r="H322" i="50"/>
  <c r="I322" i="50"/>
  <c r="J322" i="50"/>
  <c r="K322" i="50"/>
  <c r="L322" i="50"/>
  <c r="M322" i="50"/>
  <c r="N322" i="50"/>
  <c r="O322" i="50"/>
  <c r="P322" i="50"/>
  <c r="Q322" i="50"/>
  <c r="R322" i="50"/>
  <c r="S322" i="50"/>
  <c r="T322" i="50"/>
  <c r="U322" i="50"/>
  <c r="V322" i="50"/>
  <c r="W322" i="50"/>
  <c r="X322" i="50"/>
  <c r="Y322" i="50"/>
  <c r="Z322" i="50"/>
  <c r="F323" i="50"/>
  <c r="G323" i="50"/>
  <c r="H323" i="50"/>
  <c r="I323" i="50"/>
  <c r="J323" i="50"/>
  <c r="K323" i="50"/>
  <c r="L323" i="50"/>
  <c r="M323" i="50"/>
  <c r="N323" i="50"/>
  <c r="O323" i="50"/>
  <c r="P323" i="50"/>
  <c r="Q323" i="50"/>
  <c r="R323" i="50"/>
  <c r="S323" i="50"/>
  <c r="T323" i="50"/>
  <c r="U323" i="50"/>
  <c r="V323" i="50"/>
  <c r="W323" i="50"/>
  <c r="X323" i="50"/>
  <c r="Y323" i="50"/>
  <c r="Z323" i="50"/>
  <c r="F324" i="50"/>
  <c r="G324" i="50"/>
  <c r="H324" i="50"/>
  <c r="I324" i="50"/>
  <c r="J324" i="50"/>
  <c r="K324" i="50"/>
  <c r="L324" i="50"/>
  <c r="M324" i="50"/>
  <c r="N324" i="50"/>
  <c r="O324" i="50"/>
  <c r="P324" i="50"/>
  <c r="Q324" i="50"/>
  <c r="R324" i="50"/>
  <c r="S324" i="50"/>
  <c r="T324" i="50"/>
  <c r="U324" i="50"/>
  <c r="V324" i="50"/>
  <c r="W324" i="50"/>
  <c r="X324" i="50"/>
  <c r="Y324" i="50"/>
  <c r="Z324" i="50"/>
  <c r="P327" i="50"/>
  <c r="P328" i="50"/>
  <c r="P329" i="50"/>
  <c r="D335" i="50"/>
  <c r="F335" i="50"/>
  <c r="G335" i="50"/>
  <c r="H335" i="50"/>
  <c r="D338" i="50"/>
  <c r="F338" i="50"/>
  <c r="G338" i="50"/>
  <c r="H338" i="50"/>
  <c r="I338" i="50"/>
  <c r="J338" i="50"/>
  <c r="D339" i="50"/>
  <c r="F339" i="50"/>
  <c r="G339" i="50"/>
  <c r="H339" i="50"/>
  <c r="I339" i="50"/>
  <c r="J339" i="50"/>
  <c r="D342" i="50"/>
  <c r="F342" i="50"/>
  <c r="G342" i="50"/>
  <c r="H342" i="50"/>
  <c r="I342" i="50"/>
  <c r="J342" i="50"/>
  <c r="K342" i="50"/>
  <c r="L342" i="50"/>
  <c r="M342" i="50"/>
  <c r="N342" i="50"/>
  <c r="O342" i="50"/>
  <c r="P342" i="50"/>
  <c r="Q342" i="50"/>
  <c r="R342" i="50"/>
  <c r="S342" i="50"/>
  <c r="T342" i="50"/>
  <c r="U342" i="50"/>
  <c r="V342" i="50"/>
  <c r="W342" i="50"/>
  <c r="X342" i="50"/>
  <c r="Y342" i="50"/>
  <c r="Z342" i="50"/>
  <c r="D343" i="50"/>
  <c r="F343" i="50"/>
  <c r="G343" i="50"/>
  <c r="H343" i="50"/>
  <c r="I343" i="50"/>
  <c r="J343" i="50"/>
  <c r="K343" i="50"/>
  <c r="L343" i="50"/>
  <c r="M343" i="50"/>
  <c r="N343" i="50"/>
  <c r="O343" i="50"/>
  <c r="P343" i="50"/>
  <c r="Q343" i="50"/>
  <c r="R343" i="50"/>
  <c r="S343" i="50"/>
  <c r="T343" i="50"/>
  <c r="U343" i="50"/>
  <c r="V343" i="50"/>
  <c r="W343" i="50"/>
  <c r="X343" i="50"/>
  <c r="Y343" i="50"/>
  <c r="Z343" i="50"/>
  <c r="D344" i="50"/>
  <c r="F344" i="50"/>
  <c r="G344" i="50"/>
  <c r="H344" i="50"/>
  <c r="I344" i="50"/>
  <c r="J344" i="50"/>
  <c r="K344" i="50"/>
  <c r="L344" i="50"/>
  <c r="M344" i="50"/>
  <c r="N344" i="50"/>
  <c r="O344" i="50"/>
  <c r="P344" i="50"/>
  <c r="Q344" i="50"/>
  <c r="R344" i="50"/>
  <c r="S344" i="50"/>
  <c r="T344" i="50"/>
  <c r="U344" i="50"/>
  <c r="V344" i="50"/>
  <c r="W344" i="50"/>
  <c r="X344" i="50"/>
  <c r="Y344" i="50"/>
  <c r="Z344" i="50"/>
  <c r="D345" i="50"/>
  <c r="F345" i="50"/>
  <c r="G345" i="50"/>
  <c r="H345" i="50"/>
  <c r="I345" i="50"/>
  <c r="J345" i="50"/>
  <c r="K345" i="50"/>
  <c r="L345" i="50"/>
  <c r="M345" i="50"/>
  <c r="N345" i="50"/>
  <c r="O345" i="50"/>
  <c r="P345" i="50"/>
  <c r="Q345" i="50"/>
  <c r="R345" i="50"/>
  <c r="S345" i="50"/>
  <c r="T345" i="50"/>
  <c r="U345" i="50"/>
  <c r="V345" i="50"/>
  <c r="W345" i="50"/>
  <c r="X345" i="50"/>
  <c r="Y345" i="50"/>
  <c r="Z345" i="50"/>
  <c r="D346" i="50"/>
  <c r="F346" i="50"/>
  <c r="G346" i="50"/>
  <c r="H346" i="50"/>
  <c r="I346" i="50"/>
  <c r="J346" i="50"/>
  <c r="K346" i="50"/>
  <c r="L346" i="50"/>
  <c r="M346" i="50"/>
  <c r="N346" i="50"/>
  <c r="O346" i="50"/>
  <c r="P346" i="50"/>
  <c r="Q346" i="50"/>
  <c r="R346" i="50"/>
  <c r="S346" i="50"/>
  <c r="T346" i="50"/>
  <c r="U346" i="50"/>
  <c r="V346" i="50"/>
  <c r="W346" i="50"/>
  <c r="X346" i="50"/>
  <c r="Y346" i="50"/>
  <c r="Z346" i="50"/>
  <c r="D348" i="50"/>
  <c r="F348" i="50"/>
  <c r="G348" i="50"/>
  <c r="H348" i="50"/>
  <c r="I348" i="50"/>
  <c r="J348" i="50"/>
  <c r="K348" i="50"/>
  <c r="L348" i="50"/>
  <c r="M348" i="50"/>
  <c r="N348" i="50"/>
  <c r="O348" i="50"/>
  <c r="P348" i="50"/>
  <c r="Q348" i="50"/>
  <c r="R348" i="50"/>
  <c r="S348" i="50"/>
  <c r="T348" i="50"/>
  <c r="U348" i="50"/>
  <c r="V348" i="50"/>
  <c r="W348" i="50"/>
  <c r="X348" i="50"/>
  <c r="Y348" i="50"/>
  <c r="Z348" i="50"/>
  <c r="D349" i="50"/>
  <c r="F349" i="50"/>
  <c r="G349" i="50"/>
  <c r="H349" i="50"/>
  <c r="I349" i="50"/>
  <c r="J349" i="50"/>
  <c r="K349" i="50"/>
  <c r="L349" i="50"/>
  <c r="M349" i="50"/>
  <c r="N349" i="50"/>
  <c r="O349" i="50"/>
  <c r="P349" i="50"/>
  <c r="Q349" i="50"/>
  <c r="R349" i="50"/>
  <c r="S349" i="50"/>
  <c r="T349" i="50"/>
  <c r="U349" i="50"/>
  <c r="V349" i="50"/>
  <c r="W349" i="50"/>
  <c r="X349" i="50"/>
  <c r="Y349" i="50"/>
  <c r="Z349" i="50"/>
  <c r="D352" i="50"/>
  <c r="F352" i="50"/>
  <c r="G352" i="50"/>
  <c r="H352" i="50"/>
  <c r="I352" i="50"/>
  <c r="J352" i="50"/>
  <c r="K352" i="50"/>
  <c r="L352" i="50"/>
  <c r="M352" i="50"/>
  <c r="N352" i="50"/>
  <c r="O352" i="50"/>
  <c r="P352" i="50"/>
  <c r="Q352" i="50"/>
  <c r="R352" i="50"/>
  <c r="S352" i="50"/>
  <c r="T352" i="50"/>
  <c r="U352" i="50"/>
  <c r="V352" i="50"/>
  <c r="W352" i="50"/>
  <c r="X352" i="50"/>
  <c r="Y352" i="50"/>
  <c r="Z352" i="50"/>
  <c r="D353" i="50"/>
  <c r="F353" i="50"/>
  <c r="G353" i="50"/>
  <c r="H353" i="50"/>
  <c r="I353" i="50"/>
  <c r="J353" i="50"/>
  <c r="K353" i="50"/>
  <c r="L353" i="50"/>
  <c r="M353" i="50"/>
  <c r="N353" i="50"/>
  <c r="O353" i="50"/>
  <c r="P353" i="50"/>
  <c r="D354" i="50"/>
  <c r="F354" i="50"/>
  <c r="G354" i="50"/>
  <c r="H354" i="50"/>
  <c r="I354" i="50"/>
  <c r="J354" i="50"/>
  <c r="K354" i="50"/>
  <c r="L354" i="50"/>
  <c r="M354" i="50"/>
  <c r="N354" i="50"/>
  <c r="O354" i="50"/>
  <c r="P354" i="50"/>
  <c r="Q354" i="50"/>
  <c r="R354" i="50"/>
  <c r="S354" i="50"/>
  <c r="T354" i="50"/>
  <c r="U354" i="50"/>
  <c r="V354" i="50"/>
  <c r="W354" i="50"/>
  <c r="X354" i="50"/>
  <c r="Y354" i="50"/>
  <c r="Z354" i="50"/>
  <c r="C356" i="50"/>
  <c r="C357" i="50"/>
  <c r="C358" i="50"/>
  <c r="F363" i="50"/>
  <c r="G363" i="50"/>
  <c r="H363" i="50"/>
  <c r="I363" i="50"/>
  <c r="J363" i="50"/>
  <c r="K363" i="50"/>
  <c r="L363" i="50"/>
  <c r="M363" i="50"/>
  <c r="N363" i="50"/>
  <c r="O363" i="50"/>
  <c r="P363" i="50"/>
  <c r="Q363" i="50"/>
  <c r="R363" i="50"/>
  <c r="S363" i="50"/>
  <c r="T363" i="50"/>
  <c r="U363" i="50"/>
  <c r="V363" i="50"/>
  <c r="W363" i="50"/>
  <c r="X363" i="50"/>
  <c r="Y363" i="50"/>
  <c r="Z363" i="50"/>
  <c r="F366" i="50"/>
  <c r="G366" i="50"/>
  <c r="H366" i="50"/>
  <c r="I366" i="50"/>
  <c r="J366" i="50"/>
  <c r="K366" i="50"/>
  <c r="L366" i="50"/>
  <c r="M366" i="50"/>
  <c r="N366" i="50"/>
  <c r="O366" i="50"/>
  <c r="P366" i="50"/>
  <c r="F367" i="50"/>
  <c r="G367" i="50"/>
  <c r="H367" i="50"/>
  <c r="I367" i="50"/>
  <c r="J367" i="50"/>
  <c r="K367" i="50"/>
  <c r="L367" i="50"/>
  <c r="M367" i="50"/>
  <c r="N367" i="50"/>
  <c r="O367" i="50"/>
  <c r="P367" i="50"/>
  <c r="P368" i="50"/>
  <c r="P369" i="50"/>
  <c r="D370" i="50"/>
  <c r="F370" i="50"/>
  <c r="G370" i="50"/>
  <c r="H370" i="50"/>
  <c r="I370" i="50"/>
  <c r="J370" i="50"/>
  <c r="K370" i="50"/>
  <c r="L370" i="50"/>
  <c r="M370" i="50"/>
  <c r="N370" i="50"/>
  <c r="O370" i="50"/>
  <c r="P370" i="50"/>
  <c r="Q370" i="50"/>
  <c r="R370" i="50"/>
  <c r="S370" i="50"/>
  <c r="T370" i="50"/>
  <c r="U370" i="50"/>
  <c r="V370" i="50"/>
  <c r="W370" i="50"/>
  <c r="X370" i="50"/>
  <c r="Y370" i="50"/>
  <c r="Z370" i="50"/>
  <c r="D372" i="50"/>
  <c r="F375" i="50"/>
  <c r="G375" i="50"/>
  <c r="H375" i="50"/>
  <c r="I375" i="50"/>
  <c r="J375" i="50"/>
  <c r="K375" i="50"/>
  <c r="L375" i="50"/>
  <c r="M375" i="50"/>
  <c r="N375" i="50"/>
  <c r="O375" i="50"/>
  <c r="P375" i="50"/>
  <c r="Q375" i="50"/>
  <c r="R375" i="50"/>
  <c r="S375" i="50"/>
  <c r="T375" i="50"/>
  <c r="U375" i="50"/>
  <c r="V375" i="50"/>
  <c r="W375" i="50"/>
  <c r="X375" i="50"/>
  <c r="Y375" i="50"/>
  <c r="Z375" i="50"/>
  <c r="F376" i="50"/>
  <c r="G376" i="50"/>
  <c r="H376" i="50"/>
  <c r="I376" i="50"/>
  <c r="J376" i="50"/>
  <c r="K376" i="50"/>
  <c r="L376" i="50"/>
  <c r="M376" i="50"/>
  <c r="N376" i="50"/>
  <c r="O376" i="50"/>
  <c r="P376" i="50"/>
  <c r="Q376" i="50"/>
  <c r="R376" i="50"/>
  <c r="S376" i="50"/>
  <c r="T376" i="50"/>
  <c r="U376" i="50"/>
  <c r="V376" i="50"/>
  <c r="W376" i="50"/>
  <c r="X376" i="50"/>
  <c r="Y376" i="50"/>
  <c r="Z376" i="50"/>
  <c r="L377" i="50"/>
  <c r="L378" i="50"/>
  <c r="F379" i="50"/>
  <c r="G379" i="50"/>
  <c r="H379" i="50"/>
  <c r="I379" i="50"/>
  <c r="J379" i="50"/>
  <c r="K379" i="50"/>
  <c r="L379" i="50"/>
  <c r="M379" i="50"/>
  <c r="N379" i="50"/>
  <c r="O379" i="50"/>
  <c r="P379" i="50"/>
  <c r="F380" i="50"/>
  <c r="G380" i="50"/>
  <c r="H380" i="50"/>
  <c r="I380" i="50"/>
  <c r="J380" i="50"/>
  <c r="K380" i="50"/>
  <c r="L380" i="50"/>
  <c r="M380" i="50"/>
  <c r="N380" i="50"/>
  <c r="O380" i="50"/>
  <c r="P380" i="50"/>
  <c r="P381" i="50"/>
  <c r="D383" i="50"/>
  <c r="F383" i="50"/>
  <c r="G383" i="50"/>
  <c r="H383" i="50"/>
  <c r="I383" i="50"/>
  <c r="J383" i="50"/>
  <c r="K383" i="50"/>
  <c r="L383" i="50"/>
  <c r="M383" i="50"/>
  <c r="N383" i="50"/>
  <c r="O383" i="50"/>
  <c r="P383" i="50"/>
  <c r="Q383" i="50"/>
  <c r="R383" i="50"/>
  <c r="S383" i="50"/>
  <c r="T383" i="50"/>
  <c r="U383" i="50"/>
  <c r="V383" i="50"/>
  <c r="W383" i="50"/>
  <c r="X383" i="50"/>
  <c r="Y383" i="50"/>
  <c r="Z383" i="50"/>
  <c r="D385" i="50"/>
  <c r="D386" i="50"/>
  <c r="K388" i="50"/>
  <c r="L388" i="50"/>
  <c r="M388" i="50"/>
  <c r="N388" i="50"/>
  <c r="O388" i="50"/>
  <c r="P388" i="50"/>
  <c r="D391" i="50"/>
  <c r="G391" i="50"/>
  <c r="H391" i="50"/>
  <c r="I391" i="50"/>
  <c r="J391" i="50"/>
  <c r="K391" i="50"/>
  <c r="L391" i="50"/>
  <c r="M391" i="50"/>
  <c r="N391" i="50"/>
  <c r="O391" i="50"/>
  <c r="P391" i="50"/>
  <c r="Q391" i="50"/>
  <c r="R391" i="50"/>
  <c r="S391" i="50"/>
  <c r="T391" i="50"/>
  <c r="U391" i="50"/>
  <c r="V391" i="50"/>
  <c r="W391" i="50"/>
  <c r="X391" i="50"/>
  <c r="Y391" i="50"/>
  <c r="Z391" i="50"/>
  <c r="D392" i="50"/>
  <c r="F392" i="50"/>
  <c r="G392" i="50"/>
  <c r="H392" i="50"/>
  <c r="I392" i="50"/>
  <c r="J392" i="50"/>
  <c r="K392" i="50"/>
  <c r="L392" i="50"/>
  <c r="M392" i="50"/>
  <c r="N392" i="50"/>
  <c r="O392" i="50"/>
  <c r="P392" i="50"/>
  <c r="Q392" i="50"/>
  <c r="R392" i="50"/>
  <c r="S392" i="50"/>
  <c r="T392" i="50"/>
  <c r="U392" i="50"/>
  <c r="V392" i="50"/>
  <c r="W392" i="50"/>
  <c r="X392" i="50"/>
  <c r="Y392" i="50"/>
  <c r="Z392" i="50"/>
  <c r="D393" i="50"/>
  <c r="F393" i="50"/>
  <c r="G393" i="50"/>
  <c r="H393" i="50"/>
  <c r="I393" i="50"/>
  <c r="J393" i="50"/>
  <c r="K393" i="50"/>
  <c r="L393" i="50"/>
  <c r="M393" i="50"/>
  <c r="N393" i="50"/>
  <c r="O393" i="50"/>
  <c r="P393" i="50"/>
  <c r="D394" i="50"/>
  <c r="J394" i="50"/>
  <c r="K394" i="50"/>
  <c r="L394" i="50"/>
  <c r="M394" i="50"/>
  <c r="N394" i="50"/>
  <c r="O394" i="50"/>
  <c r="P394" i="50"/>
  <c r="D395" i="50"/>
  <c r="F395" i="50"/>
  <c r="G395" i="50"/>
  <c r="H395" i="50"/>
  <c r="I395" i="50"/>
  <c r="J395" i="50"/>
  <c r="K395" i="50"/>
  <c r="L395" i="50"/>
  <c r="M395" i="50"/>
  <c r="N395" i="50"/>
  <c r="O395" i="50"/>
  <c r="P395" i="50"/>
  <c r="D396" i="50"/>
  <c r="P396" i="50"/>
  <c r="D397" i="50"/>
  <c r="P397" i="50"/>
  <c r="D398" i="50"/>
  <c r="F398" i="50"/>
  <c r="G398" i="50"/>
  <c r="H398" i="50"/>
  <c r="I398" i="50"/>
  <c r="J398" i="50"/>
  <c r="K398" i="50"/>
  <c r="L398" i="50"/>
  <c r="M398" i="50"/>
  <c r="N398" i="50"/>
  <c r="O398" i="50"/>
  <c r="P398" i="50"/>
  <c r="Q398" i="50"/>
  <c r="R398" i="50"/>
  <c r="S398" i="50"/>
  <c r="T398" i="50"/>
  <c r="U398" i="50"/>
  <c r="V398" i="50"/>
  <c r="W398" i="50"/>
  <c r="X398" i="50"/>
  <c r="Y398" i="50"/>
  <c r="Z398" i="50"/>
  <c r="F403" i="50"/>
  <c r="G403" i="50"/>
  <c r="H403" i="50"/>
  <c r="I403" i="50"/>
  <c r="J403" i="50"/>
  <c r="K403" i="50"/>
  <c r="L403" i="50"/>
  <c r="M403" i="50"/>
  <c r="N403" i="50"/>
  <c r="O403" i="50"/>
  <c r="P403" i="50"/>
  <c r="Q403" i="50"/>
  <c r="R403" i="50"/>
  <c r="S403" i="50"/>
  <c r="T403" i="50"/>
  <c r="U403" i="50"/>
  <c r="V403" i="50"/>
  <c r="W403" i="50"/>
  <c r="X403" i="50"/>
  <c r="Y403" i="50"/>
  <c r="Z403" i="50"/>
  <c r="F406" i="50"/>
  <c r="G406" i="50"/>
  <c r="H406" i="50"/>
  <c r="I406" i="50"/>
  <c r="J406" i="50"/>
  <c r="K406" i="50"/>
  <c r="L406" i="50"/>
  <c r="M406" i="50"/>
  <c r="N406" i="50"/>
  <c r="O406" i="50"/>
  <c r="P406" i="50"/>
  <c r="F407" i="50"/>
  <c r="G407" i="50"/>
  <c r="H407" i="50"/>
  <c r="I407" i="50"/>
  <c r="J407" i="50"/>
  <c r="K407" i="50"/>
  <c r="L407" i="50"/>
  <c r="M407" i="50"/>
  <c r="N407" i="50"/>
  <c r="O407" i="50"/>
  <c r="P407" i="50"/>
  <c r="I408" i="50"/>
  <c r="P408" i="50"/>
  <c r="P409" i="50"/>
  <c r="D410" i="50"/>
  <c r="F410" i="50"/>
  <c r="G410" i="50"/>
  <c r="H410" i="50"/>
  <c r="I410" i="50"/>
  <c r="J410" i="50"/>
  <c r="K410" i="50"/>
  <c r="L410" i="50"/>
  <c r="M410" i="50"/>
  <c r="N410" i="50"/>
  <c r="O410" i="50"/>
  <c r="P410" i="50"/>
  <c r="Q410" i="50"/>
  <c r="R410" i="50"/>
  <c r="S410" i="50"/>
  <c r="T410" i="50"/>
  <c r="U410" i="50"/>
  <c r="V410" i="50"/>
  <c r="W410" i="50"/>
  <c r="X410" i="50"/>
  <c r="Y410" i="50"/>
  <c r="Z410" i="50"/>
  <c r="F412" i="50"/>
  <c r="F415" i="50"/>
  <c r="G415" i="50"/>
  <c r="H415" i="50"/>
  <c r="I415" i="50"/>
  <c r="J415" i="50"/>
  <c r="K415" i="50"/>
  <c r="L415" i="50"/>
  <c r="M415" i="50"/>
  <c r="N415" i="50"/>
  <c r="O415" i="50"/>
  <c r="P415" i="50"/>
  <c r="Q415" i="50"/>
  <c r="R415" i="50"/>
  <c r="S415" i="50"/>
  <c r="T415" i="50"/>
  <c r="U415" i="50"/>
  <c r="V415" i="50"/>
  <c r="W415" i="50"/>
  <c r="X415" i="50"/>
  <c r="Y415" i="50"/>
  <c r="Z415" i="50"/>
  <c r="F416" i="50"/>
  <c r="G416" i="50"/>
  <c r="H416" i="50"/>
  <c r="I416" i="50"/>
  <c r="J416" i="50"/>
  <c r="K416" i="50"/>
  <c r="L416" i="50"/>
  <c r="M416" i="50"/>
  <c r="N416" i="50"/>
  <c r="O416" i="50"/>
  <c r="P416" i="50"/>
  <c r="Q416" i="50"/>
  <c r="R416" i="50"/>
  <c r="S416" i="50"/>
  <c r="T416" i="50"/>
  <c r="U416" i="50"/>
  <c r="V416" i="50"/>
  <c r="W416" i="50"/>
  <c r="X416" i="50"/>
  <c r="Y416" i="50"/>
  <c r="Z416" i="50"/>
  <c r="L417" i="50"/>
  <c r="L418" i="50"/>
  <c r="F419" i="50"/>
  <c r="G419" i="50"/>
  <c r="H419" i="50"/>
  <c r="I419" i="50"/>
  <c r="J419" i="50"/>
  <c r="K419" i="50"/>
  <c r="L419" i="50"/>
  <c r="M419" i="50"/>
  <c r="N419" i="50"/>
  <c r="O419" i="50"/>
  <c r="P419" i="50"/>
  <c r="F420" i="50"/>
  <c r="G420" i="50"/>
  <c r="H420" i="50"/>
  <c r="I420" i="50"/>
  <c r="J420" i="50"/>
  <c r="K420" i="50"/>
  <c r="L420" i="50"/>
  <c r="M420" i="50"/>
  <c r="N420" i="50"/>
  <c r="O420" i="50"/>
  <c r="P420" i="50"/>
  <c r="I421" i="50"/>
  <c r="P421" i="50"/>
  <c r="D423" i="50"/>
  <c r="F423" i="50"/>
  <c r="G423" i="50"/>
  <c r="H423" i="50"/>
  <c r="I423" i="50"/>
  <c r="J423" i="50"/>
  <c r="K423" i="50"/>
  <c r="L423" i="50"/>
  <c r="M423" i="50"/>
  <c r="N423" i="50"/>
  <c r="O423" i="50"/>
  <c r="P423" i="50"/>
  <c r="Q423" i="50"/>
  <c r="R423" i="50"/>
  <c r="S423" i="50"/>
  <c r="T423" i="50"/>
  <c r="U423" i="50"/>
  <c r="V423" i="50"/>
  <c r="W423" i="50"/>
  <c r="X423" i="50"/>
  <c r="Y423" i="50"/>
  <c r="Z423" i="50"/>
  <c r="F425" i="50"/>
  <c r="F426" i="50"/>
  <c r="K428" i="50"/>
  <c r="L428" i="50"/>
  <c r="M428" i="50"/>
  <c r="N428" i="50"/>
  <c r="O428" i="50"/>
  <c r="P428" i="50"/>
  <c r="D431" i="50"/>
  <c r="G431" i="50"/>
  <c r="H431" i="50"/>
  <c r="I431" i="50"/>
  <c r="J431" i="50"/>
  <c r="K431" i="50"/>
  <c r="L431" i="50"/>
  <c r="M431" i="50"/>
  <c r="N431" i="50"/>
  <c r="O431" i="50"/>
  <c r="P431" i="50"/>
  <c r="Q431" i="50"/>
  <c r="R431" i="50"/>
  <c r="S431" i="50"/>
  <c r="T431" i="50"/>
  <c r="U431" i="50"/>
  <c r="V431" i="50"/>
  <c r="W431" i="50"/>
  <c r="X431" i="50"/>
  <c r="Y431" i="50"/>
  <c r="Z431" i="50"/>
  <c r="D432" i="50"/>
  <c r="F432" i="50"/>
  <c r="G432" i="50"/>
  <c r="H432" i="50"/>
  <c r="I432" i="50"/>
  <c r="J432" i="50"/>
  <c r="K432" i="50"/>
  <c r="L432" i="50"/>
  <c r="M432" i="50"/>
  <c r="N432" i="50"/>
  <c r="O432" i="50"/>
  <c r="P432" i="50"/>
  <c r="Q432" i="50"/>
  <c r="R432" i="50"/>
  <c r="S432" i="50"/>
  <c r="T432" i="50"/>
  <c r="U432" i="50"/>
  <c r="V432" i="50"/>
  <c r="W432" i="50"/>
  <c r="X432" i="50"/>
  <c r="Y432" i="50"/>
  <c r="Z432" i="50"/>
  <c r="D433" i="50"/>
  <c r="F433" i="50"/>
  <c r="G433" i="50"/>
  <c r="H433" i="50"/>
  <c r="I433" i="50"/>
  <c r="J433" i="50"/>
  <c r="K433" i="50"/>
  <c r="L433" i="50"/>
  <c r="M433" i="50"/>
  <c r="N433" i="50"/>
  <c r="O433" i="50"/>
  <c r="P433" i="50"/>
  <c r="D434" i="50"/>
  <c r="J434" i="50"/>
  <c r="K434" i="50"/>
  <c r="L434" i="50"/>
  <c r="M434" i="50"/>
  <c r="N434" i="50"/>
  <c r="O434" i="50"/>
  <c r="P434" i="50"/>
  <c r="D435" i="50"/>
  <c r="F435" i="50"/>
  <c r="G435" i="50"/>
  <c r="H435" i="50"/>
  <c r="I435" i="50"/>
  <c r="J435" i="50"/>
  <c r="K435" i="50"/>
  <c r="L435" i="50"/>
  <c r="M435" i="50"/>
  <c r="N435" i="50"/>
  <c r="O435" i="50"/>
  <c r="P435" i="50"/>
  <c r="D436" i="50"/>
  <c r="I436" i="50"/>
  <c r="P436" i="50"/>
  <c r="D437" i="50"/>
  <c r="P437" i="50"/>
  <c r="D438" i="50"/>
  <c r="F438" i="50"/>
  <c r="G438" i="50"/>
  <c r="H438" i="50"/>
  <c r="I438" i="50"/>
  <c r="J438" i="50"/>
  <c r="K438" i="50"/>
  <c r="L438" i="50"/>
  <c r="M438" i="50"/>
  <c r="N438" i="50"/>
  <c r="O438" i="50"/>
  <c r="P438" i="50"/>
  <c r="Q438" i="50"/>
  <c r="R438" i="50"/>
  <c r="S438" i="50"/>
  <c r="T438" i="50"/>
  <c r="U438" i="50"/>
  <c r="V438" i="50"/>
  <c r="W438" i="50"/>
  <c r="X438" i="50"/>
  <c r="Y438" i="50"/>
  <c r="Z438" i="50"/>
  <c r="E8" i="40"/>
  <c r="F23" i="40"/>
  <c r="G23" i="40"/>
  <c r="H23" i="40"/>
  <c r="I23" i="40"/>
  <c r="J23" i="40"/>
  <c r="K23" i="40"/>
  <c r="L23" i="40"/>
  <c r="M23" i="40"/>
  <c r="N23" i="40"/>
  <c r="O23" i="40"/>
  <c r="P23" i="40"/>
  <c r="Q23" i="40"/>
  <c r="R23" i="40"/>
  <c r="S23" i="40"/>
  <c r="T23" i="40"/>
  <c r="U23" i="40"/>
  <c r="V23" i="40"/>
  <c r="W23" i="40"/>
  <c r="X23" i="40"/>
  <c r="Y23" i="40"/>
  <c r="Z23" i="40"/>
  <c r="F24" i="40"/>
  <c r="G24" i="40"/>
  <c r="H24" i="40"/>
  <c r="I24" i="40"/>
  <c r="J24" i="40"/>
  <c r="K24" i="40"/>
  <c r="L24" i="40"/>
  <c r="M24" i="40"/>
  <c r="N24" i="40"/>
  <c r="O24" i="40"/>
  <c r="P24" i="40"/>
  <c r="Q24" i="40"/>
  <c r="R24" i="40"/>
  <c r="S24" i="40"/>
  <c r="T24" i="40"/>
  <c r="U24" i="40"/>
  <c r="V24" i="40"/>
  <c r="W24" i="40"/>
  <c r="X24" i="40"/>
  <c r="Y24" i="40"/>
  <c r="Z24" i="40"/>
  <c r="F26" i="40"/>
  <c r="G26" i="40"/>
  <c r="H26" i="40"/>
  <c r="I26" i="40"/>
  <c r="J26" i="40"/>
  <c r="K26" i="40"/>
  <c r="L26" i="40"/>
  <c r="M26" i="40"/>
  <c r="N26" i="40"/>
  <c r="O26" i="40"/>
  <c r="P26" i="40"/>
  <c r="Q26" i="40"/>
  <c r="R26" i="40"/>
  <c r="S26" i="40"/>
  <c r="T26" i="40"/>
  <c r="U26" i="40"/>
  <c r="V26" i="40"/>
  <c r="W26" i="40"/>
  <c r="X26" i="40"/>
  <c r="Y26" i="40"/>
  <c r="Z26" i="40"/>
  <c r="F27" i="40"/>
  <c r="G27" i="40"/>
  <c r="H27" i="40"/>
  <c r="I27" i="40"/>
  <c r="J27" i="40"/>
  <c r="K27" i="40"/>
  <c r="L27" i="40"/>
  <c r="M27" i="40"/>
  <c r="N27" i="40"/>
  <c r="O27" i="40"/>
  <c r="P27" i="40"/>
  <c r="Q27" i="40"/>
  <c r="R27" i="40"/>
  <c r="S27" i="40"/>
  <c r="T27" i="40"/>
  <c r="U27" i="40"/>
  <c r="V27" i="40"/>
  <c r="W27" i="40"/>
  <c r="X27" i="40"/>
  <c r="Y27" i="40"/>
  <c r="Z27" i="40"/>
  <c r="F28" i="40"/>
  <c r="G28" i="40"/>
  <c r="H28" i="40"/>
  <c r="I28" i="40"/>
  <c r="J28" i="40"/>
  <c r="K28" i="40"/>
  <c r="L28" i="40"/>
  <c r="M28" i="40"/>
  <c r="N28" i="40"/>
  <c r="O28" i="40"/>
  <c r="P28" i="40"/>
  <c r="Q28" i="40"/>
  <c r="R28" i="40"/>
  <c r="S28" i="40"/>
  <c r="T28" i="40"/>
  <c r="U28" i="40"/>
  <c r="V28" i="40"/>
  <c r="W28" i="40"/>
  <c r="X28" i="40"/>
  <c r="Y28" i="40"/>
  <c r="Z28" i="40"/>
  <c r="F46" i="40"/>
  <c r="G46" i="40"/>
  <c r="H46" i="40"/>
  <c r="I46" i="40"/>
  <c r="J46" i="40"/>
  <c r="K46" i="40"/>
  <c r="L46" i="40"/>
  <c r="M46" i="40"/>
  <c r="N46" i="40"/>
  <c r="O46" i="40"/>
  <c r="P46" i="40"/>
  <c r="Q46" i="40"/>
  <c r="R46" i="40"/>
  <c r="S46" i="40"/>
  <c r="T46" i="40"/>
  <c r="U46" i="40"/>
  <c r="V46" i="40"/>
  <c r="W46" i="40"/>
  <c r="X46" i="40"/>
  <c r="Y46" i="40"/>
  <c r="Z46" i="40"/>
  <c r="F47" i="40"/>
  <c r="G47" i="40"/>
  <c r="H47" i="40"/>
  <c r="I47" i="40"/>
  <c r="J47" i="40"/>
  <c r="K47" i="40"/>
  <c r="L47" i="40"/>
  <c r="M47" i="40"/>
  <c r="N47" i="40"/>
  <c r="O47" i="40"/>
  <c r="P47" i="40"/>
  <c r="Q47" i="40"/>
  <c r="R47" i="40"/>
  <c r="S47" i="40"/>
  <c r="T47" i="40"/>
  <c r="U47" i="40"/>
  <c r="V47" i="40"/>
  <c r="W47" i="40"/>
  <c r="X47" i="40"/>
  <c r="Y47" i="40"/>
  <c r="Z47" i="40"/>
  <c r="F49" i="40"/>
  <c r="G49" i="40"/>
  <c r="H49" i="40"/>
  <c r="I49" i="40"/>
  <c r="J49" i="40"/>
  <c r="K49" i="40"/>
  <c r="L49" i="40"/>
  <c r="M49" i="40"/>
  <c r="N49" i="40"/>
  <c r="O49" i="40"/>
  <c r="P49" i="40"/>
  <c r="Q49" i="40"/>
  <c r="R49" i="40"/>
  <c r="S49" i="40"/>
  <c r="T49" i="40"/>
  <c r="U49" i="40"/>
  <c r="V49" i="40"/>
  <c r="W49" i="40"/>
  <c r="X49" i="40"/>
  <c r="Y49" i="40"/>
  <c r="Z49" i="40"/>
  <c r="F50" i="40"/>
  <c r="G50" i="40"/>
  <c r="H50" i="40"/>
  <c r="I50" i="40"/>
  <c r="J50" i="40"/>
  <c r="K50" i="40"/>
  <c r="L50" i="40"/>
  <c r="M50" i="40"/>
  <c r="N50" i="40"/>
  <c r="O50" i="40"/>
  <c r="P50" i="40"/>
  <c r="Q50" i="40"/>
  <c r="R50" i="40"/>
  <c r="S50" i="40"/>
  <c r="T50" i="40"/>
  <c r="U50" i="40"/>
  <c r="V50" i="40"/>
  <c r="W50" i="40"/>
  <c r="X50" i="40"/>
  <c r="Y50" i="40"/>
  <c r="Z50" i="40"/>
  <c r="F51" i="40"/>
  <c r="G51" i="40"/>
  <c r="H51" i="40"/>
  <c r="I51" i="40"/>
  <c r="J51" i="40"/>
  <c r="K51" i="40"/>
  <c r="L51" i="40"/>
  <c r="M51" i="40"/>
  <c r="N51" i="40"/>
  <c r="O51" i="40"/>
  <c r="P51" i="40"/>
  <c r="Q51" i="40"/>
  <c r="R51" i="40"/>
  <c r="S51" i="40"/>
  <c r="T51" i="40"/>
  <c r="U51" i="40"/>
  <c r="V51" i="40"/>
  <c r="W51" i="40"/>
  <c r="X51" i="40"/>
  <c r="Y51" i="40"/>
  <c r="Z51" i="40"/>
  <c r="F63" i="40"/>
  <c r="G63" i="40"/>
  <c r="H63" i="40"/>
  <c r="I63" i="40"/>
  <c r="J63" i="40"/>
  <c r="K63" i="40"/>
  <c r="L63" i="40"/>
  <c r="M63" i="40"/>
  <c r="N63" i="40"/>
  <c r="O63" i="40"/>
  <c r="P63" i="40"/>
  <c r="Q63" i="40"/>
  <c r="R63" i="40"/>
  <c r="S63" i="40"/>
  <c r="T63" i="40"/>
  <c r="U63" i="40"/>
  <c r="V63" i="40"/>
  <c r="W63" i="40"/>
  <c r="X63" i="40"/>
  <c r="Y63" i="40"/>
  <c r="Z63" i="40"/>
  <c r="F64" i="40"/>
  <c r="G64" i="40"/>
  <c r="H64" i="40"/>
  <c r="I64" i="40"/>
  <c r="J64" i="40"/>
  <c r="K64" i="40"/>
  <c r="L64" i="40"/>
  <c r="M64" i="40"/>
  <c r="N64" i="40"/>
  <c r="O64" i="40"/>
  <c r="P64" i="40"/>
  <c r="Q64" i="40"/>
  <c r="R64" i="40"/>
  <c r="S64" i="40"/>
  <c r="T64" i="40"/>
  <c r="U64" i="40"/>
  <c r="V64" i="40"/>
  <c r="W64" i="40"/>
  <c r="X64" i="40"/>
  <c r="Y64" i="40"/>
  <c r="Z64" i="40"/>
  <c r="F67" i="40"/>
  <c r="G67" i="40"/>
  <c r="H67" i="40"/>
  <c r="I67" i="40"/>
  <c r="J67" i="40"/>
  <c r="K67" i="40"/>
  <c r="L67" i="40"/>
  <c r="M67" i="40"/>
  <c r="N67" i="40"/>
  <c r="O67" i="40"/>
  <c r="P67" i="40"/>
  <c r="Q67" i="40"/>
  <c r="R67" i="40"/>
  <c r="S67" i="40"/>
  <c r="T67" i="40"/>
  <c r="U67" i="40"/>
  <c r="V67" i="40"/>
  <c r="W67" i="40"/>
  <c r="X67" i="40"/>
  <c r="Y67" i="40"/>
  <c r="Z67" i="40"/>
  <c r="F68" i="40"/>
  <c r="G68" i="40"/>
  <c r="H68" i="40"/>
  <c r="I68" i="40"/>
  <c r="J68" i="40"/>
  <c r="K68" i="40"/>
  <c r="L68" i="40"/>
  <c r="M68" i="40"/>
  <c r="N68" i="40"/>
  <c r="O68" i="40"/>
  <c r="P68" i="40"/>
  <c r="Q68" i="40"/>
  <c r="R68" i="40"/>
  <c r="S68" i="40"/>
  <c r="T68" i="40"/>
  <c r="U68" i="40"/>
  <c r="V68" i="40"/>
  <c r="W68" i="40"/>
  <c r="X68" i="40"/>
  <c r="Y68" i="40"/>
  <c r="Z68" i="40"/>
  <c r="F70" i="40"/>
  <c r="G70" i="40"/>
  <c r="H70" i="40"/>
  <c r="I70" i="40"/>
  <c r="J70" i="40"/>
  <c r="K70" i="40"/>
  <c r="L70" i="40"/>
  <c r="M70" i="40"/>
  <c r="N70" i="40"/>
  <c r="O70" i="40"/>
  <c r="P70" i="40"/>
  <c r="Q70" i="40"/>
  <c r="R70" i="40"/>
  <c r="S70" i="40"/>
  <c r="T70" i="40"/>
  <c r="U70" i="40"/>
  <c r="V70" i="40"/>
  <c r="W70" i="40"/>
  <c r="X70" i="40"/>
  <c r="Y70" i="40"/>
  <c r="Z70" i="40"/>
  <c r="F71" i="40"/>
  <c r="G71" i="40"/>
  <c r="H71" i="40"/>
  <c r="I71" i="40"/>
  <c r="J71" i="40"/>
  <c r="K71" i="40"/>
  <c r="L71" i="40"/>
  <c r="M71" i="40"/>
  <c r="N71" i="40"/>
  <c r="O71" i="40"/>
  <c r="P71" i="40"/>
  <c r="Q71" i="40"/>
  <c r="R71" i="40"/>
  <c r="S71" i="40"/>
  <c r="T71" i="40"/>
  <c r="U71" i="40"/>
  <c r="V71" i="40"/>
  <c r="W71" i="40"/>
  <c r="X71" i="40"/>
  <c r="Y71" i="40"/>
  <c r="Z71" i="40"/>
  <c r="F72" i="40"/>
  <c r="G72" i="40"/>
  <c r="H72" i="40"/>
  <c r="I72" i="40"/>
  <c r="J72" i="40"/>
  <c r="K72" i="40"/>
  <c r="L72" i="40"/>
  <c r="M72" i="40"/>
  <c r="N72" i="40"/>
  <c r="O72" i="40"/>
  <c r="P72" i="40"/>
  <c r="Q72" i="40"/>
  <c r="R72" i="40"/>
  <c r="S72" i="40"/>
  <c r="T72" i="40"/>
  <c r="U72" i="40"/>
  <c r="V72" i="40"/>
  <c r="W72" i="40"/>
  <c r="X72" i="40"/>
  <c r="Y72" i="40"/>
  <c r="Z72" i="40"/>
  <c r="F84" i="40"/>
  <c r="G84" i="40"/>
  <c r="H84" i="40"/>
  <c r="I84" i="40"/>
  <c r="J84" i="40"/>
  <c r="K84" i="40"/>
  <c r="L84" i="40"/>
  <c r="M84" i="40"/>
  <c r="N84" i="40"/>
  <c r="O84" i="40"/>
  <c r="P84" i="40"/>
  <c r="Q84" i="40"/>
  <c r="R84" i="40"/>
  <c r="S84" i="40"/>
  <c r="T84" i="40"/>
  <c r="U84" i="40"/>
  <c r="V84" i="40"/>
  <c r="W84" i="40"/>
  <c r="X84" i="40"/>
  <c r="Y84" i="40"/>
  <c r="Z84" i="40"/>
  <c r="F85" i="40"/>
  <c r="G85" i="40"/>
  <c r="H85" i="40"/>
  <c r="I85" i="40"/>
  <c r="J85" i="40"/>
  <c r="K85" i="40"/>
  <c r="L85" i="40"/>
  <c r="M85" i="40"/>
  <c r="N85" i="40"/>
  <c r="O85" i="40"/>
  <c r="P85" i="40"/>
  <c r="Q85" i="40"/>
  <c r="R85" i="40"/>
  <c r="S85" i="40"/>
  <c r="T85" i="40"/>
  <c r="U85" i="40"/>
  <c r="V85" i="40"/>
  <c r="W85" i="40"/>
  <c r="X85" i="40"/>
  <c r="Y85" i="40"/>
  <c r="Z85" i="40"/>
  <c r="F88" i="40"/>
  <c r="G88" i="40"/>
  <c r="H88" i="40"/>
  <c r="I88" i="40"/>
  <c r="J88" i="40"/>
  <c r="K88" i="40"/>
  <c r="L88" i="40"/>
  <c r="M88" i="40"/>
  <c r="N88" i="40"/>
  <c r="O88" i="40"/>
  <c r="P88" i="40"/>
  <c r="Q88" i="40"/>
  <c r="R88" i="40"/>
  <c r="S88" i="40"/>
  <c r="T88" i="40"/>
  <c r="U88" i="40"/>
  <c r="V88" i="40"/>
  <c r="W88" i="40"/>
  <c r="X88" i="40"/>
  <c r="Y88" i="40"/>
  <c r="Z88" i="40"/>
  <c r="F89" i="40"/>
  <c r="G89" i="40"/>
  <c r="H89" i="40"/>
  <c r="I89" i="40"/>
  <c r="J89" i="40"/>
  <c r="K89" i="40"/>
  <c r="L89" i="40"/>
  <c r="M89" i="40"/>
  <c r="N89" i="40"/>
  <c r="O89" i="40"/>
  <c r="P89" i="40"/>
  <c r="Q89" i="40"/>
  <c r="R89" i="40"/>
  <c r="S89" i="40"/>
  <c r="T89" i="40"/>
  <c r="U89" i="40"/>
  <c r="V89" i="40"/>
  <c r="W89" i="40"/>
  <c r="X89" i="40"/>
  <c r="Y89" i="40"/>
  <c r="Z89" i="40"/>
  <c r="F91" i="40"/>
  <c r="G91" i="40"/>
  <c r="H91" i="40"/>
  <c r="I91" i="40"/>
  <c r="J91" i="40"/>
  <c r="K91" i="40"/>
  <c r="L91" i="40"/>
  <c r="M91" i="40"/>
  <c r="N91" i="40"/>
  <c r="O91" i="40"/>
  <c r="P91" i="40"/>
  <c r="Q91" i="40"/>
  <c r="R91" i="40"/>
  <c r="S91" i="40"/>
  <c r="T91" i="40"/>
  <c r="U91" i="40"/>
  <c r="V91" i="40"/>
  <c r="W91" i="40"/>
  <c r="X91" i="40"/>
  <c r="Y91" i="40"/>
  <c r="Z91" i="40"/>
  <c r="F92" i="40"/>
  <c r="G92" i="40"/>
  <c r="H92" i="40"/>
  <c r="I92" i="40"/>
  <c r="J92" i="40"/>
  <c r="K92" i="40"/>
  <c r="L92" i="40"/>
  <c r="M92" i="40"/>
  <c r="N92" i="40"/>
  <c r="O92" i="40"/>
  <c r="P92" i="40"/>
  <c r="Q92" i="40"/>
  <c r="R92" i="40"/>
  <c r="S92" i="40"/>
  <c r="T92" i="40"/>
  <c r="U92" i="40"/>
  <c r="V92" i="40"/>
  <c r="W92" i="40"/>
  <c r="X92" i="40"/>
  <c r="Y92" i="40"/>
  <c r="Z92" i="40"/>
  <c r="F93" i="40"/>
  <c r="G93" i="40"/>
  <c r="H93" i="40"/>
  <c r="I93" i="40"/>
  <c r="J93" i="40"/>
  <c r="K93" i="40"/>
  <c r="L93" i="40"/>
  <c r="M93" i="40"/>
  <c r="N93" i="40"/>
  <c r="O93" i="40"/>
  <c r="P93" i="40"/>
  <c r="Q93" i="40"/>
  <c r="R93" i="40"/>
  <c r="S93" i="40"/>
  <c r="T93" i="40"/>
  <c r="U93" i="40"/>
  <c r="V93" i="40"/>
  <c r="W93" i="40"/>
  <c r="X93" i="40"/>
  <c r="Y93" i="40"/>
  <c r="Z93" i="40"/>
  <c r="F105" i="40"/>
  <c r="G105" i="40"/>
  <c r="H105" i="40"/>
  <c r="I105" i="40"/>
  <c r="J105" i="40"/>
  <c r="K105" i="40"/>
  <c r="L105" i="40"/>
  <c r="M105" i="40"/>
  <c r="N105" i="40"/>
  <c r="O105" i="40"/>
  <c r="P105" i="40"/>
  <c r="Q105" i="40"/>
  <c r="R105" i="40"/>
  <c r="S105" i="40"/>
  <c r="T105" i="40"/>
  <c r="U105" i="40"/>
  <c r="V105" i="40"/>
  <c r="W105" i="40"/>
  <c r="X105" i="40"/>
  <c r="Y105" i="40"/>
  <c r="Z105" i="40"/>
  <c r="F106" i="40"/>
  <c r="G106" i="40"/>
  <c r="H106" i="40"/>
  <c r="I106" i="40"/>
  <c r="J106" i="40"/>
  <c r="K106" i="40"/>
  <c r="L106" i="40"/>
  <c r="M106" i="40"/>
  <c r="N106" i="40"/>
  <c r="O106" i="40"/>
  <c r="P106" i="40"/>
  <c r="Q106" i="40"/>
  <c r="R106" i="40"/>
  <c r="S106" i="40"/>
  <c r="T106" i="40"/>
  <c r="U106" i="40"/>
  <c r="V106" i="40"/>
  <c r="W106" i="40"/>
  <c r="X106" i="40"/>
  <c r="Y106" i="40"/>
  <c r="Z106" i="40"/>
  <c r="F109" i="40"/>
  <c r="G109" i="40"/>
  <c r="H109" i="40"/>
  <c r="I109" i="40"/>
  <c r="J109" i="40"/>
  <c r="K109" i="40"/>
  <c r="L109" i="40"/>
  <c r="M109" i="40"/>
  <c r="N109" i="40"/>
  <c r="O109" i="40"/>
  <c r="P109" i="40"/>
  <c r="Q109" i="40"/>
  <c r="R109" i="40"/>
  <c r="S109" i="40"/>
  <c r="T109" i="40"/>
  <c r="U109" i="40"/>
  <c r="V109" i="40"/>
  <c r="W109" i="40"/>
  <c r="X109" i="40"/>
  <c r="Y109" i="40"/>
  <c r="Z109" i="40"/>
  <c r="F110" i="40"/>
  <c r="G110" i="40"/>
  <c r="H110" i="40"/>
  <c r="I110" i="40"/>
  <c r="J110" i="40"/>
  <c r="K110" i="40"/>
  <c r="L110" i="40"/>
  <c r="M110" i="40"/>
  <c r="N110" i="40"/>
  <c r="O110" i="40"/>
  <c r="P110" i="40"/>
  <c r="Q110" i="40"/>
  <c r="R110" i="40"/>
  <c r="S110" i="40"/>
  <c r="T110" i="40"/>
  <c r="U110" i="40"/>
  <c r="V110" i="40"/>
  <c r="W110" i="40"/>
  <c r="X110" i="40"/>
  <c r="Y110" i="40"/>
  <c r="Z110" i="40"/>
  <c r="F112" i="40"/>
  <c r="G112" i="40"/>
  <c r="H112" i="40"/>
  <c r="I112" i="40"/>
  <c r="J112" i="40"/>
  <c r="K112" i="40"/>
  <c r="L112" i="40"/>
  <c r="M112" i="40"/>
  <c r="N112" i="40"/>
  <c r="O112" i="40"/>
  <c r="P112" i="40"/>
  <c r="Q112" i="40"/>
  <c r="R112" i="40"/>
  <c r="S112" i="40"/>
  <c r="T112" i="40"/>
  <c r="U112" i="40"/>
  <c r="V112" i="40"/>
  <c r="W112" i="40"/>
  <c r="X112" i="40"/>
  <c r="Y112" i="40"/>
  <c r="Z112" i="40"/>
  <c r="F113" i="40"/>
  <c r="G113" i="40"/>
  <c r="H113" i="40"/>
  <c r="I113" i="40"/>
  <c r="J113" i="40"/>
  <c r="K113" i="40"/>
  <c r="L113" i="40"/>
  <c r="M113" i="40"/>
  <c r="N113" i="40"/>
  <c r="O113" i="40"/>
  <c r="P113" i="40"/>
  <c r="Q113" i="40"/>
  <c r="R113" i="40"/>
  <c r="S113" i="40"/>
  <c r="T113" i="40"/>
  <c r="U113" i="40"/>
  <c r="V113" i="40"/>
  <c r="W113" i="40"/>
  <c r="X113" i="40"/>
  <c r="Y113" i="40"/>
  <c r="Z113" i="40"/>
  <c r="F114" i="40"/>
  <c r="G114" i="40"/>
  <c r="H114" i="40"/>
  <c r="I114" i="40"/>
  <c r="J114" i="40"/>
  <c r="K114" i="40"/>
  <c r="L114" i="40"/>
  <c r="M114" i="40"/>
  <c r="N114" i="40"/>
  <c r="O114" i="40"/>
  <c r="P114" i="40"/>
  <c r="Q114" i="40"/>
  <c r="R114" i="40"/>
  <c r="S114" i="40"/>
  <c r="T114" i="40"/>
  <c r="U114" i="40"/>
  <c r="V114" i="40"/>
  <c r="W114" i="40"/>
  <c r="X114" i="40"/>
  <c r="Y114" i="40"/>
  <c r="Z114" i="40"/>
  <c r="F131" i="40"/>
  <c r="G131" i="40"/>
  <c r="H131" i="40"/>
  <c r="I131" i="40"/>
  <c r="J131" i="40"/>
  <c r="K131" i="40"/>
  <c r="L131" i="40"/>
  <c r="M131" i="40"/>
  <c r="N131" i="40"/>
  <c r="O131" i="40"/>
  <c r="P131" i="40"/>
  <c r="Q131" i="40"/>
  <c r="R131" i="40"/>
  <c r="S131" i="40"/>
  <c r="T131" i="40"/>
  <c r="U131" i="40"/>
  <c r="V131" i="40"/>
  <c r="W131" i="40"/>
  <c r="X131" i="40"/>
  <c r="Y131" i="40"/>
  <c r="Z131" i="40"/>
  <c r="F132" i="40"/>
  <c r="G132" i="40"/>
  <c r="H132" i="40"/>
  <c r="I132" i="40"/>
  <c r="J132" i="40"/>
  <c r="K132" i="40"/>
  <c r="L132" i="40"/>
  <c r="M132" i="40"/>
  <c r="N132" i="40"/>
  <c r="O132" i="40"/>
  <c r="P132" i="40"/>
  <c r="Q132" i="40"/>
  <c r="R132" i="40"/>
  <c r="S132" i="40"/>
  <c r="T132" i="40"/>
  <c r="U132" i="40"/>
  <c r="V132" i="40"/>
  <c r="W132" i="40"/>
  <c r="X132" i="40"/>
  <c r="Y132" i="40"/>
  <c r="Z132" i="40"/>
  <c r="F134" i="40"/>
  <c r="G134" i="40"/>
  <c r="H134" i="40"/>
  <c r="I134" i="40"/>
  <c r="J134" i="40"/>
  <c r="K134" i="40"/>
  <c r="L134" i="40"/>
  <c r="M134" i="40"/>
  <c r="N134" i="40"/>
  <c r="O134" i="40"/>
  <c r="P134" i="40"/>
  <c r="Q134" i="40"/>
  <c r="R134" i="40"/>
  <c r="S134" i="40"/>
  <c r="T134" i="40"/>
  <c r="U134" i="40"/>
  <c r="V134" i="40"/>
  <c r="W134" i="40"/>
  <c r="X134" i="40"/>
  <c r="Y134" i="40"/>
  <c r="Z134" i="40"/>
  <c r="F135" i="40"/>
  <c r="G135" i="40"/>
  <c r="H135" i="40"/>
  <c r="I135" i="40"/>
  <c r="J135" i="40"/>
  <c r="K135" i="40"/>
  <c r="L135" i="40"/>
  <c r="M135" i="40"/>
  <c r="N135" i="40"/>
  <c r="O135" i="40"/>
  <c r="P135" i="40"/>
  <c r="Q135" i="40"/>
  <c r="R135" i="40"/>
  <c r="S135" i="40"/>
  <c r="T135" i="40"/>
  <c r="U135" i="40"/>
  <c r="V135" i="40"/>
  <c r="W135" i="40"/>
  <c r="X135" i="40"/>
  <c r="Y135" i="40"/>
  <c r="Z135" i="40"/>
  <c r="F136" i="40"/>
  <c r="G136" i="40"/>
  <c r="H136" i="40"/>
  <c r="I136" i="40"/>
  <c r="J136" i="40"/>
  <c r="K136" i="40"/>
  <c r="L136" i="40"/>
  <c r="M136" i="40"/>
  <c r="N136" i="40"/>
  <c r="O136" i="40"/>
  <c r="P136" i="40"/>
  <c r="Q136" i="40"/>
  <c r="R136" i="40"/>
  <c r="S136" i="40"/>
  <c r="T136" i="40"/>
  <c r="U136" i="40"/>
  <c r="V136" i="40"/>
  <c r="W136" i="40"/>
  <c r="X136" i="40"/>
  <c r="Y136" i="40"/>
  <c r="Z136" i="40"/>
  <c r="F138" i="40"/>
  <c r="G138" i="40"/>
  <c r="H138" i="40"/>
  <c r="I138" i="40"/>
  <c r="J138" i="40"/>
  <c r="K138" i="40"/>
  <c r="L138" i="40"/>
  <c r="M138" i="40"/>
  <c r="N138" i="40"/>
  <c r="O138" i="40"/>
  <c r="P138" i="40"/>
  <c r="Q138" i="40"/>
  <c r="R138" i="40"/>
  <c r="S138" i="40"/>
  <c r="T138" i="40"/>
  <c r="U138" i="40"/>
  <c r="V138" i="40"/>
  <c r="W138" i="40"/>
  <c r="X138" i="40"/>
  <c r="Y138" i="40"/>
  <c r="Z138" i="40"/>
  <c r="G141" i="40"/>
  <c r="H141" i="40"/>
  <c r="I141" i="40"/>
  <c r="J141" i="40"/>
  <c r="K141" i="40"/>
  <c r="L141" i="40"/>
  <c r="M141" i="40"/>
  <c r="N141" i="40"/>
  <c r="O141" i="40"/>
  <c r="P141" i="40"/>
  <c r="Q141" i="40"/>
  <c r="R141" i="40"/>
  <c r="S141" i="40"/>
  <c r="T141" i="40"/>
  <c r="U141" i="40"/>
  <c r="V141" i="40"/>
  <c r="W141" i="40"/>
  <c r="X141" i="40"/>
  <c r="Y141" i="40"/>
  <c r="Z141" i="40"/>
  <c r="I142" i="40"/>
  <c r="F143" i="40"/>
  <c r="G143" i="40"/>
  <c r="H143" i="40"/>
  <c r="I143" i="40"/>
  <c r="J143" i="40"/>
  <c r="K143" i="40"/>
  <c r="L143" i="40"/>
  <c r="M143" i="40"/>
  <c r="N143" i="40"/>
  <c r="O143" i="40"/>
  <c r="P143" i="40"/>
  <c r="Q143" i="40"/>
  <c r="R143" i="40"/>
  <c r="S143" i="40"/>
  <c r="T143" i="40"/>
  <c r="U143" i="40"/>
  <c r="V143" i="40"/>
  <c r="W143" i="40"/>
  <c r="X143" i="40"/>
  <c r="Y143" i="40"/>
  <c r="Z143" i="40"/>
  <c r="F144" i="40"/>
  <c r="G144" i="40"/>
  <c r="H144" i="40"/>
  <c r="I144" i="40"/>
  <c r="J144" i="40"/>
  <c r="K144" i="40"/>
  <c r="L144" i="40"/>
  <c r="M144" i="40"/>
  <c r="N144" i="40"/>
  <c r="O144" i="40"/>
  <c r="P144" i="40"/>
  <c r="Q144" i="40"/>
  <c r="R144" i="40"/>
  <c r="S144" i="40"/>
  <c r="T144" i="40"/>
  <c r="U144" i="40"/>
  <c r="V144" i="40"/>
  <c r="W144" i="40"/>
  <c r="X144" i="40"/>
  <c r="Y144" i="40"/>
  <c r="Z144" i="40"/>
  <c r="F146" i="40"/>
  <c r="G146" i="40"/>
  <c r="H146" i="40"/>
  <c r="I146" i="40"/>
  <c r="J146" i="40"/>
  <c r="K146" i="40"/>
  <c r="L146" i="40"/>
  <c r="M146" i="40"/>
  <c r="N146" i="40"/>
  <c r="O146" i="40"/>
  <c r="P146" i="40"/>
  <c r="Q146" i="40"/>
  <c r="R146" i="40"/>
  <c r="S146" i="40"/>
  <c r="T146" i="40"/>
  <c r="U146" i="40"/>
  <c r="V146" i="40"/>
  <c r="W146" i="40"/>
  <c r="X146" i="40"/>
  <c r="Y146" i="40"/>
  <c r="Z146" i="40"/>
  <c r="F147" i="40"/>
  <c r="G147" i="40"/>
  <c r="H147" i="40"/>
  <c r="I147" i="40"/>
  <c r="J147" i="40"/>
  <c r="K147" i="40"/>
  <c r="L147" i="40"/>
  <c r="M147" i="40"/>
  <c r="N147" i="40"/>
  <c r="O147" i="40"/>
  <c r="P147" i="40"/>
  <c r="Q147" i="40"/>
  <c r="R147" i="40"/>
  <c r="S147" i="40"/>
  <c r="T147" i="40"/>
  <c r="U147" i="40"/>
  <c r="V147" i="40"/>
  <c r="W147" i="40"/>
  <c r="X147" i="40"/>
  <c r="Y147" i="40"/>
  <c r="Z147" i="40"/>
  <c r="F148" i="40"/>
  <c r="G148" i="40"/>
  <c r="H148" i="40"/>
  <c r="I148" i="40"/>
  <c r="J148" i="40"/>
  <c r="K148" i="40"/>
  <c r="L148" i="40"/>
  <c r="M148" i="40"/>
  <c r="N148" i="40"/>
  <c r="O148" i="40"/>
  <c r="P148" i="40"/>
  <c r="Q148" i="40"/>
  <c r="R148" i="40"/>
  <c r="S148" i="40"/>
  <c r="T148" i="40"/>
  <c r="U148" i="40"/>
  <c r="V148" i="40"/>
  <c r="W148" i="40"/>
  <c r="X148" i="40"/>
  <c r="Y148" i="40"/>
  <c r="Z148" i="40"/>
  <c r="I150" i="40"/>
  <c r="F152" i="40"/>
  <c r="G152" i="40"/>
  <c r="H152" i="40"/>
  <c r="I152" i="40"/>
  <c r="J152" i="40"/>
  <c r="K152" i="40"/>
  <c r="L152" i="40"/>
  <c r="M152" i="40"/>
  <c r="N152" i="40"/>
  <c r="O152" i="40"/>
  <c r="P152" i="40"/>
  <c r="Q152" i="40"/>
  <c r="R152" i="40"/>
  <c r="S152" i="40"/>
  <c r="T152" i="40"/>
  <c r="U152" i="40"/>
  <c r="V152" i="40"/>
  <c r="W152" i="40"/>
  <c r="X152" i="40"/>
  <c r="Y152" i="40"/>
  <c r="Z152" i="40"/>
  <c r="N155" i="40"/>
  <c r="I156" i="40"/>
  <c r="N157" i="40"/>
  <c r="N158" i="40"/>
  <c r="I159" i="40"/>
  <c r="N159" i="40"/>
  <c r="F162" i="40"/>
  <c r="G162" i="40"/>
  <c r="H162" i="40"/>
  <c r="I162" i="40"/>
  <c r="J162" i="40"/>
  <c r="K162" i="40"/>
  <c r="L162" i="40"/>
  <c r="M162" i="40"/>
  <c r="N162" i="40"/>
  <c r="D196" i="40"/>
  <c r="F196" i="40"/>
  <c r="G196" i="40"/>
  <c r="H196" i="40"/>
  <c r="I196" i="40"/>
  <c r="J196" i="40"/>
  <c r="K196" i="40"/>
  <c r="L196" i="40"/>
  <c r="M196" i="40"/>
  <c r="N196" i="40"/>
  <c r="O196" i="40"/>
  <c r="P196" i="40"/>
  <c r="Q196" i="40"/>
  <c r="R196" i="40"/>
  <c r="S196" i="40"/>
  <c r="T196" i="40"/>
  <c r="U196" i="40"/>
  <c r="V196" i="40"/>
  <c r="W196" i="40"/>
  <c r="X196" i="40"/>
  <c r="Y196" i="40"/>
  <c r="Z196" i="40"/>
  <c r="F200" i="40"/>
  <c r="G200" i="40"/>
  <c r="H200" i="40"/>
  <c r="I200" i="40"/>
  <c r="J200" i="40"/>
  <c r="K200" i="40"/>
  <c r="L200" i="40"/>
  <c r="M200" i="40"/>
  <c r="N200" i="40"/>
  <c r="O200" i="40"/>
  <c r="P200" i="40"/>
  <c r="Q200" i="40"/>
  <c r="R200" i="40"/>
  <c r="S200" i="40"/>
  <c r="T200" i="40"/>
  <c r="U200" i="40"/>
  <c r="V200" i="40"/>
  <c r="W200" i="40"/>
  <c r="X200" i="40"/>
  <c r="Y200" i="40"/>
  <c r="Z200" i="40"/>
  <c r="F202" i="40"/>
  <c r="G202" i="40"/>
  <c r="H202" i="40"/>
  <c r="I202" i="40"/>
  <c r="J202" i="40"/>
  <c r="K202" i="40"/>
  <c r="L202" i="40"/>
  <c r="M202" i="40"/>
  <c r="N202" i="40"/>
  <c r="O202" i="40"/>
  <c r="P202" i="40"/>
  <c r="Q202" i="40"/>
  <c r="R202" i="40"/>
  <c r="S202" i="40"/>
  <c r="T202" i="40"/>
  <c r="U202" i="40"/>
  <c r="V202" i="40"/>
  <c r="W202" i="40"/>
  <c r="X202" i="40"/>
  <c r="Y202" i="40"/>
  <c r="Z202" i="40"/>
  <c r="F206" i="40"/>
  <c r="G206" i="40"/>
  <c r="H206" i="40"/>
  <c r="I206" i="40"/>
  <c r="J206" i="40"/>
  <c r="K206" i="40"/>
  <c r="L206" i="40"/>
  <c r="M206" i="40"/>
  <c r="N206" i="40"/>
  <c r="O206" i="40"/>
  <c r="P206" i="40"/>
  <c r="Q206" i="40"/>
  <c r="R206" i="40"/>
  <c r="S206" i="40"/>
  <c r="T206" i="40"/>
  <c r="U206" i="40"/>
  <c r="V206" i="40"/>
  <c r="W206" i="40"/>
  <c r="X206" i="40"/>
  <c r="Y206" i="40"/>
  <c r="Z206" i="40"/>
  <c r="F207" i="40"/>
  <c r="G207" i="40"/>
  <c r="H207" i="40"/>
  <c r="I207" i="40"/>
  <c r="J207" i="40"/>
  <c r="K207" i="40"/>
  <c r="L207" i="40"/>
  <c r="M207" i="40"/>
  <c r="N207" i="40"/>
  <c r="O207" i="40"/>
  <c r="P207" i="40"/>
  <c r="Q207" i="40"/>
  <c r="R207" i="40"/>
  <c r="S207" i="40"/>
  <c r="T207" i="40"/>
  <c r="U207" i="40"/>
  <c r="V207" i="40"/>
  <c r="W207" i="40"/>
  <c r="X207" i="40"/>
  <c r="Y207" i="40"/>
  <c r="Z207" i="40"/>
  <c r="F208" i="40"/>
  <c r="G208" i="40"/>
  <c r="H208" i="40"/>
  <c r="I208" i="40"/>
  <c r="J208" i="40"/>
  <c r="K208" i="40"/>
  <c r="L208" i="40"/>
  <c r="M208" i="40"/>
  <c r="N208" i="40"/>
  <c r="O208" i="40"/>
  <c r="P208" i="40"/>
  <c r="Q208" i="40"/>
  <c r="R208" i="40"/>
  <c r="S208" i="40"/>
  <c r="T208" i="40"/>
  <c r="U208" i="40"/>
  <c r="V208" i="40"/>
  <c r="W208" i="40"/>
  <c r="X208" i="40"/>
  <c r="Y208" i="40"/>
  <c r="Z208" i="40"/>
  <c r="J211" i="40"/>
  <c r="K211" i="40"/>
  <c r="L211" i="40"/>
  <c r="M211" i="40"/>
  <c r="N211" i="40"/>
  <c r="O211" i="40"/>
  <c r="P211" i="40"/>
  <c r="Q211" i="40"/>
  <c r="R211" i="40"/>
  <c r="S211" i="40"/>
  <c r="T211" i="40"/>
  <c r="U211" i="40"/>
  <c r="V211" i="40"/>
  <c r="W211" i="40"/>
  <c r="X211" i="40"/>
  <c r="Y211" i="40"/>
  <c r="Z211" i="40"/>
  <c r="I212" i="40"/>
  <c r="I214" i="40"/>
  <c r="J214" i="40"/>
  <c r="K214" i="40"/>
  <c r="L214" i="40"/>
  <c r="M214" i="40"/>
  <c r="N214" i="40"/>
  <c r="O214" i="40"/>
  <c r="P214" i="40"/>
  <c r="Q214" i="40"/>
  <c r="R214" i="40"/>
  <c r="S214" i="40"/>
  <c r="T214" i="40"/>
  <c r="U214" i="40"/>
  <c r="V214" i="40"/>
  <c r="W214" i="40"/>
  <c r="X214" i="40"/>
  <c r="Y214" i="40"/>
  <c r="Z214" i="40"/>
  <c r="I216" i="40"/>
  <c r="J216" i="40"/>
  <c r="K216" i="40"/>
  <c r="L216" i="40"/>
  <c r="M216" i="40"/>
  <c r="N216" i="40"/>
  <c r="O216" i="40"/>
  <c r="P216" i="40"/>
  <c r="Q216" i="40"/>
  <c r="R216" i="40"/>
  <c r="S216" i="40"/>
  <c r="T216" i="40"/>
  <c r="U216" i="40"/>
  <c r="V216" i="40"/>
  <c r="W216" i="40"/>
  <c r="X216" i="40"/>
  <c r="Y216" i="40"/>
  <c r="Z216" i="40"/>
  <c r="I217" i="40"/>
  <c r="J217" i="40"/>
  <c r="K217" i="40"/>
  <c r="L217" i="40"/>
  <c r="M217" i="40"/>
  <c r="N217" i="40"/>
  <c r="O217" i="40"/>
  <c r="P217" i="40"/>
  <c r="Q217" i="40"/>
  <c r="R217" i="40"/>
  <c r="S217" i="40"/>
  <c r="T217" i="40"/>
  <c r="U217" i="40"/>
  <c r="V217" i="40"/>
  <c r="W217" i="40"/>
  <c r="X217" i="40"/>
  <c r="Y217" i="40"/>
  <c r="Z217" i="40"/>
  <c r="F218" i="40"/>
  <c r="G218" i="40"/>
  <c r="H218" i="40"/>
  <c r="I218" i="40"/>
  <c r="J218" i="40"/>
  <c r="K218" i="40"/>
  <c r="L218" i="40"/>
  <c r="M218" i="40"/>
  <c r="N218" i="40"/>
  <c r="O218" i="40"/>
  <c r="P218" i="40"/>
  <c r="Q218" i="40"/>
  <c r="R218" i="40"/>
  <c r="S218" i="40"/>
  <c r="T218" i="40"/>
  <c r="U218" i="40"/>
  <c r="V218" i="40"/>
  <c r="W218" i="40"/>
  <c r="X218" i="40"/>
  <c r="Y218" i="40"/>
  <c r="Z218" i="40"/>
  <c r="I220" i="40"/>
  <c r="F222" i="40"/>
  <c r="G222" i="40"/>
  <c r="H222" i="40"/>
  <c r="I222" i="40"/>
  <c r="J222" i="40"/>
  <c r="K222" i="40"/>
  <c r="L222" i="40"/>
  <c r="M222" i="40"/>
  <c r="N222" i="40"/>
  <c r="O222" i="40"/>
  <c r="P222" i="40"/>
  <c r="Q222" i="40"/>
  <c r="R222" i="40"/>
  <c r="S222" i="40"/>
  <c r="T222" i="40"/>
  <c r="U222" i="40"/>
  <c r="V222" i="40"/>
  <c r="W222" i="40"/>
  <c r="X222" i="40"/>
  <c r="Y222" i="40"/>
  <c r="Z222" i="40"/>
  <c r="N225" i="40"/>
  <c r="N226" i="40"/>
  <c r="N227" i="40"/>
  <c r="N228" i="40"/>
  <c r="F230" i="40"/>
  <c r="G230" i="40"/>
  <c r="H230" i="40"/>
  <c r="I230" i="40"/>
  <c r="J230" i="40"/>
  <c r="K230" i="40"/>
  <c r="L230" i="40"/>
  <c r="M230" i="40"/>
  <c r="N230" i="40"/>
  <c r="F244" i="40"/>
  <c r="G244" i="40"/>
  <c r="H244" i="40"/>
  <c r="I244" i="40"/>
  <c r="J244" i="40"/>
  <c r="K244" i="40"/>
  <c r="L244" i="40"/>
  <c r="M244" i="40"/>
  <c r="N244" i="40"/>
  <c r="O244" i="40"/>
  <c r="P244" i="40"/>
  <c r="Q244" i="40"/>
  <c r="R244" i="40"/>
  <c r="S244" i="40"/>
  <c r="T244" i="40"/>
  <c r="U244" i="40"/>
  <c r="V244" i="40"/>
  <c r="W244" i="40"/>
  <c r="X244" i="40"/>
  <c r="Y244" i="40"/>
  <c r="Z244" i="40"/>
  <c r="F245" i="40"/>
  <c r="G245" i="40"/>
  <c r="H245" i="40"/>
  <c r="I245" i="40"/>
  <c r="J245" i="40"/>
  <c r="K245" i="40"/>
  <c r="L245" i="40"/>
  <c r="M245" i="40"/>
  <c r="N245" i="40"/>
  <c r="O245" i="40"/>
  <c r="P245" i="40"/>
  <c r="Q245" i="40"/>
  <c r="R245" i="40"/>
  <c r="S245" i="40"/>
  <c r="T245" i="40"/>
  <c r="U245" i="40"/>
  <c r="V245" i="40"/>
  <c r="W245" i="40"/>
  <c r="X245" i="40"/>
  <c r="Y245" i="40"/>
  <c r="Z245" i="40"/>
  <c r="F248" i="40"/>
  <c r="G248" i="40"/>
  <c r="H248" i="40"/>
  <c r="I248" i="40"/>
  <c r="J248" i="40"/>
  <c r="K248" i="40"/>
  <c r="L248" i="40"/>
  <c r="M248" i="40"/>
  <c r="N248" i="40"/>
  <c r="O248" i="40"/>
  <c r="P248" i="40"/>
  <c r="Q248" i="40"/>
  <c r="R248" i="40"/>
  <c r="S248" i="40"/>
  <c r="T248" i="40"/>
  <c r="U248" i="40"/>
  <c r="V248" i="40"/>
  <c r="W248" i="40"/>
  <c r="X248" i="40"/>
  <c r="Y248" i="40"/>
  <c r="Z248" i="40"/>
  <c r="F249" i="40"/>
  <c r="G249" i="40"/>
  <c r="H249" i="40"/>
  <c r="I249" i="40"/>
  <c r="J249" i="40"/>
  <c r="K249" i="40"/>
  <c r="L249" i="40"/>
  <c r="M249" i="40"/>
  <c r="N249" i="40"/>
  <c r="O249" i="40"/>
  <c r="P249" i="40"/>
  <c r="Q249" i="40"/>
  <c r="R249" i="40"/>
  <c r="S249" i="40"/>
  <c r="T249" i="40"/>
  <c r="U249" i="40"/>
  <c r="V249" i="40"/>
  <c r="W249" i="40"/>
  <c r="X249" i="40"/>
  <c r="Y249" i="40"/>
  <c r="Z249" i="40"/>
  <c r="F251" i="40"/>
  <c r="G251" i="40"/>
  <c r="H251" i="40"/>
  <c r="I251" i="40"/>
  <c r="J251" i="40"/>
  <c r="K251" i="40"/>
  <c r="L251" i="40"/>
  <c r="M251" i="40"/>
  <c r="N251" i="40"/>
  <c r="O251" i="40"/>
  <c r="P251" i="40"/>
  <c r="Q251" i="40"/>
  <c r="R251" i="40"/>
  <c r="S251" i="40"/>
  <c r="T251" i="40"/>
  <c r="U251" i="40"/>
  <c r="V251" i="40"/>
  <c r="W251" i="40"/>
  <c r="X251" i="40"/>
  <c r="Y251" i="40"/>
  <c r="Z251" i="40"/>
  <c r="F252" i="40"/>
  <c r="G252" i="40"/>
  <c r="H252" i="40"/>
  <c r="I252" i="40"/>
  <c r="J252" i="40"/>
  <c r="K252" i="40"/>
  <c r="L252" i="40"/>
  <c r="M252" i="40"/>
  <c r="N252" i="40"/>
  <c r="O252" i="40"/>
  <c r="P252" i="40"/>
  <c r="Q252" i="40"/>
  <c r="R252" i="40"/>
  <c r="S252" i="40"/>
  <c r="T252" i="40"/>
  <c r="U252" i="40"/>
  <c r="V252" i="40"/>
  <c r="W252" i="40"/>
  <c r="X252" i="40"/>
  <c r="Y252" i="40"/>
  <c r="Z252" i="40"/>
  <c r="F253" i="40"/>
  <c r="G253" i="40"/>
  <c r="H253" i="40"/>
  <c r="I253" i="40"/>
  <c r="J253" i="40"/>
  <c r="K253" i="40"/>
  <c r="L253" i="40"/>
  <c r="M253" i="40"/>
  <c r="N253" i="40"/>
  <c r="O253" i="40"/>
  <c r="P253" i="40"/>
  <c r="Q253" i="40"/>
  <c r="R253" i="40"/>
  <c r="S253" i="40"/>
  <c r="T253" i="40"/>
  <c r="U253" i="40"/>
  <c r="V253" i="40"/>
  <c r="W253" i="40"/>
  <c r="X253" i="40"/>
  <c r="Y253" i="40"/>
  <c r="Z253" i="40"/>
  <c r="J256" i="40"/>
  <c r="K256" i="40"/>
  <c r="L256" i="40"/>
  <c r="M256" i="40"/>
  <c r="N256" i="40"/>
  <c r="O256" i="40"/>
  <c r="P256" i="40"/>
  <c r="Q256" i="40"/>
  <c r="R256" i="40"/>
  <c r="S256" i="40"/>
  <c r="T256" i="40"/>
  <c r="U256" i="40"/>
  <c r="V256" i="40"/>
  <c r="W256" i="40"/>
  <c r="X256" i="40"/>
  <c r="Y256" i="40"/>
  <c r="Z256" i="40"/>
  <c r="I257" i="40"/>
  <c r="I259" i="40"/>
  <c r="J259" i="40"/>
  <c r="K259" i="40"/>
  <c r="L259" i="40"/>
  <c r="M259" i="40"/>
  <c r="N259" i="40"/>
  <c r="O259" i="40"/>
  <c r="P259" i="40"/>
  <c r="Q259" i="40"/>
  <c r="R259" i="40"/>
  <c r="S259" i="40"/>
  <c r="T259" i="40"/>
  <c r="U259" i="40"/>
  <c r="V259" i="40"/>
  <c r="W259" i="40"/>
  <c r="X259" i="40"/>
  <c r="Y259" i="40"/>
  <c r="Z259" i="40"/>
  <c r="I261" i="40"/>
  <c r="J261" i="40"/>
  <c r="K261" i="40"/>
  <c r="L261" i="40"/>
  <c r="M261" i="40"/>
  <c r="N261" i="40"/>
  <c r="O261" i="40"/>
  <c r="P261" i="40"/>
  <c r="Q261" i="40"/>
  <c r="R261" i="40"/>
  <c r="S261" i="40"/>
  <c r="T261" i="40"/>
  <c r="U261" i="40"/>
  <c r="V261" i="40"/>
  <c r="W261" i="40"/>
  <c r="X261" i="40"/>
  <c r="Y261" i="40"/>
  <c r="Z261" i="40"/>
  <c r="I262" i="40"/>
  <c r="J262" i="40"/>
  <c r="K262" i="40"/>
  <c r="L262" i="40"/>
  <c r="M262" i="40"/>
  <c r="N262" i="40"/>
  <c r="O262" i="40"/>
  <c r="P262" i="40"/>
  <c r="Q262" i="40"/>
  <c r="R262" i="40"/>
  <c r="S262" i="40"/>
  <c r="T262" i="40"/>
  <c r="U262" i="40"/>
  <c r="V262" i="40"/>
  <c r="W262" i="40"/>
  <c r="X262" i="40"/>
  <c r="Y262" i="40"/>
  <c r="Z262" i="40"/>
  <c r="F263" i="40"/>
  <c r="G263" i="40"/>
  <c r="H263" i="40"/>
  <c r="I263" i="40"/>
  <c r="J263" i="40"/>
  <c r="K263" i="40"/>
  <c r="L263" i="40"/>
  <c r="M263" i="40"/>
  <c r="N263" i="40"/>
  <c r="O263" i="40"/>
  <c r="P263" i="40"/>
  <c r="Q263" i="40"/>
  <c r="R263" i="40"/>
  <c r="S263" i="40"/>
  <c r="T263" i="40"/>
  <c r="U263" i="40"/>
  <c r="V263" i="40"/>
  <c r="W263" i="40"/>
  <c r="X263" i="40"/>
  <c r="Y263" i="40"/>
  <c r="Z263" i="40"/>
  <c r="I265" i="40"/>
  <c r="F267" i="40"/>
  <c r="G267" i="40"/>
  <c r="H267" i="40"/>
  <c r="I267" i="40"/>
  <c r="J267" i="40"/>
  <c r="K267" i="40"/>
  <c r="L267" i="40"/>
  <c r="M267" i="40"/>
  <c r="N267" i="40"/>
  <c r="O267" i="40"/>
  <c r="P267" i="40"/>
  <c r="Q267" i="40"/>
  <c r="R267" i="40"/>
  <c r="S267" i="40"/>
  <c r="T267" i="40"/>
  <c r="U267" i="40"/>
  <c r="V267" i="40"/>
  <c r="W267" i="40"/>
  <c r="X267" i="40"/>
  <c r="Y267" i="40"/>
  <c r="Z267" i="40"/>
  <c r="N270" i="40"/>
  <c r="N271" i="40"/>
  <c r="N272" i="40"/>
  <c r="N273" i="40"/>
  <c r="F275" i="40"/>
  <c r="G275" i="40"/>
  <c r="H275" i="40"/>
  <c r="I275" i="40"/>
  <c r="J275" i="40"/>
  <c r="K275" i="40"/>
  <c r="L275" i="40"/>
  <c r="M275" i="40"/>
  <c r="N275" i="40"/>
  <c r="F277" i="40"/>
  <c r="G277" i="40"/>
  <c r="H277" i="40"/>
  <c r="I277" i="40"/>
  <c r="J277" i="40"/>
  <c r="K277" i="40"/>
  <c r="L277" i="40"/>
  <c r="M277" i="40"/>
  <c r="N277" i="40"/>
  <c r="F279" i="40"/>
  <c r="G279" i="40"/>
  <c r="H279" i="40"/>
  <c r="I279" i="40"/>
  <c r="J279" i="40"/>
  <c r="K279" i="40"/>
  <c r="L279" i="40"/>
  <c r="M279" i="40"/>
  <c r="N279" i="40"/>
  <c r="O279" i="40"/>
  <c r="P279" i="40"/>
  <c r="Q279" i="40"/>
  <c r="R279" i="40"/>
  <c r="S279" i="40"/>
  <c r="T279" i="40"/>
  <c r="U279" i="40"/>
  <c r="V279" i="40"/>
  <c r="W279" i="40"/>
  <c r="X279" i="40"/>
  <c r="Y279" i="40"/>
  <c r="Z279" i="40"/>
  <c r="F280" i="40"/>
  <c r="G280" i="40"/>
  <c r="H280" i="40"/>
  <c r="I280" i="40"/>
  <c r="J280" i="40"/>
  <c r="K280" i="40"/>
  <c r="L280" i="40"/>
  <c r="M280" i="40"/>
  <c r="N280" i="40"/>
  <c r="O280" i="40"/>
  <c r="P280" i="40"/>
  <c r="Q280" i="40"/>
  <c r="R280" i="40"/>
  <c r="S280" i="40"/>
  <c r="T280" i="40"/>
  <c r="U280" i="40"/>
  <c r="V280" i="40"/>
  <c r="W280" i="40"/>
  <c r="X280" i="40"/>
  <c r="Y280" i="40"/>
  <c r="Z280" i="40"/>
  <c r="D288" i="40"/>
  <c r="F288" i="40"/>
  <c r="G288" i="40"/>
  <c r="H288" i="40"/>
  <c r="D289" i="40"/>
  <c r="G289" i="40"/>
  <c r="H289" i="40"/>
  <c r="D291" i="40"/>
  <c r="F291" i="40"/>
  <c r="G291" i="40"/>
  <c r="H291" i="40"/>
  <c r="I291" i="40"/>
  <c r="J291" i="40"/>
  <c r="D292" i="40"/>
  <c r="F292" i="40"/>
  <c r="G292" i="40"/>
  <c r="H292" i="40"/>
  <c r="I292" i="40"/>
  <c r="J292" i="40"/>
  <c r="D295" i="40"/>
  <c r="F295" i="40"/>
  <c r="G295" i="40"/>
  <c r="H295" i="40"/>
  <c r="I295" i="40"/>
  <c r="J295" i="40"/>
  <c r="K295" i="40"/>
  <c r="L295" i="40"/>
  <c r="M295" i="40"/>
  <c r="N295" i="40"/>
  <c r="O295" i="40"/>
  <c r="P295" i="40"/>
  <c r="Q295" i="40"/>
  <c r="R295" i="40"/>
  <c r="S295" i="40"/>
  <c r="T295" i="40"/>
  <c r="U295" i="40"/>
  <c r="V295" i="40"/>
  <c r="W295" i="40"/>
  <c r="X295" i="40"/>
  <c r="Y295" i="40"/>
  <c r="Z295" i="40"/>
  <c r="D296" i="40"/>
  <c r="F296" i="40"/>
  <c r="G296" i="40"/>
  <c r="H296" i="40"/>
  <c r="I296" i="40"/>
  <c r="J296" i="40"/>
  <c r="K296" i="40"/>
  <c r="L296" i="40"/>
  <c r="M296" i="40"/>
  <c r="N296" i="40"/>
  <c r="O296" i="40"/>
  <c r="P296" i="40"/>
  <c r="Q296" i="40"/>
  <c r="R296" i="40"/>
  <c r="S296" i="40"/>
  <c r="T296" i="40"/>
  <c r="U296" i="40"/>
  <c r="V296" i="40"/>
  <c r="W296" i="40"/>
  <c r="X296" i="40"/>
  <c r="Y296" i="40"/>
  <c r="Z296" i="40"/>
  <c r="D297" i="40"/>
  <c r="F297" i="40"/>
  <c r="G297" i="40"/>
  <c r="H297" i="40"/>
  <c r="I297" i="40"/>
  <c r="J297" i="40"/>
  <c r="K297" i="40"/>
  <c r="L297" i="40"/>
  <c r="M297" i="40"/>
  <c r="N297" i="40"/>
  <c r="O297" i="40"/>
  <c r="P297" i="40"/>
  <c r="Q297" i="40"/>
  <c r="R297" i="40"/>
  <c r="S297" i="40"/>
  <c r="T297" i="40"/>
  <c r="U297" i="40"/>
  <c r="V297" i="40"/>
  <c r="W297" i="40"/>
  <c r="X297" i="40"/>
  <c r="Y297" i="40"/>
  <c r="Z297" i="40"/>
  <c r="D298" i="40"/>
  <c r="F298" i="40"/>
  <c r="G298" i="40"/>
  <c r="H298" i="40"/>
  <c r="I298" i="40"/>
  <c r="J298" i="40"/>
  <c r="K298" i="40"/>
  <c r="L298" i="40"/>
  <c r="M298" i="40"/>
  <c r="N298" i="40"/>
  <c r="O298" i="40"/>
  <c r="P298" i="40"/>
  <c r="Q298" i="40"/>
  <c r="R298" i="40"/>
  <c r="S298" i="40"/>
  <c r="T298" i="40"/>
  <c r="U298" i="40"/>
  <c r="V298" i="40"/>
  <c r="W298" i="40"/>
  <c r="X298" i="40"/>
  <c r="Y298" i="40"/>
  <c r="Z298" i="40"/>
  <c r="D299" i="40"/>
  <c r="F299" i="40"/>
  <c r="G299" i="40"/>
  <c r="H299" i="40"/>
  <c r="I299" i="40"/>
  <c r="J299" i="40"/>
  <c r="K299" i="40"/>
  <c r="L299" i="40"/>
  <c r="M299" i="40"/>
  <c r="N299" i="40"/>
  <c r="O299" i="40"/>
  <c r="P299" i="40"/>
  <c r="Q299" i="40"/>
  <c r="R299" i="40"/>
  <c r="S299" i="40"/>
  <c r="T299" i="40"/>
  <c r="U299" i="40"/>
  <c r="V299" i="40"/>
  <c r="W299" i="40"/>
  <c r="X299" i="40"/>
  <c r="Y299" i="40"/>
  <c r="Z299" i="40"/>
  <c r="D300" i="40"/>
  <c r="F300" i="40"/>
  <c r="G300" i="40"/>
  <c r="H300" i="40"/>
  <c r="I300" i="40"/>
  <c r="J300" i="40"/>
  <c r="K300" i="40"/>
  <c r="L300" i="40"/>
  <c r="M300" i="40"/>
  <c r="N300" i="40"/>
  <c r="O300" i="40"/>
  <c r="P300" i="40"/>
  <c r="Q300" i="40"/>
  <c r="R300" i="40"/>
  <c r="S300" i="40"/>
  <c r="T300" i="40"/>
  <c r="U300" i="40"/>
  <c r="V300" i="40"/>
  <c r="W300" i="40"/>
  <c r="X300" i="40"/>
  <c r="Y300" i="40"/>
  <c r="Z300" i="40"/>
  <c r="D301" i="40"/>
  <c r="F301" i="40"/>
  <c r="G301" i="40"/>
  <c r="H301" i="40"/>
  <c r="I301" i="40"/>
  <c r="J301" i="40"/>
  <c r="K301" i="40"/>
  <c r="L301" i="40"/>
  <c r="M301" i="40"/>
  <c r="N301" i="40"/>
  <c r="O301" i="40"/>
  <c r="P301" i="40"/>
  <c r="Q301" i="40"/>
  <c r="R301" i="40"/>
  <c r="S301" i="40"/>
  <c r="T301" i="40"/>
  <c r="U301" i="40"/>
  <c r="V301" i="40"/>
  <c r="W301" i="40"/>
  <c r="X301" i="40"/>
  <c r="Y301" i="40"/>
  <c r="Z301" i="40"/>
  <c r="D302" i="40"/>
  <c r="F302" i="40"/>
  <c r="G302" i="40"/>
  <c r="H302" i="40"/>
  <c r="I302" i="40"/>
  <c r="J302" i="40"/>
  <c r="K302" i="40"/>
  <c r="L302" i="40"/>
  <c r="M302" i="40"/>
  <c r="N302" i="40"/>
  <c r="O302" i="40"/>
  <c r="P302" i="40"/>
  <c r="Q302" i="40"/>
  <c r="R302" i="40"/>
  <c r="S302" i="40"/>
  <c r="T302" i="40"/>
  <c r="U302" i="40"/>
  <c r="V302" i="40"/>
  <c r="W302" i="40"/>
  <c r="X302" i="40"/>
  <c r="Y302" i="40"/>
  <c r="Z302" i="40"/>
  <c r="D304" i="40"/>
  <c r="F304" i="40"/>
  <c r="G304" i="40"/>
  <c r="H304" i="40"/>
  <c r="I304" i="40"/>
  <c r="J304" i="40"/>
  <c r="K304" i="40"/>
  <c r="L304" i="40"/>
  <c r="M304" i="40"/>
  <c r="N304" i="40"/>
  <c r="O304" i="40"/>
  <c r="P304" i="40"/>
  <c r="Q304" i="40"/>
  <c r="R304" i="40"/>
  <c r="S304" i="40"/>
  <c r="T304" i="40"/>
  <c r="U304" i="40"/>
  <c r="V304" i="40"/>
  <c r="W304" i="40"/>
  <c r="X304" i="40"/>
  <c r="Y304" i="40"/>
  <c r="Z304" i="40"/>
  <c r="D307" i="40"/>
  <c r="F307" i="40"/>
  <c r="G307" i="40"/>
  <c r="H307" i="40"/>
  <c r="I307" i="40"/>
  <c r="J307" i="40"/>
  <c r="K307" i="40"/>
  <c r="L307" i="40"/>
  <c r="M307" i="40"/>
  <c r="N307" i="40"/>
  <c r="O307" i="40"/>
  <c r="P307" i="40"/>
  <c r="Q307" i="40"/>
  <c r="R307" i="40"/>
  <c r="S307" i="40"/>
  <c r="T307" i="40"/>
  <c r="U307" i="40"/>
  <c r="V307" i="40"/>
  <c r="W307" i="40"/>
  <c r="X307" i="40"/>
  <c r="Y307" i="40"/>
  <c r="Z307" i="40"/>
  <c r="D308" i="40"/>
  <c r="F308" i="40"/>
  <c r="G308" i="40"/>
  <c r="H308" i="40"/>
  <c r="I308" i="40"/>
  <c r="J308" i="40"/>
  <c r="K308" i="40"/>
  <c r="L308" i="40"/>
  <c r="M308" i="40"/>
  <c r="N308" i="40"/>
  <c r="D309" i="40"/>
  <c r="F309" i="40"/>
  <c r="G309" i="40"/>
  <c r="H309" i="40"/>
  <c r="I309" i="40"/>
  <c r="J309" i="40"/>
  <c r="K309" i="40"/>
  <c r="L309" i="40"/>
  <c r="M309" i="40"/>
  <c r="N309" i="40"/>
  <c r="O309" i="40"/>
  <c r="P309" i="40"/>
  <c r="Q309" i="40"/>
  <c r="R309" i="40"/>
  <c r="S309" i="40"/>
  <c r="T309" i="40"/>
  <c r="U309" i="40"/>
  <c r="V309" i="40"/>
  <c r="W309" i="40"/>
  <c r="X309" i="40"/>
  <c r="Y309" i="40"/>
  <c r="Z309" i="40"/>
  <c r="D311" i="40"/>
  <c r="D312" i="40"/>
  <c r="D313" i="40"/>
  <c r="F318" i="40"/>
  <c r="G318" i="40"/>
  <c r="H318" i="40"/>
  <c r="I318" i="40"/>
  <c r="J318" i="40"/>
  <c r="K318" i="40"/>
  <c r="L318" i="40"/>
  <c r="M318" i="40"/>
  <c r="N318" i="40"/>
  <c r="O318" i="40"/>
  <c r="P318" i="40"/>
  <c r="Q318" i="40"/>
  <c r="R318" i="40"/>
  <c r="S318" i="40"/>
  <c r="T318" i="40"/>
  <c r="U318" i="40"/>
  <c r="V318" i="40"/>
  <c r="W318" i="40"/>
  <c r="X318" i="40"/>
  <c r="Y318" i="40"/>
  <c r="Z318" i="40"/>
  <c r="F319" i="40"/>
  <c r="G319" i="40"/>
  <c r="H319" i="40"/>
  <c r="I319" i="40"/>
  <c r="J319" i="40"/>
  <c r="K319" i="40"/>
  <c r="L319" i="40"/>
  <c r="M319" i="40"/>
  <c r="N319" i="40"/>
  <c r="O319" i="40"/>
  <c r="P319" i="40"/>
  <c r="Q319" i="40"/>
  <c r="R319" i="40"/>
  <c r="S319" i="40"/>
  <c r="T319" i="40"/>
  <c r="U319" i="40"/>
  <c r="V319" i="40"/>
  <c r="W319" i="40"/>
  <c r="X319" i="40"/>
  <c r="Y319" i="40"/>
  <c r="Z319" i="40"/>
  <c r="F320" i="40"/>
  <c r="G320" i="40"/>
  <c r="H320" i="40"/>
  <c r="I320" i="40"/>
  <c r="J320" i="40"/>
  <c r="K320" i="40"/>
  <c r="L320" i="40"/>
  <c r="M320" i="40"/>
  <c r="N320" i="40"/>
  <c r="O320" i="40"/>
  <c r="P320" i="40"/>
  <c r="Q320" i="40"/>
  <c r="R320" i="40"/>
  <c r="S320" i="40"/>
  <c r="T320" i="40"/>
  <c r="U320" i="40"/>
  <c r="V320" i="40"/>
  <c r="W320" i="40"/>
  <c r="X320" i="40"/>
  <c r="Y320" i="40"/>
  <c r="Z320" i="40"/>
  <c r="F321" i="40"/>
  <c r="G321" i="40"/>
  <c r="H321" i="40"/>
  <c r="I321" i="40"/>
  <c r="J321" i="40"/>
  <c r="K321" i="40"/>
  <c r="L321" i="40"/>
  <c r="M321" i="40"/>
  <c r="N321" i="40"/>
  <c r="O321" i="40"/>
  <c r="P321" i="40"/>
  <c r="Q321" i="40"/>
  <c r="R321" i="40"/>
  <c r="S321" i="40"/>
  <c r="T321" i="40"/>
  <c r="U321" i="40"/>
  <c r="V321" i="40"/>
  <c r="W321" i="40"/>
  <c r="X321" i="40"/>
  <c r="Y321" i="40"/>
  <c r="Z321" i="40"/>
  <c r="N324" i="40"/>
  <c r="N325" i="40"/>
  <c r="N326" i="40"/>
  <c r="D332" i="40"/>
  <c r="F332" i="40"/>
  <c r="G332" i="40"/>
  <c r="H332" i="40"/>
  <c r="D335" i="40"/>
  <c r="F335" i="40"/>
  <c r="G335" i="40"/>
  <c r="H335" i="40"/>
  <c r="I335" i="40"/>
  <c r="J335" i="40"/>
  <c r="D336" i="40"/>
  <c r="F336" i="40"/>
  <c r="G336" i="40"/>
  <c r="H336" i="40"/>
  <c r="I336" i="40"/>
  <c r="J336" i="40"/>
  <c r="D339" i="40"/>
  <c r="F339" i="40"/>
  <c r="G339" i="40"/>
  <c r="H339" i="40"/>
  <c r="I339" i="40"/>
  <c r="J339" i="40"/>
  <c r="K339" i="40"/>
  <c r="L339" i="40"/>
  <c r="M339" i="40"/>
  <c r="N339" i="40"/>
  <c r="O339" i="40"/>
  <c r="P339" i="40"/>
  <c r="Q339" i="40"/>
  <c r="R339" i="40"/>
  <c r="S339" i="40"/>
  <c r="T339" i="40"/>
  <c r="U339" i="40"/>
  <c r="V339" i="40"/>
  <c r="W339" i="40"/>
  <c r="X339" i="40"/>
  <c r="Y339" i="40"/>
  <c r="Z339" i="40"/>
  <c r="D340" i="40"/>
  <c r="F340" i="40"/>
  <c r="G340" i="40"/>
  <c r="H340" i="40"/>
  <c r="I340" i="40"/>
  <c r="J340" i="40"/>
  <c r="K340" i="40"/>
  <c r="L340" i="40"/>
  <c r="M340" i="40"/>
  <c r="N340" i="40"/>
  <c r="O340" i="40"/>
  <c r="P340" i="40"/>
  <c r="Q340" i="40"/>
  <c r="R340" i="40"/>
  <c r="S340" i="40"/>
  <c r="T340" i="40"/>
  <c r="U340" i="40"/>
  <c r="V340" i="40"/>
  <c r="W340" i="40"/>
  <c r="X340" i="40"/>
  <c r="Y340" i="40"/>
  <c r="Z340" i="40"/>
  <c r="D341" i="40"/>
  <c r="F341" i="40"/>
  <c r="G341" i="40"/>
  <c r="H341" i="40"/>
  <c r="I341" i="40"/>
  <c r="J341" i="40"/>
  <c r="K341" i="40"/>
  <c r="L341" i="40"/>
  <c r="M341" i="40"/>
  <c r="N341" i="40"/>
  <c r="O341" i="40"/>
  <c r="P341" i="40"/>
  <c r="Q341" i="40"/>
  <c r="R341" i="40"/>
  <c r="S341" i="40"/>
  <c r="T341" i="40"/>
  <c r="U341" i="40"/>
  <c r="V341" i="40"/>
  <c r="W341" i="40"/>
  <c r="X341" i="40"/>
  <c r="Y341" i="40"/>
  <c r="Z341" i="40"/>
  <c r="D342" i="40"/>
  <c r="F342" i="40"/>
  <c r="G342" i="40"/>
  <c r="H342" i="40"/>
  <c r="I342" i="40"/>
  <c r="J342" i="40"/>
  <c r="K342" i="40"/>
  <c r="L342" i="40"/>
  <c r="M342" i="40"/>
  <c r="N342" i="40"/>
  <c r="O342" i="40"/>
  <c r="P342" i="40"/>
  <c r="Q342" i="40"/>
  <c r="R342" i="40"/>
  <c r="S342" i="40"/>
  <c r="T342" i="40"/>
  <c r="U342" i="40"/>
  <c r="V342" i="40"/>
  <c r="W342" i="40"/>
  <c r="X342" i="40"/>
  <c r="Y342" i="40"/>
  <c r="Z342" i="40"/>
  <c r="D343" i="40"/>
  <c r="F343" i="40"/>
  <c r="G343" i="40"/>
  <c r="H343" i="40"/>
  <c r="I343" i="40"/>
  <c r="J343" i="40"/>
  <c r="K343" i="40"/>
  <c r="L343" i="40"/>
  <c r="M343" i="40"/>
  <c r="N343" i="40"/>
  <c r="O343" i="40"/>
  <c r="P343" i="40"/>
  <c r="Q343" i="40"/>
  <c r="R343" i="40"/>
  <c r="S343" i="40"/>
  <c r="T343" i="40"/>
  <c r="U343" i="40"/>
  <c r="V343" i="40"/>
  <c r="W343" i="40"/>
  <c r="X343" i="40"/>
  <c r="Y343" i="40"/>
  <c r="Z343" i="40"/>
  <c r="D345" i="40"/>
  <c r="F345" i="40"/>
  <c r="G345" i="40"/>
  <c r="H345" i="40"/>
  <c r="I345" i="40"/>
  <c r="J345" i="40"/>
  <c r="K345" i="40"/>
  <c r="L345" i="40"/>
  <c r="M345" i="40"/>
  <c r="N345" i="40"/>
  <c r="O345" i="40"/>
  <c r="P345" i="40"/>
  <c r="Q345" i="40"/>
  <c r="R345" i="40"/>
  <c r="S345" i="40"/>
  <c r="T345" i="40"/>
  <c r="U345" i="40"/>
  <c r="V345" i="40"/>
  <c r="W345" i="40"/>
  <c r="X345" i="40"/>
  <c r="Y345" i="40"/>
  <c r="Z345" i="40"/>
  <c r="D346" i="40"/>
  <c r="F346" i="40"/>
  <c r="G346" i="40"/>
  <c r="H346" i="40"/>
  <c r="I346" i="40"/>
  <c r="J346" i="40"/>
  <c r="K346" i="40"/>
  <c r="L346" i="40"/>
  <c r="M346" i="40"/>
  <c r="N346" i="40"/>
  <c r="O346" i="40"/>
  <c r="P346" i="40"/>
  <c r="Q346" i="40"/>
  <c r="R346" i="40"/>
  <c r="S346" i="40"/>
  <c r="T346" i="40"/>
  <c r="U346" i="40"/>
  <c r="V346" i="40"/>
  <c r="W346" i="40"/>
  <c r="X346" i="40"/>
  <c r="Y346" i="40"/>
  <c r="Z346" i="40"/>
  <c r="D349" i="40"/>
  <c r="F349" i="40"/>
  <c r="G349" i="40"/>
  <c r="H349" i="40"/>
  <c r="I349" i="40"/>
  <c r="J349" i="40"/>
  <c r="K349" i="40"/>
  <c r="L349" i="40"/>
  <c r="M349" i="40"/>
  <c r="N349" i="40"/>
  <c r="O349" i="40"/>
  <c r="P349" i="40"/>
  <c r="Q349" i="40"/>
  <c r="R349" i="40"/>
  <c r="S349" i="40"/>
  <c r="T349" i="40"/>
  <c r="U349" i="40"/>
  <c r="V349" i="40"/>
  <c r="W349" i="40"/>
  <c r="X349" i="40"/>
  <c r="Y349" i="40"/>
  <c r="Z349" i="40"/>
  <c r="D350" i="40"/>
  <c r="F350" i="40"/>
  <c r="G350" i="40"/>
  <c r="H350" i="40"/>
  <c r="I350" i="40"/>
  <c r="J350" i="40"/>
  <c r="K350" i="40"/>
  <c r="L350" i="40"/>
  <c r="M350" i="40"/>
  <c r="N350" i="40"/>
  <c r="D351" i="40"/>
  <c r="F351" i="40"/>
  <c r="G351" i="40"/>
  <c r="H351" i="40"/>
  <c r="I351" i="40"/>
  <c r="J351" i="40"/>
  <c r="K351" i="40"/>
  <c r="L351" i="40"/>
  <c r="M351" i="40"/>
  <c r="N351" i="40"/>
  <c r="O351" i="40"/>
  <c r="P351" i="40"/>
  <c r="Q351" i="40"/>
  <c r="R351" i="40"/>
  <c r="S351" i="40"/>
  <c r="T351" i="40"/>
  <c r="U351" i="40"/>
  <c r="V351" i="40"/>
  <c r="W351" i="40"/>
  <c r="X351" i="40"/>
  <c r="Y351" i="40"/>
  <c r="Z351" i="40"/>
  <c r="D353" i="40"/>
  <c r="D354" i="40"/>
  <c r="D355" i="40"/>
  <c r="F360" i="40"/>
  <c r="G360" i="40"/>
  <c r="H360" i="40"/>
  <c r="I360" i="40"/>
  <c r="J360" i="40"/>
  <c r="K360" i="40"/>
  <c r="L360" i="40"/>
  <c r="M360" i="40"/>
  <c r="N360" i="40"/>
  <c r="O360" i="40"/>
  <c r="P360" i="40"/>
  <c r="Q360" i="40"/>
  <c r="R360" i="40"/>
  <c r="S360" i="40"/>
  <c r="T360" i="40"/>
  <c r="U360" i="40"/>
  <c r="V360" i="40"/>
  <c r="W360" i="40"/>
  <c r="X360" i="40"/>
  <c r="Y360" i="40"/>
  <c r="Z360" i="40"/>
  <c r="F363" i="40"/>
  <c r="G363" i="40"/>
  <c r="H363" i="40"/>
  <c r="I363" i="40"/>
  <c r="J363" i="40"/>
  <c r="K363" i="40"/>
  <c r="L363" i="40"/>
  <c r="M363" i="40"/>
  <c r="N363" i="40"/>
  <c r="F364" i="40"/>
  <c r="G364" i="40"/>
  <c r="H364" i="40"/>
  <c r="I364" i="40"/>
  <c r="J364" i="40"/>
  <c r="K364" i="40"/>
  <c r="L364" i="40"/>
  <c r="M364" i="40"/>
  <c r="N364" i="40"/>
  <c r="N365" i="40"/>
  <c r="N366" i="40"/>
  <c r="D367" i="40"/>
  <c r="F367" i="40"/>
  <c r="G367" i="40"/>
  <c r="H367" i="40"/>
  <c r="I367" i="40"/>
  <c r="J367" i="40"/>
  <c r="K367" i="40"/>
  <c r="L367" i="40"/>
  <c r="M367" i="40"/>
  <c r="N367" i="40"/>
  <c r="O367" i="40"/>
  <c r="P367" i="40"/>
  <c r="Q367" i="40"/>
  <c r="R367" i="40"/>
  <c r="S367" i="40"/>
  <c r="T367" i="40"/>
  <c r="U367" i="40"/>
  <c r="V367" i="40"/>
  <c r="W367" i="40"/>
  <c r="X367" i="40"/>
  <c r="Y367" i="40"/>
  <c r="Z367" i="40"/>
  <c r="D369" i="40"/>
  <c r="F372" i="40"/>
  <c r="G372" i="40"/>
  <c r="H372" i="40"/>
  <c r="I372" i="40"/>
  <c r="J372" i="40"/>
  <c r="K372" i="40"/>
  <c r="L372" i="40"/>
  <c r="M372" i="40"/>
  <c r="N372" i="40"/>
  <c r="O372" i="40"/>
  <c r="P372" i="40"/>
  <c r="Q372" i="40"/>
  <c r="R372" i="40"/>
  <c r="S372" i="40"/>
  <c r="T372" i="40"/>
  <c r="U372" i="40"/>
  <c r="V372" i="40"/>
  <c r="W372" i="40"/>
  <c r="X372" i="40"/>
  <c r="Y372" i="40"/>
  <c r="Z372" i="40"/>
  <c r="F373" i="40"/>
  <c r="G373" i="40"/>
  <c r="H373" i="40"/>
  <c r="I373" i="40"/>
  <c r="J373" i="40"/>
  <c r="K373" i="40"/>
  <c r="L373" i="40"/>
  <c r="M373" i="40"/>
  <c r="N373" i="40"/>
  <c r="O373" i="40"/>
  <c r="P373" i="40"/>
  <c r="Q373" i="40"/>
  <c r="R373" i="40"/>
  <c r="S373" i="40"/>
  <c r="T373" i="40"/>
  <c r="U373" i="40"/>
  <c r="V373" i="40"/>
  <c r="W373" i="40"/>
  <c r="X373" i="40"/>
  <c r="Y373" i="40"/>
  <c r="Z373" i="40"/>
  <c r="J374" i="40"/>
  <c r="J375" i="40"/>
  <c r="F376" i="40"/>
  <c r="G376" i="40"/>
  <c r="H376" i="40"/>
  <c r="I376" i="40"/>
  <c r="J376" i="40"/>
  <c r="K376" i="40"/>
  <c r="L376" i="40"/>
  <c r="M376" i="40"/>
  <c r="N376" i="40"/>
  <c r="F377" i="40"/>
  <c r="G377" i="40"/>
  <c r="H377" i="40"/>
  <c r="I377" i="40"/>
  <c r="J377" i="40"/>
  <c r="K377" i="40"/>
  <c r="L377" i="40"/>
  <c r="M377" i="40"/>
  <c r="N377" i="40"/>
  <c r="N378" i="40"/>
  <c r="N379" i="40"/>
  <c r="D380" i="40"/>
  <c r="F380" i="40"/>
  <c r="G380" i="40"/>
  <c r="H380" i="40"/>
  <c r="I380" i="40"/>
  <c r="J380" i="40"/>
  <c r="K380" i="40"/>
  <c r="L380" i="40"/>
  <c r="M380" i="40"/>
  <c r="N380" i="40"/>
  <c r="O380" i="40"/>
  <c r="P380" i="40"/>
  <c r="Q380" i="40"/>
  <c r="R380" i="40"/>
  <c r="S380" i="40"/>
  <c r="T380" i="40"/>
  <c r="U380" i="40"/>
  <c r="V380" i="40"/>
  <c r="W380" i="40"/>
  <c r="X380" i="40"/>
  <c r="Y380" i="40"/>
  <c r="Z380" i="40"/>
  <c r="D382" i="40"/>
  <c r="D383" i="40"/>
  <c r="K385" i="40"/>
  <c r="L385" i="40"/>
  <c r="M385" i="40"/>
  <c r="N385" i="40"/>
  <c r="D388" i="40"/>
  <c r="G388" i="40"/>
  <c r="H388" i="40"/>
  <c r="I388" i="40"/>
  <c r="J388" i="40"/>
  <c r="K388" i="40"/>
  <c r="L388" i="40"/>
  <c r="M388" i="40"/>
  <c r="N388" i="40"/>
  <c r="O388" i="40"/>
  <c r="P388" i="40"/>
  <c r="Q388" i="40"/>
  <c r="R388" i="40"/>
  <c r="S388" i="40"/>
  <c r="T388" i="40"/>
  <c r="U388" i="40"/>
  <c r="V388" i="40"/>
  <c r="W388" i="40"/>
  <c r="X388" i="40"/>
  <c r="Y388" i="40"/>
  <c r="Z388" i="40"/>
  <c r="D389" i="40"/>
  <c r="F389" i="40"/>
  <c r="G389" i="40"/>
  <c r="H389" i="40"/>
  <c r="I389" i="40"/>
  <c r="J389" i="40"/>
  <c r="K389" i="40"/>
  <c r="L389" i="40"/>
  <c r="M389" i="40"/>
  <c r="N389" i="40"/>
  <c r="O389" i="40"/>
  <c r="P389" i="40"/>
  <c r="Q389" i="40"/>
  <c r="R389" i="40"/>
  <c r="S389" i="40"/>
  <c r="T389" i="40"/>
  <c r="U389" i="40"/>
  <c r="V389" i="40"/>
  <c r="W389" i="40"/>
  <c r="X389" i="40"/>
  <c r="Y389" i="40"/>
  <c r="Z389" i="40"/>
  <c r="D390" i="40"/>
  <c r="F390" i="40"/>
  <c r="G390" i="40"/>
  <c r="H390" i="40"/>
  <c r="I390" i="40"/>
  <c r="J390" i="40"/>
  <c r="K390" i="40"/>
  <c r="L390" i="40"/>
  <c r="M390" i="40"/>
  <c r="N390" i="40"/>
  <c r="D391" i="40"/>
  <c r="J391" i="40"/>
  <c r="K391" i="40"/>
  <c r="L391" i="40"/>
  <c r="M391" i="40"/>
  <c r="N391" i="40"/>
  <c r="D392" i="40"/>
  <c r="F392" i="40"/>
  <c r="G392" i="40"/>
  <c r="H392" i="40"/>
  <c r="I392" i="40"/>
  <c r="J392" i="40"/>
  <c r="K392" i="40"/>
  <c r="L392" i="40"/>
  <c r="M392" i="40"/>
  <c r="N392" i="40"/>
  <c r="D393" i="40"/>
  <c r="N393" i="40"/>
  <c r="D394" i="40"/>
  <c r="N394" i="40"/>
  <c r="D395" i="40"/>
  <c r="F395" i="40"/>
  <c r="G395" i="40"/>
  <c r="H395" i="40"/>
  <c r="I395" i="40"/>
  <c r="J395" i="40"/>
  <c r="K395" i="40"/>
  <c r="L395" i="40"/>
  <c r="M395" i="40"/>
  <c r="N395" i="40"/>
  <c r="O395" i="40"/>
  <c r="P395" i="40"/>
  <c r="Q395" i="40"/>
  <c r="R395" i="40"/>
  <c r="S395" i="40"/>
  <c r="T395" i="40"/>
  <c r="U395" i="40"/>
  <c r="V395" i="40"/>
  <c r="W395" i="40"/>
  <c r="X395" i="40"/>
  <c r="Y395" i="40"/>
  <c r="Z395" i="40"/>
  <c r="F400" i="40"/>
  <c r="G400" i="40"/>
  <c r="H400" i="40"/>
  <c r="I400" i="40"/>
  <c r="J400" i="40"/>
  <c r="K400" i="40"/>
  <c r="L400" i="40"/>
  <c r="M400" i="40"/>
  <c r="N400" i="40"/>
  <c r="O400" i="40"/>
  <c r="P400" i="40"/>
  <c r="Q400" i="40"/>
  <c r="R400" i="40"/>
  <c r="S400" i="40"/>
  <c r="T400" i="40"/>
  <c r="U400" i="40"/>
  <c r="V400" i="40"/>
  <c r="W400" i="40"/>
  <c r="X400" i="40"/>
  <c r="Y400" i="40"/>
  <c r="Z400" i="40"/>
  <c r="F403" i="40"/>
  <c r="G403" i="40"/>
  <c r="H403" i="40"/>
  <c r="I403" i="40"/>
  <c r="J403" i="40"/>
  <c r="K403" i="40"/>
  <c r="L403" i="40"/>
  <c r="M403" i="40"/>
  <c r="N403" i="40"/>
  <c r="F404" i="40"/>
  <c r="G404" i="40"/>
  <c r="H404" i="40"/>
  <c r="I404" i="40"/>
  <c r="J404" i="40"/>
  <c r="K404" i="40"/>
  <c r="L404" i="40"/>
  <c r="M404" i="40"/>
  <c r="N404" i="40"/>
  <c r="I405" i="40"/>
  <c r="N405" i="40"/>
  <c r="N406" i="40"/>
  <c r="D407" i="40"/>
  <c r="F407" i="40"/>
  <c r="G407" i="40"/>
  <c r="H407" i="40"/>
  <c r="I407" i="40"/>
  <c r="J407" i="40"/>
  <c r="K407" i="40"/>
  <c r="L407" i="40"/>
  <c r="M407" i="40"/>
  <c r="N407" i="40"/>
  <c r="O407" i="40"/>
  <c r="P407" i="40"/>
  <c r="Q407" i="40"/>
  <c r="R407" i="40"/>
  <c r="S407" i="40"/>
  <c r="T407" i="40"/>
  <c r="U407" i="40"/>
  <c r="V407" i="40"/>
  <c r="W407" i="40"/>
  <c r="X407" i="40"/>
  <c r="Y407" i="40"/>
  <c r="Z407" i="40"/>
  <c r="D409" i="40"/>
  <c r="F412" i="40"/>
  <c r="G412" i="40"/>
  <c r="H412" i="40"/>
  <c r="I412" i="40"/>
  <c r="J412" i="40"/>
  <c r="K412" i="40"/>
  <c r="L412" i="40"/>
  <c r="M412" i="40"/>
  <c r="N412" i="40"/>
  <c r="O412" i="40"/>
  <c r="P412" i="40"/>
  <c r="Q412" i="40"/>
  <c r="R412" i="40"/>
  <c r="S412" i="40"/>
  <c r="T412" i="40"/>
  <c r="U412" i="40"/>
  <c r="V412" i="40"/>
  <c r="W412" i="40"/>
  <c r="X412" i="40"/>
  <c r="Y412" i="40"/>
  <c r="Z412" i="40"/>
  <c r="F413" i="40"/>
  <c r="G413" i="40"/>
  <c r="H413" i="40"/>
  <c r="I413" i="40"/>
  <c r="J413" i="40"/>
  <c r="K413" i="40"/>
  <c r="L413" i="40"/>
  <c r="M413" i="40"/>
  <c r="N413" i="40"/>
  <c r="O413" i="40"/>
  <c r="P413" i="40"/>
  <c r="Q413" i="40"/>
  <c r="R413" i="40"/>
  <c r="S413" i="40"/>
  <c r="T413" i="40"/>
  <c r="U413" i="40"/>
  <c r="V413" i="40"/>
  <c r="W413" i="40"/>
  <c r="X413" i="40"/>
  <c r="Y413" i="40"/>
  <c r="Z413" i="40"/>
  <c r="J414" i="40"/>
  <c r="J415" i="40"/>
  <c r="F416" i="40"/>
  <c r="G416" i="40"/>
  <c r="H416" i="40"/>
  <c r="I416" i="40"/>
  <c r="J416" i="40"/>
  <c r="K416" i="40"/>
  <c r="L416" i="40"/>
  <c r="M416" i="40"/>
  <c r="N416" i="40"/>
  <c r="F417" i="40"/>
  <c r="G417" i="40"/>
  <c r="H417" i="40"/>
  <c r="I417" i="40"/>
  <c r="J417" i="40"/>
  <c r="K417" i="40"/>
  <c r="L417" i="40"/>
  <c r="M417" i="40"/>
  <c r="N417" i="40"/>
  <c r="I418" i="40"/>
  <c r="N418" i="40"/>
  <c r="N419" i="40"/>
  <c r="D420" i="40"/>
  <c r="F420" i="40"/>
  <c r="G420" i="40"/>
  <c r="H420" i="40"/>
  <c r="I420" i="40"/>
  <c r="J420" i="40"/>
  <c r="K420" i="40"/>
  <c r="L420" i="40"/>
  <c r="M420" i="40"/>
  <c r="N420" i="40"/>
  <c r="O420" i="40"/>
  <c r="P420" i="40"/>
  <c r="Q420" i="40"/>
  <c r="R420" i="40"/>
  <c r="S420" i="40"/>
  <c r="T420" i="40"/>
  <c r="U420" i="40"/>
  <c r="V420" i="40"/>
  <c r="W420" i="40"/>
  <c r="X420" i="40"/>
  <c r="Y420" i="40"/>
  <c r="Z420" i="40"/>
  <c r="D422" i="40"/>
  <c r="D423" i="40"/>
  <c r="K425" i="40"/>
  <c r="L425" i="40"/>
  <c r="M425" i="40"/>
  <c r="N425" i="40"/>
  <c r="D428" i="40"/>
  <c r="G428" i="40"/>
  <c r="H428" i="40"/>
  <c r="I428" i="40"/>
  <c r="J428" i="40"/>
  <c r="K428" i="40"/>
  <c r="L428" i="40"/>
  <c r="M428" i="40"/>
  <c r="N428" i="40"/>
  <c r="O428" i="40"/>
  <c r="P428" i="40"/>
  <c r="Q428" i="40"/>
  <c r="R428" i="40"/>
  <c r="S428" i="40"/>
  <c r="T428" i="40"/>
  <c r="U428" i="40"/>
  <c r="V428" i="40"/>
  <c r="W428" i="40"/>
  <c r="X428" i="40"/>
  <c r="Y428" i="40"/>
  <c r="Z428" i="40"/>
  <c r="D429" i="40"/>
  <c r="F429" i="40"/>
  <c r="G429" i="40"/>
  <c r="H429" i="40"/>
  <c r="I429" i="40"/>
  <c r="J429" i="40"/>
  <c r="K429" i="40"/>
  <c r="L429" i="40"/>
  <c r="M429" i="40"/>
  <c r="N429" i="40"/>
  <c r="O429" i="40"/>
  <c r="P429" i="40"/>
  <c r="Q429" i="40"/>
  <c r="R429" i="40"/>
  <c r="S429" i="40"/>
  <c r="T429" i="40"/>
  <c r="U429" i="40"/>
  <c r="V429" i="40"/>
  <c r="W429" i="40"/>
  <c r="X429" i="40"/>
  <c r="Y429" i="40"/>
  <c r="Z429" i="40"/>
  <c r="D430" i="40"/>
  <c r="F430" i="40"/>
  <c r="G430" i="40"/>
  <c r="H430" i="40"/>
  <c r="I430" i="40"/>
  <c r="J430" i="40"/>
  <c r="K430" i="40"/>
  <c r="L430" i="40"/>
  <c r="M430" i="40"/>
  <c r="N430" i="40"/>
  <c r="D431" i="40"/>
  <c r="J431" i="40"/>
  <c r="K431" i="40"/>
  <c r="L431" i="40"/>
  <c r="M431" i="40"/>
  <c r="N431" i="40"/>
  <c r="D432" i="40"/>
  <c r="F432" i="40"/>
  <c r="G432" i="40"/>
  <c r="H432" i="40"/>
  <c r="I432" i="40"/>
  <c r="J432" i="40"/>
  <c r="K432" i="40"/>
  <c r="L432" i="40"/>
  <c r="M432" i="40"/>
  <c r="N432" i="40"/>
  <c r="D433" i="40"/>
  <c r="I433" i="40"/>
  <c r="N433" i="40"/>
  <c r="D434" i="40"/>
  <c r="N434" i="40"/>
  <c r="D435" i="40"/>
  <c r="F435" i="40"/>
  <c r="G435" i="40"/>
  <c r="H435" i="40"/>
  <c r="I435" i="40"/>
  <c r="J435" i="40"/>
  <c r="K435" i="40"/>
  <c r="L435" i="40"/>
  <c r="M435" i="40"/>
  <c r="N435" i="40"/>
  <c r="O435" i="40"/>
  <c r="P435" i="40"/>
  <c r="Q435" i="40"/>
  <c r="R435" i="40"/>
  <c r="S435" i="40"/>
  <c r="T435" i="40"/>
  <c r="U435" i="40"/>
  <c r="V435" i="40"/>
  <c r="W435" i="40"/>
  <c r="X435" i="40"/>
  <c r="Y435" i="40"/>
  <c r="Z435" i="40"/>
  <c r="F24" i="52"/>
  <c r="G24" i="52"/>
  <c r="H24" i="52"/>
  <c r="I24" i="52"/>
  <c r="J24" i="52"/>
  <c r="K24" i="52"/>
  <c r="L24" i="52"/>
  <c r="M24" i="52"/>
  <c r="N24" i="52"/>
  <c r="O24" i="52"/>
  <c r="P24" i="52"/>
  <c r="Q24" i="52"/>
  <c r="R24" i="52"/>
  <c r="S24" i="52"/>
  <c r="T24" i="52"/>
  <c r="U24" i="52"/>
  <c r="V24" i="52"/>
  <c r="W24" i="52"/>
  <c r="X24" i="52"/>
  <c r="Y24" i="52"/>
  <c r="Z24" i="52"/>
  <c r="F25" i="52"/>
  <c r="G25" i="52"/>
  <c r="H25" i="52"/>
  <c r="I25" i="52"/>
  <c r="J25" i="52"/>
  <c r="K25" i="52"/>
  <c r="L25" i="52"/>
  <c r="M25" i="52"/>
  <c r="N25" i="52"/>
  <c r="O25" i="52"/>
  <c r="P25" i="52"/>
  <c r="Q25" i="52"/>
  <c r="R25" i="52"/>
  <c r="S25" i="52"/>
  <c r="T25" i="52"/>
  <c r="U25" i="52"/>
  <c r="V25" i="52"/>
  <c r="W25" i="52"/>
  <c r="X25" i="52"/>
  <c r="Y25" i="52"/>
  <c r="Z25" i="52"/>
  <c r="F27" i="52"/>
  <c r="G27" i="52"/>
  <c r="H27" i="52"/>
  <c r="I27" i="52"/>
  <c r="J27" i="52"/>
  <c r="K27" i="52"/>
  <c r="L27" i="52"/>
  <c r="M27" i="52"/>
  <c r="N27" i="52"/>
  <c r="O27" i="52"/>
  <c r="P27" i="52"/>
  <c r="Q27" i="52"/>
  <c r="R27" i="52"/>
  <c r="S27" i="52"/>
  <c r="T27" i="52"/>
  <c r="U27" i="52"/>
  <c r="V27" i="52"/>
  <c r="W27" i="52"/>
  <c r="X27" i="52"/>
  <c r="Y27" i="52"/>
  <c r="Z27" i="52"/>
  <c r="F28" i="52"/>
  <c r="G28" i="52"/>
  <c r="H28" i="52"/>
  <c r="I28" i="52"/>
  <c r="J28" i="52"/>
  <c r="K28" i="52"/>
  <c r="L28" i="52"/>
  <c r="M28" i="52"/>
  <c r="N28" i="52"/>
  <c r="O28" i="52"/>
  <c r="P28" i="52"/>
  <c r="Q28" i="52"/>
  <c r="R28" i="52"/>
  <c r="S28" i="52"/>
  <c r="T28" i="52"/>
  <c r="U28" i="52"/>
  <c r="V28" i="52"/>
  <c r="W28" i="52"/>
  <c r="X28" i="52"/>
  <c r="Y28" i="52"/>
  <c r="Z28" i="52"/>
  <c r="F29" i="52"/>
  <c r="G29" i="52"/>
  <c r="H29" i="52"/>
  <c r="I29" i="52"/>
  <c r="J29" i="52"/>
  <c r="K29" i="52"/>
  <c r="L29" i="52"/>
  <c r="M29" i="52"/>
  <c r="N29" i="52"/>
  <c r="O29" i="52"/>
  <c r="P29" i="52"/>
  <c r="Q29" i="52"/>
  <c r="R29" i="52"/>
  <c r="S29" i="52"/>
  <c r="T29" i="52"/>
  <c r="U29" i="52"/>
  <c r="V29" i="52"/>
  <c r="W29" i="52"/>
  <c r="X29" i="52"/>
  <c r="Y29" i="52"/>
  <c r="Z29" i="52"/>
  <c r="F47" i="52"/>
  <c r="G47" i="52"/>
  <c r="H47" i="52"/>
  <c r="I47" i="52"/>
  <c r="J47" i="52"/>
  <c r="K47" i="52"/>
  <c r="L47" i="52"/>
  <c r="M47" i="52"/>
  <c r="N47" i="52"/>
  <c r="O47" i="52"/>
  <c r="P47" i="52"/>
  <c r="Q47" i="52"/>
  <c r="R47" i="52"/>
  <c r="S47" i="52"/>
  <c r="T47" i="52"/>
  <c r="U47" i="52"/>
  <c r="V47" i="52"/>
  <c r="W47" i="52"/>
  <c r="X47" i="52"/>
  <c r="Y47" i="52"/>
  <c r="Z47" i="52"/>
  <c r="F48" i="52"/>
  <c r="G48" i="52"/>
  <c r="H48" i="52"/>
  <c r="I48" i="52"/>
  <c r="J48" i="52"/>
  <c r="K48" i="52"/>
  <c r="L48" i="52"/>
  <c r="M48" i="52"/>
  <c r="N48" i="52"/>
  <c r="O48" i="52"/>
  <c r="P48" i="52"/>
  <c r="Q48" i="52"/>
  <c r="R48" i="52"/>
  <c r="S48" i="52"/>
  <c r="T48" i="52"/>
  <c r="U48" i="52"/>
  <c r="V48" i="52"/>
  <c r="W48" i="52"/>
  <c r="X48" i="52"/>
  <c r="Y48" i="52"/>
  <c r="Z48" i="52"/>
  <c r="F50" i="52"/>
  <c r="G50" i="52"/>
  <c r="H50" i="52"/>
  <c r="I50" i="52"/>
  <c r="J50" i="52"/>
  <c r="K50" i="52"/>
  <c r="L50" i="52"/>
  <c r="M50" i="52"/>
  <c r="N50" i="52"/>
  <c r="O50" i="52"/>
  <c r="P50" i="52"/>
  <c r="Q50" i="52"/>
  <c r="R50" i="52"/>
  <c r="S50" i="52"/>
  <c r="T50" i="52"/>
  <c r="U50" i="52"/>
  <c r="V50" i="52"/>
  <c r="W50" i="52"/>
  <c r="X50" i="52"/>
  <c r="Y50" i="52"/>
  <c r="Z50" i="52"/>
  <c r="F51" i="52"/>
  <c r="G51" i="52"/>
  <c r="H51" i="52"/>
  <c r="I51" i="52"/>
  <c r="J51" i="52"/>
  <c r="K51" i="52"/>
  <c r="L51" i="52"/>
  <c r="M51" i="52"/>
  <c r="N51" i="52"/>
  <c r="O51" i="52"/>
  <c r="P51" i="52"/>
  <c r="Q51" i="52"/>
  <c r="R51" i="52"/>
  <c r="S51" i="52"/>
  <c r="T51" i="52"/>
  <c r="U51" i="52"/>
  <c r="V51" i="52"/>
  <c r="W51" i="52"/>
  <c r="X51" i="52"/>
  <c r="Y51" i="52"/>
  <c r="Z51" i="52"/>
  <c r="F52" i="52"/>
  <c r="G52" i="52"/>
  <c r="H52" i="52"/>
  <c r="I52" i="52"/>
  <c r="J52" i="52"/>
  <c r="K52" i="52"/>
  <c r="L52" i="52"/>
  <c r="M52" i="52"/>
  <c r="N52" i="52"/>
  <c r="O52" i="52"/>
  <c r="P52" i="52"/>
  <c r="Q52" i="52"/>
  <c r="R52" i="52"/>
  <c r="S52" i="52"/>
  <c r="T52" i="52"/>
  <c r="U52" i="52"/>
  <c r="V52" i="52"/>
  <c r="W52" i="52"/>
  <c r="X52" i="52"/>
  <c r="Y52" i="52"/>
  <c r="Z52" i="52"/>
  <c r="F64" i="52"/>
  <c r="G64" i="52"/>
  <c r="H64" i="52"/>
  <c r="I64" i="52"/>
  <c r="J64" i="52"/>
  <c r="K64" i="52"/>
  <c r="L64" i="52"/>
  <c r="M64" i="52"/>
  <c r="N64" i="52"/>
  <c r="O64" i="52"/>
  <c r="P64" i="52"/>
  <c r="Q64" i="52"/>
  <c r="R64" i="52"/>
  <c r="S64" i="52"/>
  <c r="T64" i="52"/>
  <c r="U64" i="52"/>
  <c r="V64" i="52"/>
  <c r="W64" i="52"/>
  <c r="X64" i="52"/>
  <c r="Y64" i="52"/>
  <c r="Z64" i="52"/>
  <c r="F65" i="52"/>
  <c r="G65" i="52"/>
  <c r="H65" i="52"/>
  <c r="I65" i="52"/>
  <c r="J65" i="52"/>
  <c r="K65" i="52"/>
  <c r="L65" i="52"/>
  <c r="M65" i="52"/>
  <c r="N65" i="52"/>
  <c r="O65" i="52"/>
  <c r="P65" i="52"/>
  <c r="Q65" i="52"/>
  <c r="R65" i="52"/>
  <c r="S65" i="52"/>
  <c r="T65" i="52"/>
  <c r="U65" i="52"/>
  <c r="V65" i="52"/>
  <c r="W65" i="52"/>
  <c r="X65" i="52"/>
  <c r="Y65" i="52"/>
  <c r="Z65" i="52"/>
  <c r="F68" i="52"/>
  <c r="G68" i="52"/>
  <c r="H68" i="52"/>
  <c r="I68" i="52"/>
  <c r="J68" i="52"/>
  <c r="K68" i="52"/>
  <c r="L68" i="52"/>
  <c r="M68" i="52"/>
  <c r="N68" i="52"/>
  <c r="O68" i="52"/>
  <c r="P68" i="52"/>
  <c r="Q68" i="52"/>
  <c r="R68" i="52"/>
  <c r="S68" i="52"/>
  <c r="T68" i="52"/>
  <c r="U68" i="52"/>
  <c r="V68" i="52"/>
  <c r="W68" i="52"/>
  <c r="X68" i="52"/>
  <c r="Y68" i="52"/>
  <c r="Z68" i="52"/>
  <c r="F69" i="52"/>
  <c r="G69" i="52"/>
  <c r="H69" i="52"/>
  <c r="I69" i="52"/>
  <c r="J69" i="52"/>
  <c r="K69" i="52"/>
  <c r="L69" i="52"/>
  <c r="M69" i="52"/>
  <c r="N69" i="52"/>
  <c r="O69" i="52"/>
  <c r="P69" i="52"/>
  <c r="Q69" i="52"/>
  <c r="R69" i="52"/>
  <c r="S69" i="52"/>
  <c r="T69" i="52"/>
  <c r="U69" i="52"/>
  <c r="V69" i="52"/>
  <c r="W69" i="52"/>
  <c r="X69" i="52"/>
  <c r="Y69" i="52"/>
  <c r="Z69" i="52"/>
  <c r="F71" i="52"/>
  <c r="G71" i="52"/>
  <c r="H71" i="52"/>
  <c r="I71" i="52"/>
  <c r="J71" i="52"/>
  <c r="K71" i="52"/>
  <c r="L71" i="52"/>
  <c r="M71" i="52"/>
  <c r="N71" i="52"/>
  <c r="O71" i="52"/>
  <c r="P71" i="52"/>
  <c r="Q71" i="52"/>
  <c r="R71" i="52"/>
  <c r="S71" i="52"/>
  <c r="T71" i="52"/>
  <c r="U71" i="52"/>
  <c r="V71" i="52"/>
  <c r="W71" i="52"/>
  <c r="X71" i="52"/>
  <c r="Y71" i="52"/>
  <c r="Z71" i="52"/>
  <c r="F72" i="52"/>
  <c r="G72" i="52"/>
  <c r="H72" i="52"/>
  <c r="I72" i="52"/>
  <c r="J72" i="52"/>
  <c r="K72" i="52"/>
  <c r="L72" i="52"/>
  <c r="M72" i="52"/>
  <c r="N72" i="52"/>
  <c r="O72" i="52"/>
  <c r="P72" i="52"/>
  <c r="Q72" i="52"/>
  <c r="R72" i="52"/>
  <c r="S72" i="52"/>
  <c r="T72" i="52"/>
  <c r="U72" i="52"/>
  <c r="V72" i="52"/>
  <c r="W72" i="52"/>
  <c r="X72" i="52"/>
  <c r="Y72" i="52"/>
  <c r="Z72" i="52"/>
  <c r="F73" i="52"/>
  <c r="G73" i="52"/>
  <c r="H73" i="52"/>
  <c r="I73" i="52"/>
  <c r="J73" i="52"/>
  <c r="K73" i="52"/>
  <c r="L73" i="52"/>
  <c r="M73" i="52"/>
  <c r="N73" i="52"/>
  <c r="O73" i="52"/>
  <c r="P73" i="52"/>
  <c r="Q73" i="52"/>
  <c r="R73" i="52"/>
  <c r="S73" i="52"/>
  <c r="T73" i="52"/>
  <c r="U73" i="52"/>
  <c r="V73" i="52"/>
  <c r="W73" i="52"/>
  <c r="X73" i="52"/>
  <c r="Y73" i="52"/>
  <c r="Z73" i="52"/>
  <c r="F85" i="52"/>
  <c r="G85" i="52"/>
  <c r="H85" i="52"/>
  <c r="I85" i="52"/>
  <c r="J85" i="52"/>
  <c r="K85" i="52"/>
  <c r="L85" i="52"/>
  <c r="M85" i="52"/>
  <c r="N85" i="52"/>
  <c r="O85" i="52"/>
  <c r="P85" i="52"/>
  <c r="Q85" i="52"/>
  <c r="R85" i="52"/>
  <c r="S85" i="52"/>
  <c r="T85" i="52"/>
  <c r="U85" i="52"/>
  <c r="V85" i="52"/>
  <c r="W85" i="52"/>
  <c r="X85" i="52"/>
  <c r="Y85" i="52"/>
  <c r="Z85" i="52"/>
  <c r="F86" i="52"/>
  <c r="G86" i="52"/>
  <c r="H86" i="52"/>
  <c r="I86" i="52"/>
  <c r="J86" i="52"/>
  <c r="K86" i="52"/>
  <c r="L86" i="52"/>
  <c r="M86" i="52"/>
  <c r="N86" i="52"/>
  <c r="O86" i="52"/>
  <c r="P86" i="52"/>
  <c r="Q86" i="52"/>
  <c r="R86" i="52"/>
  <c r="S86" i="52"/>
  <c r="T86" i="52"/>
  <c r="U86" i="52"/>
  <c r="V86" i="52"/>
  <c r="W86" i="52"/>
  <c r="X86" i="52"/>
  <c r="Y86" i="52"/>
  <c r="Z86" i="52"/>
  <c r="F89" i="52"/>
  <c r="G89" i="52"/>
  <c r="H89" i="52"/>
  <c r="I89" i="52"/>
  <c r="J89" i="52"/>
  <c r="K89" i="52"/>
  <c r="L89" i="52"/>
  <c r="M89" i="52"/>
  <c r="N89" i="52"/>
  <c r="O89" i="52"/>
  <c r="P89" i="52"/>
  <c r="Q89" i="52"/>
  <c r="R89" i="52"/>
  <c r="S89" i="52"/>
  <c r="T89" i="52"/>
  <c r="U89" i="52"/>
  <c r="V89" i="52"/>
  <c r="W89" i="52"/>
  <c r="X89" i="52"/>
  <c r="Y89" i="52"/>
  <c r="Z89" i="52"/>
  <c r="F90" i="52"/>
  <c r="G90" i="52"/>
  <c r="H90" i="52"/>
  <c r="I90" i="52"/>
  <c r="J90" i="52"/>
  <c r="K90" i="52"/>
  <c r="L90" i="52"/>
  <c r="M90" i="52"/>
  <c r="N90" i="52"/>
  <c r="O90" i="52"/>
  <c r="P90" i="52"/>
  <c r="Q90" i="52"/>
  <c r="R90" i="52"/>
  <c r="S90" i="52"/>
  <c r="T90" i="52"/>
  <c r="U90" i="52"/>
  <c r="V90" i="52"/>
  <c r="W90" i="52"/>
  <c r="X90" i="52"/>
  <c r="Y90" i="52"/>
  <c r="Z90" i="52"/>
  <c r="F92" i="52"/>
  <c r="G92" i="52"/>
  <c r="H92" i="52"/>
  <c r="I92" i="52"/>
  <c r="J92" i="52"/>
  <c r="K92" i="52"/>
  <c r="L92" i="52"/>
  <c r="M92" i="52"/>
  <c r="N92" i="52"/>
  <c r="O92" i="52"/>
  <c r="P92" i="52"/>
  <c r="Q92" i="52"/>
  <c r="R92" i="52"/>
  <c r="S92" i="52"/>
  <c r="T92" i="52"/>
  <c r="U92" i="52"/>
  <c r="V92" i="52"/>
  <c r="W92" i="52"/>
  <c r="X92" i="52"/>
  <c r="Y92" i="52"/>
  <c r="Z92" i="52"/>
  <c r="F93" i="52"/>
  <c r="G93" i="52"/>
  <c r="H93" i="52"/>
  <c r="I93" i="52"/>
  <c r="J93" i="52"/>
  <c r="K93" i="52"/>
  <c r="L93" i="52"/>
  <c r="M93" i="52"/>
  <c r="N93" i="52"/>
  <c r="O93" i="52"/>
  <c r="P93" i="52"/>
  <c r="Q93" i="52"/>
  <c r="R93" i="52"/>
  <c r="S93" i="52"/>
  <c r="T93" i="52"/>
  <c r="U93" i="52"/>
  <c r="V93" i="52"/>
  <c r="W93" i="52"/>
  <c r="X93" i="52"/>
  <c r="Y93" i="52"/>
  <c r="Z93" i="52"/>
  <c r="F94" i="52"/>
  <c r="G94" i="52"/>
  <c r="H94" i="52"/>
  <c r="I94" i="52"/>
  <c r="J94" i="52"/>
  <c r="K94" i="52"/>
  <c r="L94" i="52"/>
  <c r="M94" i="52"/>
  <c r="N94" i="52"/>
  <c r="O94" i="52"/>
  <c r="P94" i="52"/>
  <c r="Q94" i="52"/>
  <c r="R94" i="52"/>
  <c r="S94" i="52"/>
  <c r="T94" i="52"/>
  <c r="U94" i="52"/>
  <c r="V94" i="52"/>
  <c r="W94" i="52"/>
  <c r="X94" i="52"/>
  <c r="Y94" i="52"/>
  <c r="Z94" i="52"/>
  <c r="F106" i="52"/>
  <c r="G106" i="52"/>
  <c r="H106" i="52"/>
  <c r="I106" i="52"/>
  <c r="J106" i="52"/>
  <c r="K106" i="52"/>
  <c r="L106" i="52"/>
  <c r="M106" i="52"/>
  <c r="N106" i="52"/>
  <c r="O106" i="52"/>
  <c r="P106" i="52"/>
  <c r="Q106" i="52"/>
  <c r="R106" i="52"/>
  <c r="S106" i="52"/>
  <c r="T106" i="52"/>
  <c r="U106" i="52"/>
  <c r="V106" i="52"/>
  <c r="W106" i="52"/>
  <c r="X106" i="52"/>
  <c r="Y106" i="52"/>
  <c r="Z106" i="52"/>
  <c r="F107" i="52"/>
  <c r="G107" i="52"/>
  <c r="H107" i="52"/>
  <c r="I107" i="52"/>
  <c r="J107" i="52"/>
  <c r="K107" i="52"/>
  <c r="L107" i="52"/>
  <c r="M107" i="52"/>
  <c r="N107" i="52"/>
  <c r="O107" i="52"/>
  <c r="P107" i="52"/>
  <c r="Q107" i="52"/>
  <c r="R107" i="52"/>
  <c r="S107" i="52"/>
  <c r="T107" i="52"/>
  <c r="U107" i="52"/>
  <c r="V107" i="52"/>
  <c r="W107" i="52"/>
  <c r="X107" i="52"/>
  <c r="Y107" i="52"/>
  <c r="Z107" i="52"/>
  <c r="F110" i="52"/>
  <c r="G110" i="52"/>
  <c r="H110" i="52"/>
  <c r="I110" i="52"/>
  <c r="J110" i="52"/>
  <c r="K110" i="52"/>
  <c r="L110" i="52"/>
  <c r="M110" i="52"/>
  <c r="N110" i="52"/>
  <c r="O110" i="52"/>
  <c r="P110" i="52"/>
  <c r="Q110" i="52"/>
  <c r="R110" i="52"/>
  <c r="S110" i="52"/>
  <c r="T110" i="52"/>
  <c r="U110" i="52"/>
  <c r="V110" i="52"/>
  <c r="W110" i="52"/>
  <c r="X110" i="52"/>
  <c r="Y110" i="52"/>
  <c r="Z110" i="52"/>
  <c r="F111" i="52"/>
  <c r="G111" i="52"/>
  <c r="H111" i="52"/>
  <c r="I111" i="52"/>
  <c r="J111" i="52"/>
  <c r="K111" i="52"/>
  <c r="L111" i="52"/>
  <c r="M111" i="52"/>
  <c r="N111" i="52"/>
  <c r="O111" i="52"/>
  <c r="P111" i="52"/>
  <c r="Q111" i="52"/>
  <c r="R111" i="52"/>
  <c r="S111" i="52"/>
  <c r="T111" i="52"/>
  <c r="U111" i="52"/>
  <c r="V111" i="52"/>
  <c r="W111" i="52"/>
  <c r="X111" i="52"/>
  <c r="Y111" i="52"/>
  <c r="Z111" i="52"/>
  <c r="F113" i="52"/>
  <c r="G113" i="52"/>
  <c r="H113" i="52"/>
  <c r="I113" i="52"/>
  <c r="J113" i="52"/>
  <c r="K113" i="52"/>
  <c r="L113" i="52"/>
  <c r="M113" i="52"/>
  <c r="N113" i="52"/>
  <c r="O113" i="52"/>
  <c r="P113" i="52"/>
  <c r="Q113" i="52"/>
  <c r="R113" i="52"/>
  <c r="S113" i="52"/>
  <c r="T113" i="52"/>
  <c r="U113" i="52"/>
  <c r="V113" i="52"/>
  <c r="W113" i="52"/>
  <c r="X113" i="52"/>
  <c r="Y113" i="52"/>
  <c r="Z113" i="52"/>
  <c r="F114" i="52"/>
  <c r="G114" i="52"/>
  <c r="H114" i="52"/>
  <c r="I114" i="52"/>
  <c r="J114" i="52"/>
  <c r="K114" i="52"/>
  <c r="L114" i="52"/>
  <c r="M114" i="52"/>
  <c r="N114" i="52"/>
  <c r="O114" i="52"/>
  <c r="P114" i="52"/>
  <c r="Q114" i="52"/>
  <c r="R114" i="52"/>
  <c r="S114" i="52"/>
  <c r="T114" i="52"/>
  <c r="U114" i="52"/>
  <c r="V114" i="52"/>
  <c r="W114" i="52"/>
  <c r="X114" i="52"/>
  <c r="Y114" i="52"/>
  <c r="Z114" i="52"/>
  <c r="F115" i="52"/>
  <c r="G115" i="52"/>
  <c r="H115" i="52"/>
  <c r="I115" i="52"/>
  <c r="J115" i="52"/>
  <c r="K115" i="52"/>
  <c r="L115" i="52"/>
  <c r="M115" i="52"/>
  <c r="N115" i="52"/>
  <c r="O115" i="52"/>
  <c r="P115" i="52"/>
  <c r="Q115" i="52"/>
  <c r="R115" i="52"/>
  <c r="S115" i="52"/>
  <c r="T115" i="52"/>
  <c r="U115" i="52"/>
  <c r="V115" i="52"/>
  <c r="W115" i="52"/>
  <c r="X115" i="52"/>
  <c r="Y115" i="52"/>
  <c r="Z115" i="52"/>
  <c r="F132" i="52"/>
  <c r="G132" i="52"/>
  <c r="H132" i="52"/>
  <c r="I132" i="52"/>
  <c r="J132" i="52"/>
  <c r="K132" i="52"/>
  <c r="L132" i="52"/>
  <c r="M132" i="52"/>
  <c r="N132" i="52"/>
  <c r="O132" i="52"/>
  <c r="P132" i="52"/>
  <c r="Q132" i="52"/>
  <c r="R132" i="52"/>
  <c r="S132" i="52"/>
  <c r="T132" i="52"/>
  <c r="U132" i="52"/>
  <c r="V132" i="52"/>
  <c r="W132" i="52"/>
  <c r="X132" i="52"/>
  <c r="Y132" i="52"/>
  <c r="Z132" i="52"/>
  <c r="F133" i="52"/>
  <c r="G133" i="52"/>
  <c r="H133" i="52"/>
  <c r="I133" i="52"/>
  <c r="J133" i="52"/>
  <c r="K133" i="52"/>
  <c r="L133" i="52"/>
  <c r="M133" i="52"/>
  <c r="N133" i="52"/>
  <c r="O133" i="52"/>
  <c r="P133" i="52"/>
  <c r="Q133" i="52"/>
  <c r="R133" i="52"/>
  <c r="S133" i="52"/>
  <c r="T133" i="52"/>
  <c r="U133" i="52"/>
  <c r="V133" i="52"/>
  <c r="W133" i="52"/>
  <c r="X133" i="52"/>
  <c r="Y133" i="52"/>
  <c r="Z133" i="52"/>
  <c r="F135" i="52"/>
  <c r="G135" i="52"/>
  <c r="H135" i="52"/>
  <c r="I135" i="52"/>
  <c r="J135" i="52"/>
  <c r="K135" i="52"/>
  <c r="L135" i="52"/>
  <c r="M135" i="52"/>
  <c r="N135" i="52"/>
  <c r="O135" i="52"/>
  <c r="P135" i="52"/>
  <c r="Q135" i="52"/>
  <c r="R135" i="52"/>
  <c r="S135" i="52"/>
  <c r="T135" i="52"/>
  <c r="U135" i="52"/>
  <c r="V135" i="52"/>
  <c r="W135" i="52"/>
  <c r="X135" i="52"/>
  <c r="Y135" i="52"/>
  <c r="Z135" i="52"/>
  <c r="F136" i="52"/>
  <c r="G136" i="52"/>
  <c r="H136" i="52"/>
  <c r="I136" i="52"/>
  <c r="J136" i="52"/>
  <c r="K136" i="52"/>
  <c r="L136" i="52"/>
  <c r="M136" i="52"/>
  <c r="N136" i="52"/>
  <c r="O136" i="52"/>
  <c r="P136" i="52"/>
  <c r="Q136" i="52"/>
  <c r="R136" i="52"/>
  <c r="S136" i="52"/>
  <c r="T136" i="52"/>
  <c r="U136" i="52"/>
  <c r="V136" i="52"/>
  <c r="W136" i="52"/>
  <c r="X136" i="52"/>
  <c r="Y136" i="52"/>
  <c r="Z136" i="52"/>
  <c r="F137" i="52"/>
  <c r="G137" i="52"/>
  <c r="H137" i="52"/>
  <c r="I137" i="52"/>
  <c r="J137" i="52"/>
  <c r="K137" i="52"/>
  <c r="L137" i="52"/>
  <c r="M137" i="52"/>
  <c r="N137" i="52"/>
  <c r="O137" i="52"/>
  <c r="P137" i="52"/>
  <c r="Q137" i="52"/>
  <c r="R137" i="52"/>
  <c r="S137" i="52"/>
  <c r="T137" i="52"/>
  <c r="U137" i="52"/>
  <c r="V137" i="52"/>
  <c r="W137" i="52"/>
  <c r="X137" i="52"/>
  <c r="Y137" i="52"/>
  <c r="Z137" i="52"/>
  <c r="F139" i="52"/>
  <c r="G139" i="52"/>
  <c r="H139" i="52"/>
  <c r="I139" i="52"/>
  <c r="J139" i="52"/>
  <c r="K139" i="52"/>
  <c r="L139" i="52"/>
  <c r="M139" i="52"/>
  <c r="N139" i="52"/>
  <c r="O139" i="52"/>
  <c r="P139" i="52"/>
  <c r="Q139" i="52"/>
  <c r="R139" i="52"/>
  <c r="S139" i="52"/>
  <c r="T139" i="52"/>
  <c r="U139" i="52"/>
  <c r="V139" i="52"/>
  <c r="W139" i="52"/>
  <c r="X139" i="52"/>
  <c r="Y139" i="52"/>
  <c r="Z139" i="52"/>
  <c r="G142" i="52"/>
  <c r="H142" i="52"/>
  <c r="I142" i="52"/>
  <c r="J142" i="52"/>
  <c r="K142" i="52"/>
  <c r="L142" i="52"/>
  <c r="M142" i="52"/>
  <c r="N142" i="52"/>
  <c r="O142" i="52"/>
  <c r="P142" i="52"/>
  <c r="Q142" i="52"/>
  <c r="R142" i="52"/>
  <c r="S142" i="52"/>
  <c r="T142" i="52"/>
  <c r="U142" i="52"/>
  <c r="V142" i="52"/>
  <c r="W142" i="52"/>
  <c r="X142" i="52"/>
  <c r="Y142" i="52"/>
  <c r="Z142" i="52"/>
  <c r="I143" i="52"/>
  <c r="F144" i="52"/>
  <c r="G144" i="52"/>
  <c r="H144" i="52"/>
  <c r="I144" i="52"/>
  <c r="J144" i="52"/>
  <c r="K144" i="52"/>
  <c r="L144" i="52"/>
  <c r="M144" i="52"/>
  <c r="N144" i="52"/>
  <c r="O144" i="52"/>
  <c r="P144" i="52"/>
  <c r="Q144" i="52"/>
  <c r="R144" i="52"/>
  <c r="S144" i="52"/>
  <c r="T144" i="52"/>
  <c r="U144" i="52"/>
  <c r="V144" i="52"/>
  <c r="W144" i="52"/>
  <c r="X144" i="52"/>
  <c r="Y144" i="52"/>
  <c r="Z144" i="52"/>
  <c r="F145" i="52"/>
  <c r="G145" i="52"/>
  <c r="H145" i="52"/>
  <c r="I145" i="52"/>
  <c r="J145" i="52"/>
  <c r="K145" i="52"/>
  <c r="L145" i="52"/>
  <c r="M145" i="52"/>
  <c r="N145" i="52"/>
  <c r="O145" i="52"/>
  <c r="P145" i="52"/>
  <c r="Q145" i="52"/>
  <c r="R145" i="52"/>
  <c r="S145" i="52"/>
  <c r="T145" i="52"/>
  <c r="U145" i="52"/>
  <c r="V145" i="52"/>
  <c r="W145" i="52"/>
  <c r="X145" i="52"/>
  <c r="Y145" i="52"/>
  <c r="Z145" i="52"/>
  <c r="F147" i="52"/>
  <c r="G147" i="52"/>
  <c r="H147" i="52"/>
  <c r="I147" i="52"/>
  <c r="J147" i="52"/>
  <c r="K147" i="52"/>
  <c r="L147" i="52"/>
  <c r="M147" i="52"/>
  <c r="N147" i="52"/>
  <c r="O147" i="52"/>
  <c r="P147" i="52"/>
  <c r="Q147" i="52"/>
  <c r="R147" i="52"/>
  <c r="S147" i="52"/>
  <c r="T147" i="52"/>
  <c r="U147" i="52"/>
  <c r="V147" i="52"/>
  <c r="W147" i="52"/>
  <c r="X147" i="52"/>
  <c r="Y147" i="52"/>
  <c r="Z147" i="52"/>
  <c r="F148" i="52"/>
  <c r="G148" i="52"/>
  <c r="H148" i="52"/>
  <c r="I148" i="52"/>
  <c r="J148" i="52"/>
  <c r="K148" i="52"/>
  <c r="L148" i="52"/>
  <c r="M148" i="52"/>
  <c r="N148" i="52"/>
  <c r="O148" i="52"/>
  <c r="P148" i="52"/>
  <c r="Q148" i="52"/>
  <c r="R148" i="52"/>
  <c r="S148" i="52"/>
  <c r="T148" i="52"/>
  <c r="U148" i="52"/>
  <c r="V148" i="52"/>
  <c r="W148" i="52"/>
  <c r="X148" i="52"/>
  <c r="Y148" i="52"/>
  <c r="Z148" i="52"/>
  <c r="F149" i="52"/>
  <c r="G149" i="52"/>
  <c r="H149" i="52"/>
  <c r="I149" i="52"/>
  <c r="J149" i="52"/>
  <c r="K149" i="52"/>
  <c r="L149" i="52"/>
  <c r="M149" i="52"/>
  <c r="N149" i="52"/>
  <c r="O149" i="52"/>
  <c r="P149" i="52"/>
  <c r="Q149" i="52"/>
  <c r="R149" i="52"/>
  <c r="S149" i="52"/>
  <c r="T149" i="52"/>
  <c r="U149" i="52"/>
  <c r="V149" i="52"/>
  <c r="W149" i="52"/>
  <c r="X149" i="52"/>
  <c r="Y149" i="52"/>
  <c r="Z149" i="52"/>
  <c r="I151" i="52"/>
  <c r="F153" i="52"/>
  <c r="G153" i="52"/>
  <c r="H153" i="52"/>
  <c r="I153" i="52"/>
  <c r="J153" i="52"/>
  <c r="K153" i="52"/>
  <c r="L153" i="52"/>
  <c r="M153" i="52"/>
  <c r="N153" i="52"/>
  <c r="O153" i="52"/>
  <c r="P153" i="52"/>
  <c r="Q153" i="52"/>
  <c r="R153" i="52"/>
  <c r="S153" i="52"/>
  <c r="T153" i="52"/>
  <c r="U153" i="52"/>
  <c r="V153" i="52"/>
  <c r="W153" i="52"/>
  <c r="X153" i="52"/>
  <c r="Y153" i="52"/>
  <c r="Z153" i="52"/>
  <c r="N156" i="52"/>
  <c r="I157" i="52"/>
  <c r="N158" i="52"/>
  <c r="N159" i="52"/>
  <c r="I160" i="52"/>
  <c r="N160" i="52"/>
  <c r="F163" i="52"/>
  <c r="G163" i="52"/>
  <c r="H163" i="52"/>
  <c r="I163" i="52"/>
  <c r="J163" i="52"/>
  <c r="K163" i="52"/>
  <c r="L163" i="52"/>
  <c r="M163" i="52"/>
  <c r="N163" i="52"/>
  <c r="D198" i="52"/>
  <c r="F198" i="52"/>
  <c r="G198" i="52"/>
  <c r="H198" i="52"/>
  <c r="I198" i="52"/>
  <c r="J198" i="52"/>
  <c r="K198" i="52"/>
  <c r="L198" i="52"/>
  <c r="M198" i="52"/>
  <c r="N198" i="52"/>
  <c r="O198" i="52"/>
  <c r="P198" i="52"/>
  <c r="Q198" i="52"/>
  <c r="R198" i="52"/>
  <c r="S198" i="52"/>
  <c r="T198" i="52"/>
  <c r="U198" i="52"/>
  <c r="V198" i="52"/>
  <c r="W198" i="52"/>
  <c r="X198" i="52"/>
  <c r="Y198" i="52"/>
  <c r="Z198" i="52"/>
  <c r="F200" i="52"/>
  <c r="G200" i="52"/>
  <c r="H200" i="52"/>
  <c r="I200" i="52"/>
  <c r="J200" i="52"/>
  <c r="K200" i="52"/>
  <c r="L200" i="52"/>
  <c r="M200" i="52"/>
  <c r="N200" i="52"/>
  <c r="O200" i="52"/>
  <c r="P200" i="52"/>
  <c r="Q200" i="52"/>
  <c r="R200" i="52"/>
  <c r="S200" i="52"/>
  <c r="T200" i="52"/>
  <c r="U200" i="52"/>
  <c r="V200" i="52"/>
  <c r="W200" i="52"/>
  <c r="X200" i="52"/>
  <c r="Y200" i="52"/>
  <c r="Z200" i="52"/>
  <c r="F203" i="52"/>
  <c r="G203" i="52"/>
  <c r="H203" i="52"/>
  <c r="I203" i="52"/>
  <c r="J203" i="52"/>
  <c r="K203" i="52"/>
  <c r="L203" i="52"/>
  <c r="M203" i="52"/>
  <c r="N203" i="52"/>
  <c r="O203" i="52"/>
  <c r="P203" i="52"/>
  <c r="Q203" i="52"/>
  <c r="R203" i="52"/>
  <c r="S203" i="52"/>
  <c r="T203" i="52"/>
  <c r="U203" i="52"/>
  <c r="V203" i="52"/>
  <c r="W203" i="52"/>
  <c r="X203" i="52"/>
  <c r="Y203" i="52"/>
  <c r="Z203" i="52"/>
  <c r="F205" i="52"/>
  <c r="G205" i="52"/>
  <c r="H205" i="52"/>
  <c r="I205" i="52"/>
  <c r="J205" i="52"/>
  <c r="K205" i="52"/>
  <c r="L205" i="52"/>
  <c r="M205" i="52"/>
  <c r="N205" i="52"/>
  <c r="O205" i="52"/>
  <c r="P205" i="52"/>
  <c r="Q205" i="52"/>
  <c r="R205" i="52"/>
  <c r="S205" i="52"/>
  <c r="T205" i="52"/>
  <c r="U205" i="52"/>
  <c r="V205" i="52"/>
  <c r="W205" i="52"/>
  <c r="X205" i="52"/>
  <c r="Y205" i="52"/>
  <c r="Z205" i="52"/>
  <c r="F209" i="52"/>
  <c r="G209" i="52"/>
  <c r="H209" i="52"/>
  <c r="I209" i="52"/>
  <c r="J209" i="52"/>
  <c r="K209" i="52"/>
  <c r="L209" i="52"/>
  <c r="M209" i="52"/>
  <c r="N209" i="52"/>
  <c r="O209" i="52"/>
  <c r="P209" i="52"/>
  <c r="Q209" i="52"/>
  <c r="R209" i="52"/>
  <c r="S209" i="52"/>
  <c r="T209" i="52"/>
  <c r="U209" i="52"/>
  <c r="V209" i="52"/>
  <c r="W209" i="52"/>
  <c r="X209" i="52"/>
  <c r="Y209" i="52"/>
  <c r="Z209" i="52"/>
  <c r="F210" i="52"/>
  <c r="G210" i="52"/>
  <c r="H210" i="52"/>
  <c r="I210" i="52"/>
  <c r="J210" i="52"/>
  <c r="K210" i="52"/>
  <c r="L210" i="52"/>
  <c r="M210" i="52"/>
  <c r="N210" i="52"/>
  <c r="O210" i="52"/>
  <c r="P210" i="52"/>
  <c r="Q210" i="52"/>
  <c r="R210" i="52"/>
  <c r="S210" i="52"/>
  <c r="T210" i="52"/>
  <c r="U210" i="52"/>
  <c r="V210" i="52"/>
  <c r="W210" i="52"/>
  <c r="X210" i="52"/>
  <c r="Y210" i="52"/>
  <c r="Z210" i="52"/>
  <c r="F211" i="52"/>
  <c r="G211" i="52"/>
  <c r="H211" i="52"/>
  <c r="I211" i="52"/>
  <c r="J211" i="52"/>
  <c r="K211" i="52"/>
  <c r="L211" i="52"/>
  <c r="M211" i="52"/>
  <c r="N211" i="52"/>
  <c r="O211" i="52"/>
  <c r="P211" i="52"/>
  <c r="Q211" i="52"/>
  <c r="R211" i="52"/>
  <c r="S211" i="52"/>
  <c r="T211" i="52"/>
  <c r="U211" i="52"/>
  <c r="V211" i="52"/>
  <c r="W211" i="52"/>
  <c r="X211" i="52"/>
  <c r="Y211" i="52"/>
  <c r="Z211" i="52"/>
  <c r="J214" i="52"/>
  <c r="K214" i="52"/>
  <c r="L214" i="52"/>
  <c r="M214" i="52"/>
  <c r="N214" i="52"/>
  <c r="O214" i="52"/>
  <c r="P214" i="52"/>
  <c r="Q214" i="52"/>
  <c r="R214" i="52"/>
  <c r="S214" i="52"/>
  <c r="T214" i="52"/>
  <c r="U214" i="52"/>
  <c r="V214" i="52"/>
  <c r="W214" i="52"/>
  <c r="X214" i="52"/>
  <c r="Y214" i="52"/>
  <c r="Z214" i="52"/>
  <c r="I215" i="52"/>
  <c r="I217" i="52"/>
  <c r="J217" i="52"/>
  <c r="K217" i="52"/>
  <c r="L217" i="52"/>
  <c r="M217" i="52"/>
  <c r="N217" i="52"/>
  <c r="O217" i="52"/>
  <c r="P217" i="52"/>
  <c r="Q217" i="52"/>
  <c r="R217" i="52"/>
  <c r="S217" i="52"/>
  <c r="T217" i="52"/>
  <c r="U217" i="52"/>
  <c r="V217" i="52"/>
  <c r="W217" i="52"/>
  <c r="X217" i="52"/>
  <c r="Y217" i="52"/>
  <c r="Z217" i="52"/>
  <c r="I219" i="52"/>
  <c r="J219" i="52"/>
  <c r="K219" i="52"/>
  <c r="L219" i="52"/>
  <c r="M219" i="52"/>
  <c r="N219" i="52"/>
  <c r="O219" i="52"/>
  <c r="P219" i="52"/>
  <c r="Q219" i="52"/>
  <c r="R219" i="52"/>
  <c r="S219" i="52"/>
  <c r="T219" i="52"/>
  <c r="U219" i="52"/>
  <c r="V219" i="52"/>
  <c r="W219" i="52"/>
  <c r="X219" i="52"/>
  <c r="Y219" i="52"/>
  <c r="Z219" i="52"/>
  <c r="I220" i="52"/>
  <c r="J220" i="52"/>
  <c r="K220" i="52"/>
  <c r="L220" i="52"/>
  <c r="M220" i="52"/>
  <c r="N220" i="52"/>
  <c r="O220" i="52"/>
  <c r="P220" i="52"/>
  <c r="Q220" i="52"/>
  <c r="R220" i="52"/>
  <c r="S220" i="52"/>
  <c r="T220" i="52"/>
  <c r="U220" i="52"/>
  <c r="V220" i="52"/>
  <c r="W220" i="52"/>
  <c r="X220" i="52"/>
  <c r="Y220" i="52"/>
  <c r="Z220" i="52"/>
  <c r="F221" i="52"/>
  <c r="G221" i="52"/>
  <c r="H221" i="52"/>
  <c r="I221" i="52"/>
  <c r="J221" i="52"/>
  <c r="K221" i="52"/>
  <c r="L221" i="52"/>
  <c r="M221" i="52"/>
  <c r="N221" i="52"/>
  <c r="O221" i="52"/>
  <c r="P221" i="52"/>
  <c r="Q221" i="52"/>
  <c r="R221" i="52"/>
  <c r="S221" i="52"/>
  <c r="T221" i="52"/>
  <c r="U221" i="52"/>
  <c r="V221" i="52"/>
  <c r="W221" i="52"/>
  <c r="X221" i="52"/>
  <c r="Y221" i="52"/>
  <c r="Z221" i="52"/>
  <c r="I223" i="52"/>
  <c r="F225" i="52"/>
  <c r="G225" i="52"/>
  <c r="H225" i="52"/>
  <c r="I225" i="52"/>
  <c r="J225" i="52"/>
  <c r="K225" i="52"/>
  <c r="L225" i="52"/>
  <c r="M225" i="52"/>
  <c r="N225" i="52"/>
  <c r="O225" i="52"/>
  <c r="P225" i="52"/>
  <c r="Q225" i="52"/>
  <c r="R225" i="52"/>
  <c r="S225" i="52"/>
  <c r="T225" i="52"/>
  <c r="U225" i="52"/>
  <c r="V225" i="52"/>
  <c r="W225" i="52"/>
  <c r="X225" i="52"/>
  <c r="Y225" i="52"/>
  <c r="Z225" i="52"/>
  <c r="N228" i="52"/>
  <c r="N229" i="52"/>
  <c r="N230" i="52"/>
  <c r="N231" i="52"/>
  <c r="F233" i="52"/>
  <c r="G233" i="52"/>
  <c r="H233" i="52"/>
  <c r="I233" i="52"/>
  <c r="J233" i="52"/>
  <c r="K233" i="52"/>
  <c r="L233" i="52"/>
  <c r="M233" i="52"/>
  <c r="N233" i="52"/>
  <c r="F247" i="52"/>
  <c r="G247" i="52"/>
  <c r="H247" i="52"/>
  <c r="I247" i="52"/>
  <c r="J247" i="52"/>
  <c r="K247" i="52"/>
  <c r="L247" i="52"/>
  <c r="M247" i="52"/>
  <c r="N247" i="52"/>
  <c r="O247" i="52"/>
  <c r="P247" i="52"/>
  <c r="Q247" i="52"/>
  <c r="R247" i="52"/>
  <c r="S247" i="52"/>
  <c r="T247" i="52"/>
  <c r="U247" i="52"/>
  <c r="V247" i="52"/>
  <c r="W247" i="52"/>
  <c r="X247" i="52"/>
  <c r="Y247" i="52"/>
  <c r="Z247" i="52"/>
  <c r="F248" i="52"/>
  <c r="G248" i="52"/>
  <c r="H248" i="52"/>
  <c r="I248" i="52"/>
  <c r="J248" i="52"/>
  <c r="K248" i="52"/>
  <c r="L248" i="52"/>
  <c r="M248" i="52"/>
  <c r="N248" i="52"/>
  <c r="O248" i="52"/>
  <c r="P248" i="52"/>
  <c r="Q248" i="52"/>
  <c r="R248" i="52"/>
  <c r="S248" i="52"/>
  <c r="T248" i="52"/>
  <c r="U248" i="52"/>
  <c r="V248" i="52"/>
  <c r="W248" i="52"/>
  <c r="X248" i="52"/>
  <c r="Y248" i="52"/>
  <c r="Z248" i="52"/>
  <c r="F251" i="52"/>
  <c r="G251" i="52"/>
  <c r="H251" i="52"/>
  <c r="I251" i="52"/>
  <c r="J251" i="52"/>
  <c r="K251" i="52"/>
  <c r="L251" i="52"/>
  <c r="M251" i="52"/>
  <c r="N251" i="52"/>
  <c r="O251" i="52"/>
  <c r="P251" i="52"/>
  <c r="Q251" i="52"/>
  <c r="R251" i="52"/>
  <c r="S251" i="52"/>
  <c r="T251" i="52"/>
  <c r="U251" i="52"/>
  <c r="V251" i="52"/>
  <c r="W251" i="52"/>
  <c r="X251" i="52"/>
  <c r="Y251" i="52"/>
  <c r="Z251" i="52"/>
  <c r="F252" i="52"/>
  <c r="G252" i="52"/>
  <c r="H252" i="52"/>
  <c r="I252" i="52"/>
  <c r="J252" i="52"/>
  <c r="K252" i="52"/>
  <c r="L252" i="52"/>
  <c r="M252" i="52"/>
  <c r="N252" i="52"/>
  <c r="O252" i="52"/>
  <c r="P252" i="52"/>
  <c r="Q252" i="52"/>
  <c r="R252" i="52"/>
  <c r="S252" i="52"/>
  <c r="T252" i="52"/>
  <c r="U252" i="52"/>
  <c r="V252" i="52"/>
  <c r="W252" i="52"/>
  <c r="X252" i="52"/>
  <c r="Y252" i="52"/>
  <c r="Z252" i="52"/>
  <c r="F254" i="52"/>
  <c r="G254" i="52"/>
  <c r="H254" i="52"/>
  <c r="I254" i="52"/>
  <c r="J254" i="52"/>
  <c r="K254" i="52"/>
  <c r="L254" i="52"/>
  <c r="M254" i="52"/>
  <c r="N254" i="52"/>
  <c r="O254" i="52"/>
  <c r="P254" i="52"/>
  <c r="Q254" i="52"/>
  <c r="R254" i="52"/>
  <c r="S254" i="52"/>
  <c r="T254" i="52"/>
  <c r="U254" i="52"/>
  <c r="V254" i="52"/>
  <c r="W254" i="52"/>
  <c r="X254" i="52"/>
  <c r="Y254" i="52"/>
  <c r="Z254" i="52"/>
  <c r="F255" i="52"/>
  <c r="G255" i="52"/>
  <c r="H255" i="52"/>
  <c r="I255" i="52"/>
  <c r="J255" i="52"/>
  <c r="K255" i="52"/>
  <c r="L255" i="52"/>
  <c r="M255" i="52"/>
  <c r="N255" i="52"/>
  <c r="O255" i="52"/>
  <c r="P255" i="52"/>
  <c r="Q255" i="52"/>
  <c r="R255" i="52"/>
  <c r="S255" i="52"/>
  <c r="T255" i="52"/>
  <c r="U255" i="52"/>
  <c r="V255" i="52"/>
  <c r="W255" i="52"/>
  <c r="X255" i="52"/>
  <c r="Y255" i="52"/>
  <c r="Z255" i="52"/>
  <c r="F256" i="52"/>
  <c r="G256" i="52"/>
  <c r="H256" i="52"/>
  <c r="I256" i="52"/>
  <c r="J256" i="52"/>
  <c r="K256" i="52"/>
  <c r="L256" i="52"/>
  <c r="M256" i="52"/>
  <c r="N256" i="52"/>
  <c r="O256" i="52"/>
  <c r="P256" i="52"/>
  <c r="Q256" i="52"/>
  <c r="R256" i="52"/>
  <c r="S256" i="52"/>
  <c r="T256" i="52"/>
  <c r="U256" i="52"/>
  <c r="V256" i="52"/>
  <c r="W256" i="52"/>
  <c r="X256" i="52"/>
  <c r="Y256" i="52"/>
  <c r="Z256" i="52"/>
  <c r="J259" i="52"/>
  <c r="K259" i="52"/>
  <c r="L259" i="52"/>
  <c r="M259" i="52"/>
  <c r="N259" i="52"/>
  <c r="O259" i="52"/>
  <c r="P259" i="52"/>
  <c r="Q259" i="52"/>
  <c r="R259" i="52"/>
  <c r="S259" i="52"/>
  <c r="T259" i="52"/>
  <c r="U259" i="52"/>
  <c r="V259" i="52"/>
  <c r="W259" i="52"/>
  <c r="X259" i="52"/>
  <c r="Y259" i="52"/>
  <c r="Z259" i="52"/>
  <c r="I260" i="52"/>
  <c r="I262" i="52"/>
  <c r="J262" i="52"/>
  <c r="K262" i="52"/>
  <c r="L262" i="52"/>
  <c r="M262" i="52"/>
  <c r="N262" i="52"/>
  <c r="O262" i="52"/>
  <c r="P262" i="52"/>
  <c r="Q262" i="52"/>
  <c r="R262" i="52"/>
  <c r="S262" i="52"/>
  <c r="T262" i="52"/>
  <c r="U262" i="52"/>
  <c r="V262" i="52"/>
  <c r="W262" i="52"/>
  <c r="X262" i="52"/>
  <c r="Y262" i="52"/>
  <c r="Z262" i="52"/>
  <c r="I264" i="52"/>
  <c r="J264" i="52"/>
  <c r="K264" i="52"/>
  <c r="L264" i="52"/>
  <c r="M264" i="52"/>
  <c r="N264" i="52"/>
  <c r="O264" i="52"/>
  <c r="P264" i="52"/>
  <c r="Q264" i="52"/>
  <c r="R264" i="52"/>
  <c r="S264" i="52"/>
  <c r="T264" i="52"/>
  <c r="U264" i="52"/>
  <c r="V264" i="52"/>
  <c r="W264" i="52"/>
  <c r="X264" i="52"/>
  <c r="Y264" i="52"/>
  <c r="Z264" i="52"/>
  <c r="I265" i="52"/>
  <c r="J265" i="52"/>
  <c r="K265" i="52"/>
  <c r="L265" i="52"/>
  <c r="M265" i="52"/>
  <c r="N265" i="52"/>
  <c r="O265" i="52"/>
  <c r="P265" i="52"/>
  <c r="Q265" i="52"/>
  <c r="R265" i="52"/>
  <c r="S265" i="52"/>
  <c r="T265" i="52"/>
  <c r="U265" i="52"/>
  <c r="V265" i="52"/>
  <c r="W265" i="52"/>
  <c r="X265" i="52"/>
  <c r="Y265" i="52"/>
  <c r="Z265" i="52"/>
  <c r="F266" i="52"/>
  <c r="G266" i="52"/>
  <c r="H266" i="52"/>
  <c r="I266" i="52"/>
  <c r="J266" i="52"/>
  <c r="K266" i="52"/>
  <c r="L266" i="52"/>
  <c r="M266" i="52"/>
  <c r="N266" i="52"/>
  <c r="O266" i="52"/>
  <c r="P266" i="52"/>
  <c r="Q266" i="52"/>
  <c r="R266" i="52"/>
  <c r="S266" i="52"/>
  <c r="T266" i="52"/>
  <c r="U266" i="52"/>
  <c r="V266" i="52"/>
  <c r="W266" i="52"/>
  <c r="X266" i="52"/>
  <c r="Y266" i="52"/>
  <c r="Z266" i="52"/>
  <c r="I268" i="52"/>
  <c r="F270" i="52"/>
  <c r="G270" i="52"/>
  <c r="H270" i="52"/>
  <c r="I270" i="52"/>
  <c r="J270" i="52"/>
  <c r="K270" i="52"/>
  <c r="L270" i="52"/>
  <c r="M270" i="52"/>
  <c r="N270" i="52"/>
  <c r="O270" i="52"/>
  <c r="P270" i="52"/>
  <c r="Q270" i="52"/>
  <c r="R270" i="52"/>
  <c r="S270" i="52"/>
  <c r="T270" i="52"/>
  <c r="U270" i="52"/>
  <c r="V270" i="52"/>
  <c r="W270" i="52"/>
  <c r="X270" i="52"/>
  <c r="Y270" i="52"/>
  <c r="Z270" i="52"/>
  <c r="N273" i="52"/>
  <c r="N274" i="52"/>
  <c r="N275" i="52"/>
  <c r="N276" i="52"/>
  <c r="F278" i="52"/>
  <c r="G278" i="52"/>
  <c r="H278" i="52"/>
  <c r="I278" i="52"/>
  <c r="J278" i="52"/>
  <c r="K278" i="52"/>
  <c r="L278" i="52"/>
  <c r="M278" i="52"/>
  <c r="N278" i="52"/>
  <c r="F280" i="52"/>
  <c r="G280" i="52"/>
  <c r="H280" i="52"/>
  <c r="I280" i="52"/>
  <c r="J280" i="52"/>
  <c r="K280" i="52"/>
  <c r="L280" i="52"/>
  <c r="M280" i="52"/>
  <c r="N280" i="52"/>
  <c r="F282" i="52"/>
  <c r="G282" i="52"/>
  <c r="H282" i="52"/>
  <c r="I282" i="52"/>
  <c r="J282" i="52"/>
  <c r="K282" i="52"/>
  <c r="L282" i="52"/>
  <c r="M282" i="52"/>
  <c r="N282" i="52"/>
  <c r="O282" i="52"/>
  <c r="P282" i="52"/>
  <c r="Q282" i="52"/>
  <c r="R282" i="52"/>
  <c r="S282" i="52"/>
  <c r="T282" i="52"/>
  <c r="U282" i="52"/>
  <c r="V282" i="52"/>
  <c r="W282" i="52"/>
  <c r="X282" i="52"/>
  <c r="Y282" i="52"/>
  <c r="Z282" i="52"/>
  <c r="F283" i="52"/>
  <c r="G283" i="52"/>
  <c r="H283" i="52"/>
  <c r="I283" i="52"/>
  <c r="J283" i="52"/>
  <c r="K283" i="52"/>
  <c r="L283" i="52"/>
  <c r="M283" i="52"/>
  <c r="N283" i="52"/>
  <c r="O283" i="52"/>
  <c r="P283" i="52"/>
  <c r="Q283" i="52"/>
  <c r="R283" i="52"/>
  <c r="S283" i="52"/>
  <c r="T283" i="52"/>
  <c r="U283" i="52"/>
  <c r="V283" i="52"/>
  <c r="W283" i="52"/>
  <c r="X283" i="52"/>
  <c r="Y283" i="52"/>
  <c r="Z283" i="52"/>
  <c r="D291" i="52"/>
  <c r="F291" i="52"/>
  <c r="G291" i="52"/>
  <c r="H291" i="52"/>
  <c r="D292" i="52"/>
  <c r="G292" i="52"/>
  <c r="H292" i="52"/>
  <c r="D294" i="52"/>
  <c r="F294" i="52"/>
  <c r="G294" i="52"/>
  <c r="H294" i="52"/>
  <c r="I294" i="52"/>
  <c r="J294" i="52"/>
  <c r="D295" i="52"/>
  <c r="F295" i="52"/>
  <c r="G295" i="52"/>
  <c r="H295" i="52"/>
  <c r="I295" i="52"/>
  <c r="J295" i="52"/>
  <c r="D298" i="52"/>
  <c r="F298" i="52"/>
  <c r="G298" i="52"/>
  <c r="H298" i="52"/>
  <c r="I298" i="52"/>
  <c r="J298" i="52"/>
  <c r="K298" i="52"/>
  <c r="L298" i="52"/>
  <c r="M298" i="52"/>
  <c r="N298" i="52"/>
  <c r="O298" i="52"/>
  <c r="P298" i="52"/>
  <c r="Q298" i="52"/>
  <c r="R298" i="52"/>
  <c r="S298" i="52"/>
  <c r="T298" i="52"/>
  <c r="U298" i="52"/>
  <c r="V298" i="52"/>
  <c r="W298" i="52"/>
  <c r="X298" i="52"/>
  <c r="Y298" i="52"/>
  <c r="Z298" i="52"/>
  <c r="D299" i="52"/>
  <c r="F299" i="52"/>
  <c r="G299" i="52"/>
  <c r="H299" i="52"/>
  <c r="I299" i="52"/>
  <c r="J299" i="52"/>
  <c r="K299" i="52"/>
  <c r="L299" i="52"/>
  <c r="M299" i="52"/>
  <c r="N299" i="52"/>
  <c r="O299" i="52"/>
  <c r="P299" i="52"/>
  <c r="Q299" i="52"/>
  <c r="R299" i="52"/>
  <c r="S299" i="52"/>
  <c r="T299" i="52"/>
  <c r="U299" i="52"/>
  <c r="V299" i="52"/>
  <c r="W299" i="52"/>
  <c r="X299" i="52"/>
  <c r="Y299" i="52"/>
  <c r="Z299" i="52"/>
  <c r="D300" i="52"/>
  <c r="F300" i="52"/>
  <c r="G300" i="52"/>
  <c r="H300" i="52"/>
  <c r="I300" i="52"/>
  <c r="J300" i="52"/>
  <c r="K300" i="52"/>
  <c r="L300" i="52"/>
  <c r="M300" i="52"/>
  <c r="N300" i="52"/>
  <c r="O300" i="52"/>
  <c r="P300" i="52"/>
  <c r="Q300" i="52"/>
  <c r="R300" i="52"/>
  <c r="S300" i="52"/>
  <c r="T300" i="52"/>
  <c r="U300" i="52"/>
  <c r="V300" i="52"/>
  <c r="W300" i="52"/>
  <c r="X300" i="52"/>
  <c r="Y300" i="52"/>
  <c r="Z300" i="52"/>
  <c r="D301" i="52"/>
  <c r="F301" i="52"/>
  <c r="G301" i="52"/>
  <c r="H301" i="52"/>
  <c r="I301" i="52"/>
  <c r="J301" i="52"/>
  <c r="K301" i="52"/>
  <c r="L301" i="52"/>
  <c r="M301" i="52"/>
  <c r="N301" i="52"/>
  <c r="O301" i="52"/>
  <c r="P301" i="52"/>
  <c r="Q301" i="52"/>
  <c r="R301" i="52"/>
  <c r="S301" i="52"/>
  <c r="T301" i="52"/>
  <c r="U301" i="52"/>
  <c r="V301" i="52"/>
  <c r="W301" i="52"/>
  <c r="X301" i="52"/>
  <c r="Y301" i="52"/>
  <c r="Z301" i="52"/>
  <c r="D302" i="52"/>
  <c r="F302" i="52"/>
  <c r="G302" i="52"/>
  <c r="H302" i="52"/>
  <c r="I302" i="52"/>
  <c r="J302" i="52"/>
  <c r="K302" i="52"/>
  <c r="L302" i="52"/>
  <c r="M302" i="52"/>
  <c r="N302" i="52"/>
  <c r="O302" i="52"/>
  <c r="P302" i="52"/>
  <c r="Q302" i="52"/>
  <c r="R302" i="52"/>
  <c r="S302" i="52"/>
  <c r="T302" i="52"/>
  <c r="U302" i="52"/>
  <c r="V302" i="52"/>
  <c r="W302" i="52"/>
  <c r="X302" i="52"/>
  <c r="Y302" i="52"/>
  <c r="Z302" i="52"/>
  <c r="D303" i="52"/>
  <c r="F303" i="52"/>
  <c r="G303" i="52"/>
  <c r="H303" i="52"/>
  <c r="I303" i="52"/>
  <c r="J303" i="52"/>
  <c r="K303" i="52"/>
  <c r="L303" i="52"/>
  <c r="M303" i="52"/>
  <c r="N303" i="52"/>
  <c r="O303" i="52"/>
  <c r="P303" i="52"/>
  <c r="Q303" i="52"/>
  <c r="R303" i="52"/>
  <c r="S303" i="52"/>
  <c r="T303" i="52"/>
  <c r="U303" i="52"/>
  <c r="V303" i="52"/>
  <c r="W303" i="52"/>
  <c r="X303" i="52"/>
  <c r="Y303" i="52"/>
  <c r="Z303" i="52"/>
  <c r="D304" i="52"/>
  <c r="F304" i="52"/>
  <c r="G304" i="52"/>
  <c r="H304" i="52"/>
  <c r="I304" i="52"/>
  <c r="J304" i="52"/>
  <c r="K304" i="52"/>
  <c r="L304" i="52"/>
  <c r="M304" i="52"/>
  <c r="N304" i="52"/>
  <c r="O304" i="52"/>
  <c r="P304" i="52"/>
  <c r="Q304" i="52"/>
  <c r="R304" i="52"/>
  <c r="S304" i="52"/>
  <c r="T304" i="52"/>
  <c r="U304" i="52"/>
  <c r="V304" i="52"/>
  <c r="W304" i="52"/>
  <c r="X304" i="52"/>
  <c r="Y304" i="52"/>
  <c r="Z304" i="52"/>
  <c r="D305" i="52"/>
  <c r="F305" i="52"/>
  <c r="G305" i="52"/>
  <c r="H305" i="52"/>
  <c r="I305" i="52"/>
  <c r="J305" i="52"/>
  <c r="K305" i="52"/>
  <c r="L305" i="52"/>
  <c r="M305" i="52"/>
  <c r="N305" i="52"/>
  <c r="O305" i="52"/>
  <c r="P305" i="52"/>
  <c r="Q305" i="52"/>
  <c r="R305" i="52"/>
  <c r="S305" i="52"/>
  <c r="T305" i="52"/>
  <c r="U305" i="52"/>
  <c r="V305" i="52"/>
  <c r="W305" i="52"/>
  <c r="X305" i="52"/>
  <c r="Y305" i="52"/>
  <c r="Z305" i="52"/>
  <c r="D307" i="52"/>
  <c r="F307" i="52"/>
  <c r="G307" i="52"/>
  <c r="H307" i="52"/>
  <c r="I307" i="52"/>
  <c r="J307" i="52"/>
  <c r="K307" i="52"/>
  <c r="L307" i="52"/>
  <c r="M307" i="52"/>
  <c r="N307" i="52"/>
  <c r="O307" i="52"/>
  <c r="P307" i="52"/>
  <c r="Q307" i="52"/>
  <c r="R307" i="52"/>
  <c r="S307" i="52"/>
  <c r="T307" i="52"/>
  <c r="U307" i="52"/>
  <c r="V307" i="52"/>
  <c r="W307" i="52"/>
  <c r="X307" i="52"/>
  <c r="Y307" i="52"/>
  <c r="Z307" i="52"/>
  <c r="D310" i="52"/>
  <c r="F310" i="52"/>
  <c r="G310" i="52"/>
  <c r="H310" i="52"/>
  <c r="I310" i="52"/>
  <c r="J310" i="52"/>
  <c r="K310" i="52"/>
  <c r="L310" i="52"/>
  <c r="M310" i="52"/>
  <c r="N310" i="52"/>
  <c r="O310" i="52"/>
  <c r="P310" i="52"/>
  <c r="Q310" i="52"/>
  <c r="R310" i="52"/>
  <c r="S310" i="52"/>
  <c r="T310" i="52"/>
  <c r="U310" i="52"/>
  <c r="V310" i="52"/>
  <c r="W310" i="52"/>
  <c r="X310" i="52"/>
  <c r="Y310" i="52"/>
  <c r="Z310" i="52"/>
  <c r="D311" i="52"/>
  <c r="F311" i="52"/>
  <c r="G311" i="52"/>
  <c r="H311" i="52"/>
  <c r="I311" i="52"/>
  <c r="J311" i="52"/>
  <c r="K311" i="52"/>
  <c r="L311" i="52"/>
  <c r="M311" i="52"/>
  <c r="N311" i="52"/>
  <c r="D312" i="52"/>
  <c r="F312" i="52"/>
  <c r="G312" i="52"/>
  <c r="H312" i="52"/>
  <c r="I312" i="52"/>
  <c r="J312" i="52"/>
  <c r="K312" i="52"/>
  <c r="L312" i="52"/>
  <c r="M312" i="52"/>
  <c r="N312" i="52"/>
  <c r="O312" i="52"/>
  <c r="P312" i="52"/>
  <c r="Q312" i="52"/>
  <c r="R312" i="52"/>
  <c r="S312" i="52"/>
  <c r="T312" i="52"/>
  <c r="U312" i="52"/>
  <c r="V312" i="52"/>
  <c r="W312" i="52"/>
  <c r="X312" i="52"/>
  <c r="Y312" i="52"/>
  <c r="Z312" i="52"/>
  <c r="C314" i="52"/>
  <c r="C315" i="52"/>
  <c r="C316" i="52"/>
  <c r="F321" i="52"/>
  <c r="G321" i="52"/>
  <c r="H321" i="52"/>
  <c r="I321" i="52"/>
  <c r="J321" i="52"/>
  <c r="K321" i="52"/>
  <c r="L321" i="52"/>
  <c r="M321" i="52"/>
  <c r="N321" i="52"/>
  <c r="O321" i="52"/>
  <c r="P321" i="52"/>
  <c r="Q321" i="52"/>
  <c r="R321" i="52"/>
  <c r="S321" i="52"/>
  <c r="T321" i="52"/>
  <c r="U321" i="52"/>
  <c r="V321" i="52"/>
  <c r="W321" i="52"/>
  <c r="X321" i="52"/>
  <c r="Y321" i="52"/>
  <c r="Z321" i="52"/>
  <c r="F322" i="52"/>
  <c r="G322" i="52"/>
  <c r="H322" i="52"/>
  <c r="I322" i="52"/>
  <c r="J322" i="52"/>
  <c r="K322" i="52"/>
  <c r="L322" i="52"/>
  <c r="M322" i="52"/>
  <c r="N322" i="52"/>
  <c r="O322" i="52"/>
  <c r="P322" i="52"/>
  <c r="Q322" i="52"/>
  <c r="R322" i="52"/>
  <c r="S322" i="52"/>
  <c r="T322" i="52"/>
  <c r="U322" i="52"/>
  <c r="V322" i="52"/>
  <c r="W322" i="52"/>
  <c r="X322" i="52"/>
  <c r="Y322" i="52"/>
  <c r="Z322" i="52"/>
  <c r="F323" i="52"/>
  <c r="G323" i="52"/>
  <c r="H323" i="52"/>
  <c r="I323" i="52"/>
  <c r="J323" i="52"/>
  <c r="K323" i="52"/>
  <c r="L323" i="52"/>
  <c r="M323" i="52"/>
  <c r="N323" i="52"/>
  <c r="O323" i="52"/>
  <c r="P323" i="52"/>
  <c r="Q323" i="52"/>
  <c r="R323" i="52"/>
  <c r="S323" i="52"/>
  <c r="T323" i="52"/>
  <c r="U323" i="52"/>
  <c r="V323" i="52"/>
  <c r="W323" i="52"/>
  <c r="X323" i="52"/>
  <c r="Y323" i="52"/>
  <c r="Z323" i="52"/>
  <c r="F324" i="52"/>
  <c r="G324" i="52"/>
  <c r="H324" i="52"/>
  <c r="I324" i="52"/>
  <c r="J324" i="52"/>
  <c r="K324" i="52"/>
  <c r="L324" i="52"/>
  <c r="M324" i="52"/>
  <c r="N324" i="52"/>
  <c r="O324" i="52"/>
  <c r="P324" i="52"/>
  <c r="Q324" i="52"/>
  <c r="R324" i="52"/>
  <c r="S324" i="52"/>
  <c r="T324" i="52"/>
  <c r="U324" i="52"/>
  <c r="V324" i="52"/>
  <c r="W324" i="52"/>
  <c r="X324" i="52"/>
  <c r="Y324" i="52"/>
  <c r="Z324" i="52"/>
  <c r="N327" i="52"/>
  <c r="N328" i="52"/>
  <c r="N329" i="52"/>
  <c r="D335" i="52"/>
  <c r="F335" i="52"/>
  <c r="G335" i="52"/>
  <c r="H335" i="52"/>
  <c r="D338" i="52"/>
  <c r="F338" i="52"/>
  <c r="G338" i="52"/>
  <c r="H338" i="52"/>
  <c r="I338" i="52"/>
  <c r="J338" i="52"/>
  <c r="D339" i="52"/>
  <c r="F339" i="52"/>
  <c r="G339" i="52"/>
  <c r="H339" i="52"/>
  <c r="I339" i="52"/>
  <c r="J339" i="52"/>
  <c r="D342" i="52"/>
  <c r="F342" i="52"/>
  <c r="G342" i="52"/>
  <c r="H342" i="52"/>
  <c r="I342" i="52"/>
  <c r="J342" i="52"/>
  <c r="K342" i="52"/>
  <c r="L342" i="52"/>
  <c r="M342" i="52"/>
  <c r="N342" i="52"/>
  <c r="O342" i="52"/>
  <c r="P342" i="52"/>
  <c r="Q342" i="52"/>
  <c r="R342" i="52"/>
  <c r="S342" i="52"/>
  <c r="T342" i="52"/>
  <c r="U342" i="52"/>
  <c r="V342" i="52"/>
  <c r="W342" i="52"/>
  <c r="X342" i="52"/>
  <c r="Y342" i="52"/>
  <c r="Z342" i="52"/>
  <c r="D343" i="52"/>
  <c r="F343" i="52"/>
  <c r="G343" i="52"/>
  <c r="H343" i="52"/>
  <c r="I343" i="52"/>
  <c r="J343" i="52"/>
  <c r="K343" i="52"/>
  <c r="L343" i="52"/>
  <c r="M343" i="52"/>
  <c r="N343" i="52"/>
  <c r="O343" i="52"/>
  <c r="P343" i="52"/>
  <c r="Q343" i="52"/>
  <c r="R343" i="52"/>
  <c r="S343" i="52"/>
  <c r="T343" i="52"/>
  <c r="U343" i="52"/>
  <c r="V343" i="52"/>
  <c r="W343" i="52"/>
  <c r="X343" i="52"/>
  <c r="Y343" i="52"/>
  <c r="Z343" i="52"/>
  <c r="D344" i="52"/>
  <c r="F344" i="52"/>
  <c r="G344" i="52"/>
  <c r="H344" i="52"/>
  <c r="I344" i="52"/>
  <c r="J344" i="52"/>
  <c r="K344" i="52"/>
  <c r="L344" i="52"/>
  <c r="M344" i="52"/>
  <c r="N344" i="52"/>
  <c r="O344" i="52"/>
  <c r="P344" i="52"/>
  <c r="Q344" i="52"/>
  <c r="R344" i="52"/>
  <c r="S344" i="52"/>
  <c r="T344" i="52"/>
  <c r="U344" i="52"/>
  <c r="V344" i="52"/>
  <c r="W344" i="52"/>
  <c r="X344" i="52"/>
  <c r="Y344" i="52"/>
  <c r="Z344" i="52"/>
  <c r="D345" i="52"/>
  <c r="F345" i="52"/>
  <c r="G345" i="52"/>
  <c r="H345" i="52"/>
  <c r="I345" i="52"/>
  <c r="J345" i="52"/>
  <c r="K345" i="52"/>
  <c r="L345" i="52"/>
  <c r="M345" i="52"/>
  <c r="N345" i="52"/>
  <c r="O345" i="52"/>
  <c r="P345" i="52"/>
  <c r="Q345" i="52"/>
  <c r="R345" i="52"/>
  <c r="S345" i="52"/>
  <c r="T345" i="52"/>
  <c r="U345" i="52"/>
  <c r="V345" i="52"/>
  <c r="W345" i="52"/>
  <c r="X345" i="52"/>
  <c r="Y345" i="52"/>
  <c r="Z345" i="52"/>
  <c r="D346" i="52"/>
  <c r="F346" i="52"/>
  <c r="G346" i="52"/>
  <c r="H346" i="52"/>
  <c r="I346" i="52"/>
  <c r="J346" i="52"/>
  <c r="K346" i="52"/>
  <c r="L346" i="52"/>
  <c r="M346" i="52"/>
  <c r="N346" i="52"/>
  <c r="O346" i="52"/>
  <c r="P346" i="52"/>
  <c r="Q346" i="52"/>
  <c r="R346" i="52"/>
  <c r="S346" i="52"/>
  <c r="T346" i="52"/>
  <c r="U346" i="52"/>
  <c r="V346" i="52"/>
  <c r="W346" i="52"/>
  <c r="X346" i="52"/>
  <c r="Y346" i="52"/>
  <c r="Z346" i="52"/>
  <c r="D348" i="52"/>
  <c r="F348" i="52"/>
  <c r="G348" i="52"/>
  <c r="H348" i="52"/>
  <c r="I348" i="52"/>
  <c r="J348" i="52"/>
  <c r="K348" i="52"/>
  <c r="L348" i="52"/>
  <c r="M348" i="52"/>
  <c r="N348" i="52"/>
  <c r="O348" i="52"/>
  <c r="P348" i="52"/>
  <c r="Q348" i="52"/>
  <c r="R348" i="52"/>
  <c r="S348" i="52"/>
  <c r="T348" i="52"/>
  <c r="U348" i="52"/>
  <c r="V348" i="52"/>
  <c r="W348" i="52"/>
  <c r="X348" i="52"/>
  <c r="Y348" i="52"/>
  <c r="Z348" i="52"/>
  <c r="D349" i="52"/>
  <c r="F349" i="52"/>
  <c r="G349" i="52"/>
  <c r="H349" i="52"/>
  <c r="I349" i="52"/>
  <c r="J349" i="52"/>
  <c r="K349" i="52"/>
  <c r="L349" i="52"/>
  <c r="M349" i="52"/>
  <c r="N349" i="52"/>
  <c r="O349" i="52"/>
  <c r="P349" i="52"/>
  <c r="Q349" i="52"/>
  <c r="R349" i="52"/>
  <c r="S349" i="52"/>
  <c r="T349" i="52"/>
  <c r="U349" i="52"/>
  <c r="V349" i="52"/>
  <c r="W349" i="52"/>
  <c r="X349" i="52"/>
  <c r="Y349" i="52"/>
  <c r="Z349" i="52"/>
  <c r="D352" i="52"/>
  <c r="F352" i="52"/>
  <c r="G352" i="52"/>
  <c r="H352" i="52"/>
  <c r="I352" i="52"/>
  <c r="J352" i="52"/>
  <c r="K352" i="52"/>
  <c r="L352" i="52"/>
  <c r="M352" i="52"/>
  <c r="N352" i="52"/>
  <c r="O352" i="52"/>
  <c r="P352" i="52"/>
  <c r="Q352" i="52"/>
  <c r="R352" i="52"/>
  <c r="S352" i="52"/>
  <c r="T352" i="52"/>
  <c r="U352" i="52"/>
  <c r="V352" i="52"/>
  <c r="W352" i="52"/>
  <c r="X352" i="52"/>
  <c r="Y352" i="52"/>
  <c r="Z352" i="52"/>
  <c r="D353" i="52"/>
  <c r="F353" i="52"/>
  <c r="G353" i="52"/>
  <c r="H353" i="52"/>
  <c r="I353" i="52"/>
  <c r="J353" i="52"/>
  <c r="K353" i="52"/>
  <c r="L353" i="52"/>
  <c r="M353" i="52"/>
  <c r="N353" i="52"/>
  <c r="D354" i="52"/>
  <c r="F354" i="52"/>
  <c r="G354" i="52"/>
  <c r="H354" i="52"/>
  <c r="I354" i="52"/>
  <c r="J354" i="52"/>
  <c r="K354" i="52"/>
  <c r="L354" i="52"/>
  <c r="M354" i="52"/>
  <c r="N354" i="52"/>
  <c r="O354" i="52"/>
  <c r="P354" i="52"/>
  <c r="Q354" i="52"/>
  <c r="R354" i="52"/>
  <c r="S354" i="52"/>
  <c r="T354" i="52"/>
  <c r="U354" i="52"/>
  <c r="V354" i="52"/>
  <c r="W354" i="52"/>
  <c r="X354" i="52"/>
  <c r="Y354" i="52"/>
  <c r="Z354" i="52"/>
  <c r="C356" i="52"/>
  <c r="C357" i="52"/>
  <c r="C358" i="52"/>
  <c r="F363" i="52"/>
  <c r="G363" i="52"/>
  <c r="H363" i="52"/>
  <c r="I363" i="52"/>
  <c r="J363" i="52"/>
  <c r="K363" i="52"/>
  <c r="L363" i="52"/>
  <c r="M363" i="52"/>
  <c r="N363" i="52"/>
  <c r="O363" i="52"/>
  <c r="P363" i="52"/>
  <c r="Q363" i="52"/>
  <c r="R363" i="52"/>
  <c r="S363" i="52"/>
  <c r="T363" i="52"/>
  <c r="U363" i="52"/>
  <c r="V363" i="52"/>
  <c r="W363" i="52"/>
  <c r="X363" i="52"/>
  <c r="Y363" i="52"/>
  <c r="Z363" i="52"/>
  <c r="F366" i="52"/>
  <c r="G366" i="52"/>
  <c r="H366" i="52"/>
  <c r="I366" i="52"/>
  <c r="J366" i="52"/>
  <c r="K366" i="52"/>
  <c r="L366" i="52"/>
  <c r="M366" i="52"/>
  <c r="N366" i="52"/>
  <c r="F367" i="52"/>
  <c r="G367" i="52"/>
  <c r="H367" i="52"/>
  <c r="I367" i="52"/>
  <c r="J367" i="52"/>
  <c r="K367" i="52"/>
  <c r="L367" i="52"/>
  <c r="M367" i="52"/>
  <c r="N367" i="52"/>
  <c r="N368" i="52"/>
  <c r="N369" i="52"/>
  <c r="D370" i="52"/>
  <c r="F370" i="52"/>
  <c r="G370" i="52"/>
  <c r="H370" i="52"/>
  <c r="I370" i="52"/>
  <c r="J370" i="52"/>
  <c r="K370" i="52"/>
  <c r="L370" i="52"/>
  <c r="M370" i="52"/>
  <c r="N370" i="52"/>
  <c r="O370" i="52"/>
  <c r="P370" i="52"/>
  <c r="Q370" i="52"/>
  <c r="R370" i="52"/>
  <c r="S370" i="52"/>
  <c r="T370" i="52"/>
  <c r="U370" i="52"/>
  <c r="V370" i="52"/>
  <c r="W370" i="52"/>
  <c r="X370" i="52"/>
  <c r="Y370" i="52"/>
  <c r="Z370" i="52"/>
  <c r="D372" i="52"/>
  <c r="F375" i="52"/>
  <c r="G375" i="52"/>
  <c r="H375" i="52"/>
  <c r="I375" i="52"/>
  <c r="J375" i="52"/>
  <c r="K375" i="52"/>
  <c r="L375" i="52"/>
  <c r="M375" i="52"/>
  <c r="N375" i="52"/>
  <c r="O375" i="52"/>
  <c r="P375" i="52"/>
  <c r="Q375" i="52"/>
  <c r="R375" i="52"/>
  <c r="S375" i="52"/>
  <c r="T375" i="52"/>
  <c r="U375" i="52"/>
  <c r="V375" i="52"/>
  <c r="W375" i="52"/>
  <c r="X375" i="52"/>
  <c r="Y375" i="52"/>
  <c r="Z375" i="52"/>
  <c r="F376" i="52"/>
  <c r="G376" i="52"/>
  <c r="H376" i="52"/>
  <c r="I376" i="52"/>
  <c r="J376" i="52"/>
  <c r="K376" i="52"/>
  <c r="L376" i="52"/>
  <c r="M376" i="52"/>
  <c r="N376" i="52"/>
  <c r="O376" i="52"/>
  <c r="P376" i="52"/>
  <c r="Q376" i="52"/>
  <c r="R376" i="52"/>
  <c r="S376" i="52"/>
  <c r="T376" i="52"/>
  <c r="U376" i="52"/>
  <c r="V376" i="52"/>
  <c r="W376" i="52"/>
  <c r="X376" i="52"/>
  <c r="Y376" i="52"/>
  <c r="Z376" i="52"/>
  <c r="J377" i="52"/>
  <c r="J378" i="52"/>
  <c r="F379" i="52"/>
  <c r="G379" i="52"/>
  <c r="H379" i="52"/>
  <c r="I379" i="52"/>
  <c r="J379" i="52"/>
  <c r="K379" i="52"/>
  <c r="L379" i="52"/>
  <c r="M379" i="52"/>
  <c r="N379" i="52"/>
  <c r="F380" i="52"/>
  <c r="G380" i="52"/>
  <c r="H380" i="52"/>
  <c r="I380" i="52"/>
  <c r="J380" i="52"/>
  <c r="K380" i="52"/>
  <c r="L380" i="52"/>
  <c r="M380" i="52"/>
  <c r="N380" i="52"/>
  <c r="N381" i="52"/>
  <c r="N382" i="52"/>
  <c r="D383" i="52"/>
  <c r="F383" i="52"/>
  <c r="G383" i="52"/>
  <c r="H383" i="52"/>
  <c r="I383" i="52"/>
  <c r="J383" i="52"/>
  <c r="K383" i="52"/>
  <c r="L383" i="52"/>
  <c r="M383" i="52"/>
  <c r="N383" i="52"/>
  <c r="O383" i="52"/>
  <c r="P383" i="52"/>
  <c r="Q383" i="52"/>
  <c r="R383" i="52"/>
  <c r="S383" i="52"/>
  <c r="T383" i="52"/>
  <c r="U383" i="52"/>
  <c r="V383" i="52"/>
  <c r="W383" i="52"/>
  <c r="X383" i="52"/>
  <c r="Y383" i="52"/>
  <c r="Z383" i="52"/>
  <c r="D385" i="52"/>
  <c r="D386" i="52"/>
  <c r="K388" i="52"/>
  <c r="L388" i="52"/>
  <c r="M388" i="52"/>
  <c r="N388" i="52"/>
  <c r="D391" i="52"/>
  <c r="G391" i="52"/>
  <c r="H391" i="52"/>
  <c r="I391" i="52"/>
  <c r="J391" i="52"/>
  <c r="K391" i="52"/>
  <c r="L391" i="52"/>
  <c r="M391" i="52"/>
  <c r="N391" i="52"/>
  <c r="O391" i="52"/>
  <c r="P391" i="52"/>
  <c r="Q391" i="52"/>
  <c r="R391" i="52"/>
  <c r="S391" i="52"/>
  <c r="T391" i="52"/>
  <c r="U391" i="52"/>
  <c r="V391" i="52"/>
  <c r="W391" i="52"/>
  <c r="X391" i="52"/>
  <c r="Y391" i="52"/>
  <c r="Z391" i="52"/>
  <c r="D392" i="52"/>
  <c r="F392" i="52"/>
  <c r="G392" i="52"/>
  <c r="H392" i="52"/>
  <c r="I392" i="52"/>
  <c r="J392" i="52"/>
  <c r="K392" i="52"/>
  <c r="L392" i="52"/>
  <c r="M392" i="52"/>
  <c r="N392" i="52"/>
  <c r="O392" i="52"/>
  <c r="P392" i="52"/>
  <c r="Q392" i="52"/>
  <c r="R392" i="52"/>
  <c r="S392" i="52"/>
  <c r="T392" i="52"/>
  <c r="U392" i="52"/>
  <c r="V392" i="52"/>
  <c r="W392" i="52"/>
  <c r="X392" i="52"/>
  <c r="Y392" i="52"/>
  <c r="Z392" i="52"/>
  <c r="D393" i="52"/>
  <c r="F393" i="52"/>
  <c r="G393" i="52"/>
  <c r="H393" i="52"/>
  <c r="I393" i="52"/>
  <c r="J393" i="52"/>
  <c r="K393" i="52"/>
  <c r="L393" i="52"/>
  <c r="M393" i="52"/>
  <c r="N393" i="52"/>
  <c r="D394" i="52"/>
  <c r="J394" i="52"/>
  <c r="K394" i="52"/>
  <c r="L394" i="52"/>
  <c r="M394" i="52"/>
  <c r="N394" i="52"/>
  <c r="D395" i="52"/>
  <c r="F395" i="52"/>
  <c r="G395" i="52"/>
  <c r="H395" i="52"/>
  <c r="I395" i="52"/>
  <c r="J395" i="52"/>
  <c r="K395" i="52"/>
  <c r="L395" i="52"/>
  <c r="M395" i="52"/>
  <c r="N395" i="52"/>
  <c r="D396" i="52"/>
  <c r="N396" i="52"/>
  <c r="D397" i="52"/>
  <c r="N397" i="52"/>
  <c r="D398" i="52"/>
  <c r="F398" i="52"/>
  <c r="G398" i="52"/>
  <c r="H398" i="52"/>
  <c r="I398" i="52"/>
  <c r="J398" i="52"/>
  <c r="K398" i="52"/>
  <c r="L398" i="52"/>
  <c r="M398" i="52"/>
  <c r="N398" i="52"/>
  <c r="O398" i="52"/>
  <c r="P398" i="52"/>
  <c r="Q398" i="52"/>
  <c r="R398" i="52"/>
  <c r="S398" i="52"/>
  <c r="T398" i="52"/>
  <c r="U398" i="52"/>
  <c r="V398" i="52"/>
  <c r="W398" i="52"/>
  <c r="X398" i="52"/>
  <c r="Y398" i="52"/>
  <c r="Z398" i="52"/>
  <c r="F403" i="52"/>
  <c r="G403" i="52"/>
  <c r="H403" i="52"/>
  <c r="I403" i="52"/>
  <c r="J403" i="52"/>
  <c r="K403" i="52"/>
  <c r="L403" i="52"/>
  <c r="M403" i="52"/>
  <c r="N403" i="52"/>
  <c r="O403" i="52"/>
  <c r="P403" i="52"/>
  <c r="Q403" i="52"/>
  <c r="R403" i="52"/>
  <c r="S403" i="52"/>
  <c r="T403" i="52"/>
  <c r="U403" i="52"/>
  <c r="V403" i="52"/>
  <c r="W403" i="52"/>
  <c r="X403" i="52"/>
  <c r="Y403" i="52"/>
  <c r="Z403" i="52"/>
  <c r="F406" i="52"/>
  <c r="G406" i="52"/>
  <c r="H406" i="52"/>
  <c r="I406" i="52"/>
  <c r="J406" i="52"/>
  <c r="K406" i="52"/>
  <c r="L406" i="52"/>
  <c r="M406" i="52"/>
  <c r="N406" i="52"/>
  <c r="F407" i="52"/>
  <c r="G407" i="52"/>
  <c r="H407" i="52"/>
  <c r="I407" i="52"/>
  <c r="J407" i="52"/>
  <c r="K407" i="52"/>
  <c r="L407" i="52"/>
  <c r="M407" i="52"/>
  <c r="N407" i="52"/>
  <c r="I408" i="52"/>
  <c r="N408" i="52"/>
  <c r="N409" i="52"/>
  <c r="D410" i="52"/>
  <c r="F410" i="52"/>
  <c r="G410" i="52"/>
  <c r="H410" i="52"/>
  <c r="I410" i="52"/>
  <c r="J410" i="52"/>
  <c r="K410" i="52"/>
  <c r="L410" i="52"/>
  <c r="M410" i="52"/>
  <c r="N410" i="52"/>
  <c r="O410" i="52"/>
  <c r="P410" i="52"/>
  <c r="Q410" i="52"/>
  <c r="R410" i="52"/>
  <c r="S410" i="52"/>
  <c r="T410" i="52"/>
  <c r="U410" i="52"/>
  <c r="V410" i="52"/>
  <c r="W410" i="52"/>
  <c r="X410" i="52"/>
  <c r="Y410" i="52"/>
  <c r="Z410" i="52"/>
  <c r="F412" i="52"/>
  <c r="F415" i="52"/>
  <c r="G415" i="52"/>
  <c r="H415" i="52"/>
  <c r="I415" i="52"/>
  <c r="J415" i="52"/>
  <c r="K415" i="52"/>
  <c r="L415" i="52"/>
  <c r="M415" i="52"/>
  <c r="N415" i="52"/>
  <c r="O415" i="52"/>
  <c r="P415" i="52"/>
  <c r="Q415" i="52"/>
  <c r="R415" i="52"/>
  <c r="S415" i="52"/>
  <c r="T415" i="52"/>
  <c r="U415" i="52"/>
  <c r="V415" i="52"/>
  <c r="W415" i="52"/>
  <c r="X415" i="52"/>
  <c r="Y415" i="52"/>
  <c r="Z415" i="52"/>
  <c r="F416" i="52"/>
  <c r="G416" i="52"/>
  <c r="H416" i="52"/>
  <c r="I416" i="52"/>
  <c r="J416" i="52"/>
  <c r="K416" i="52"/>
  <c r="L416" i="52"/>
  <c r="M416" i="52"/>
  <c r="N416" i="52"/>
  <c r="O416" i="52"/>
  <c r="P416" i="52"/>
  <c r="Q416" i="52"/>
  <c r="R416" i="52"/>
  <c r="S416" i="52"/>
  <c r="T416" i="52"/>
  <c r="U416" i="52"/>
  <c r="V416" i="52"/>
  <c r="W416" i="52"/>
  <c r="X416" i="52"/>
  <c r="Y416" i="52"/>
  <c r="Z416" i="52"/>
  <c r="J417" i="52"/>
  <c r="J418" i="52"/>
  <c r="F419" i="52"/>
  <c r="G419" i="52"/>
  <c r="H419" i="52"/>
  <c r="I419" i="52"/>
  <c r="J419" i="52"/>
  <c r="K419" i="52"/>
  <c r="L419" i="52"/>
  <c r="M419" i="52"/>
  <c r="N419" i="52"/>
  <c r="F420" i="52"/>
  <c r="G420" i="52"/>
  <c r="H420" i="52"/>
  <c r="I420" i="52"/>
  <c r="J420" i="52"/>
  <c r="K420" i="52"/>
  <c r="L420" i="52"/>
  <c r="M420" i="52"/>
  <c r="N420" i="52"/>
  <c r="I421" i="52"/>
  <c r="N421" i="52"/>
  <c r="N422" i="52"/>
  <c r="D423" i="52"/>
  <c r="F423" i="52"/>
  <c r="G423" i="52"/>
  <c r="H423" i="52"/>
  <c r="I423" i="52"/>
  <c r="J423" i="52"/>
  <c r="K423" i="52"/>
  <c r="L423" i="52"/>
  <c r="M423" i="52"/>
  <c r="N423" i="52"/>
  <c r="O423" i="52"/>
  <c r="P423" i="52"/>
  <c r="Q423" i="52"/>
  <c r="R423" i="52"/>
  <c r="S423" i="52"/>
  <c r="T423" i="52"/>
  <c r="U423" i="52"/>
  <c r="V423" i="52"/>
  <c r="W423" i="52"/>
  <c r="X423" i="52"/>
  <c r="Y423" i="52"/>
  <c r="Z423" i="52"/>
  <c r="F425" i="52"/>
  <c r="F426" i="52"/>
  <c r="K428" i="52"/>
  <c r="L428" i="52"/>
  <c r="M428" i="52"/>
  <c r="N428" i="52"/>
  <c r="D431" i="52"/>
  <c r="G431" i="52"/>
  <c r="H431" i="52"/>
  <c r="I431" i="52"/>
  <c r="J431" i="52"/>
  <c r="K431" i="52"/>
  <c r="L431" i="52"/>
  <c r="M431" i="52"/>
  <c r="N431" i="52"/>
  <c r="O431" i="52"/>
  <c r="P431" i="52"/>
  <c r="Q431" i="52"/>
  <c r="R431" i="52"/>
  <c r="S431" i="52"/>
  <c r="T431" i="52"/>
  <c r="U431" i="52"/>
  <c r="V431" i="52"/>
  <c r="W431" i="52"/>
  <c r="X431" i="52"/>
  <c r="Y431" i="52"/>
  <c r="Z431" i="52"/>
  <c r="D432" i="52"/>
  <c r="F432" i="52"/>
  <c r="G432" i="52"/>
  <c r="H432" i="52"/>
  <c r="I432" i="52"/>
  <c r="J432" i="52"/>
  <c r="K432" i="52"/>
  <c r="L432" i="52"/>
  <c r="M432" i="52"/>
  <c r="N432" i="52"/>
  <c r="O432" i="52"/>
  <c r="P432" i="52"/>
  <c r="Q432" i="52"/>
  <c r="R432" i="52"/>
  <c r="S432" i="52"/>
  <c r="T432" i="52"/>
  <c r="U432" i="52"/>
  <c r="V432" i="52"/>
  <c r="W432" i="52"/>
  <c r="X432" i="52"/>
  <c r="Y432" i="52"/>
  <c r="Z432" i="52"/>
  <c r="D433" i="52"/>
  <c r="F433" i="52"/>
  <c r="G433" i="52"/>
  <c r="H433" i="52"/>
  <c r="I433" i="52"/>
  <c r="J433" i="52"/>
  <c r="K433" i="52"/>
  <c r="L433" i="52"/>
  <c r="M433" i="52"/>
  <c r="N433" i="52"/>
  <c r="D434" i="52"/>
  <c r="J434" i="52"/>
  <c r="K434" i="52"/>
  <c r="L434" i="52"/>
  <c r="M434" i="52"/>
  <c r="N434" i="52"/>
  <c r="D435" i="52"/>
  <c r="F435" i="52"/>
  <c r="G435" i="52"/>
  <c r="H435" i="52"/>
  <c r="I435" i="52"/>
  <c r="J435" i="52"/>
  <c r="K435" i="52"/>
  <c r="L435" i="52"/>
  <c r="M435" i="52"/>
  <c r="N435" i="52"/>
  <c r="D436" i="52"/>
  <c r="I436" i="52"/>
  <c r="N436" i="52"/>
  <c r="D437" i="52"/>
  <c r="N437" i="52"/>
  <c r="D438" i="52"/>
  <c r="F438" i="52"/>
  <c r="G438" i="52"/>
  <c r="H438" i="52"/>
  <c r="I438" i="52"/>
  <c r="J438" i="52"/>
  <c r="K438" i="52"/>
  <c r="L438" i="52"/>
  <c r="M438" i="52"/>
  <c r="N438" i="52"/>
  <c r="O438" i="52"/>
  <c r="P438" i="52"/>
  <c r="Q438" i="52"/>
  <c r="R438" i="52"/>
  <c r="S438" i="52"/>
  <c r="T438" i="52"/>
  <c r="U438" i="52"/>
  <c r="V438" i="52"/>
  <c r="W438" i="52"/>
  <c r="X438" i="52"/>
  <c r="Y438" i="52"/>
  <c r="Z438" i="52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F46" i="41"/>
  <c r="G46" i="41"/>
  <c r="H46" i="41"/>
  <c r="I46" i="41"/>
  <c r="J46" i="41"/>
  <c r="K46" i="41"/>
  <c r="L46" i="41"/>
  <c r="M46" i="41"/>
  <c r="N46" i="41"/>
  <c r="O46" i="41"/>
  <c r="P46" i="41"/>
  <c r="Q46" i="41"/>
  <c r="R46" i="41"/>
  <c r="S46" i="41"/>
  <c r="T46" i="41"/>
  <c r="U46" i="41"/>
  <c r="V46" i="41"/>
  <c r="W46" i="41"/>
  <c r="X46" i="41"/>
  <c r="Y46" i="41"/>
  <c r="Z46" i="41"/>
  <c r="F47" i="41"/>
  <c r="G47" i="41"/>
  <c r="H47" i="41"/>
  <c r="I47" i="41"/>
  <c r="J47" i="41"/>
  <c r="K47" i="41"/>
  <c r="L47" i="41"/>
  <c r="M47" i="41"/>
  <c r="N47" i="41"/>
  <c r="O47" i="41"/>
  <c r="P47" i="41"/>
  <c r="Q47" i="41"/>
  <c r="R47" i="41"/>
  <c r="S47" i="41"/>
  <c r="T47" i="41"/>
  <c r="U47" i="41"/>
  <c r="V47" i="41"/>
  <c r="W47" i="41"/>
  <c r="X47" i="41"/>
  <c r="Y47" i="41"/>
  <c r="Z47" i="41"/>
  <c r="F49" i="41"/>
  <c r="G49" i="41"/>
  <c r="H49" i="41"/>
  <c r="I49" i="41"/>
  <c r="J49" i="41"/>
  <c r="K49" i="41"/>
  <c r="L49" i="41"/>
  <c r="M49" i="41"/>
  <c r="N49" i="41"/>
  <c r="O49" i="41"/>
  <c r="P49" i="41"/>
  <c r="Q49" i="41"/>
  <c r="R49" i="41"/>
  <c r="S49" i="41"/>
  <c r="T49" i="41"/>
  <c r="U49" i="41"/>
  <c r="V49" i="41"/>
  <c r="W49" i="41"/>
  <c r="X49" i="41"/>
  <c r="Y49" i="41"/>
  <c r="Z49" i="41"/>
  <c r="F50" i="41"/>
  <c r="G50" i="41"/>
  <c r="H50" i="41"/>
  <c r="I50" i="41"/>
  <c r="J50" i="41"/>
  <c r="K50" i="41"/>
  <c r="L50" i="41"/>
  <c r="M50" i="41"/>
  <c r="N50" i="41"/>
  <c r="O50" i="41"/>
  <c r="P50" i="41"/>
  <c r="Q50" i="41"/>
  <c r="R50" i="41"/>
  <c r="S50" i="41"/>
  <c r="T50" i="41"/>
  <c r="U50" i="41"/>
  <c r="V50" i="41"/>
  <c r="W50" i="41"/>
  <c r="X50" i="41"/>
  <c r="Y50" i="41"/>
  <c r="Z50" i="41"/>
  <c r="F51" i="41"/>
  <c r="G51" i="41"/>
  <c r="H51" i="41"/>
  <c r="I51" i="41"/>
  <c r="J51" i="41"/>
  <c r="K51" i="41"/>
  <c r="L51" i="41"/>
  <c r="M51" i="41"/>
  <c r="N51" i="41"/>
  <c r="O51" i="41"/>
  <c r="P51" i="41"/>
  <c r="Q51" i="41"/>
  <c r="R51" i="41"/>
  <c r="S51" i="41"/>
  <c r="T51" i="41"/>
  <c r="U51" i="41"/>
  <c r="V51" i="41"/>
  <c r="W51" i="41"/>
  <c r="X51" i="41"/>
  <c r="Y51" i="41"/>
  <c r="Z51" i="41"/>
  <c r="F63" i="41"/>
  <c r="G63" i="41"/>
  <c r="H63" i="41"/>
  <c r="I63" i="41"/>
  <c r="J63" i="41"/>
  <c r="K63" i="41"/>
  <c r="L63" i="41"/>
  <c r="M63" i="41"/>
  <c r="N63" i="41"/>
  <c r="O63" i="41"/>
  <c r="P63" i="41"/>
  <c r="Q63" i="41"/>
  <c r="R63" i="41"/>
  <c r="S63" i="41"/>
  <c r="T63" i="41"/>
  <c r="U63" i="41"/>
  <c r="V63" i="41"/>
  <c r="W63" i="41"/>
  <c r="X63" i="41"/>
  <c r="Y63" i="41"/>
  <c r="Z63" i="41"/>
  <c r="F64" i="41"/>
  <c r="G64" i="41"/>
  <c r="H64" i="41"/>
  <c r="I64" i="41"/>
  <c r="J64" i="41"/>
  <c r="K64" i="41"/>
  <c r="L64" i="41"/>
  <c r="M64" i="41"/>
  <c r="N64" i="41"/>
  <c r="O64" i="41"/>
  <c r="P64" i="41"/>
  <c r="Q64" i="41"/>
  <c r="R64" i="41"/>
  <c r="S64" i="41"/>
  <c r="T64" i="41"/>
  <c r="U64" i="41"/>
  <c r="V64" i="41"/>
  <c r="W64" i="41"/>
  <c r="X64" i="41"/>
  <c r="Y64" i="41"/>
  <c r="Z64" i="41"/>
  <c r="F67" i="41"/>
  <c r="G67" i="41"/>
  <c r="H67" i="41"/>
  <c r="I67" i="41"/>
  <c r="J67" i="41"/>
  <c r="K67" i="41"/>
  <c r="L67" i="41"/>
  <c r="M67" i="41"/>
  <c r="N67" i="41"/>
  <c r="O67" i="41"/>
  <c r="P67" i="41"/>
  <c r="Q67" i="41"/>
  <c r="R67" i="41"/>
  <c r="S67" i="41"/>
  <c r="T67" i="41"/>
  <c r="U67" i="41"/>
  <c r="V67" i="41"/>
  <c r="W67" i="41"/>
  <c r="X67" i="41"/>
  <c r="Y67" i="41"/>
  <c r="Z67" i="41"/>
  <c r="F68" i="41"/>
  <c r="G68" i="41"/>
  <c r="H68" i="41"/>
  <c r="I68" i="41"/>
  <c r="J68" i="41"/>
  <c r="K68" i="41"/>
  <c r="L68" i="41"/>
  <c r="M68" i="41"/>
  <c r="N68" i="41"/>
  <c r="O68" i="41"/>
  <c r="P68" i="41"/>
  <c r="Q68" i="41"/>
  <c r="R68" i="41"/>
  <c r="S68" i="41"/>
  <c r="T68" i="41"/>
  <c r="U68" i="41"/>
  <c r="V68" i="41"/>
  <c r="W68" i="41"/>
  <c r="X68" i="41"/>
  <c r="Y68" i="41"/>
  <c r="Z68" i="41"/>
  <c r="F70" i="41"/>
  <c r="G70" i="41"/>
  <c r="H70" i="41"/>
  <c r="I70" i="41"/>
  <c r="J70" i="41"/>
  <c r="K70" i="41"/>
  <c r="L70" i="41"/>
  <c r="M70" i="41"/>
  <c r="N70" i="41"/>
  <c r="O70" i="41"/>
  <c r="P70" i="41"/>
  <c r="Q70" i="41"/>
  <c r="R70" i="41"/>
  <c r="S70" i="41"/>
  <c r="T70" i="41"/>
  <c r="U70" i="41"/>
  <c r="V70" i="41"/>
  <c r="W70" i="41"/>
  <c r="X70" i="41"/>
  <c r="Y70" i="41"/>
  <c r="Z70" i="41"/>
  <c r="F71" i="41"/>
  <c r="G71" i="41"/>
  <c r="H71" i="41"/>
  <c r="I71" i="41"/>
  <c r="J71" i="41"/>
  <c r="K71" i="41"/>
  <c r="L71" i="41"/>
  <c r="M71" i="41"/>
  <c r="N71" i="41"/>
  <c r="O71" i="41"/>
  <c r="P71" i="41"/>
  <c r="Q71" i="41"/>
  <c r="R71" i="41"/>
  <c r="S71" i="41"/>
  <c r="T71" i="41"/>
  <c r="U71" i="41"/>
  <c r="V71" i="41"/>
  <c r="W71" i="41"/>
  <c r="X71" i="41"/>
  <c r="Y71" i="41"/>
  <c r="Z71" i="41"/>
  <c r="F72" i="41"/>
  <c r="G72" i="41"/>
  <c r="H72" i="41"/>
  <c r="I72" i="41"/>
  <c r="J72" i="41"/>
  <c r="K72" i="41"/>
  <c r="L72" i="41"/>
  <c r="M72" i="41"/>
  <c r="N72" i="41"/>
  <c r="O72" i="41"/>
  <c r="P72" i="41"/>
  <c r="Q72" i="41"/>
  <c r="R72" i="41"/>
  <c r="S72" i="41"/>
  <c r="T72" i="41"/>
  <c r="U72" i="41"/>
  <c r="V72" i="41"/>
  <c r="W72" i="41"/>
  <c r="X72" i="41"/>
  <c r="Y72" i="41"/>
  <c r="Z72" i="41"/>
  <c r="F84" i="41"/>
  <c r="G84" i="41"/>
  <c r="H84" i="41"/>
  <c r="I84" i="41"/>
  <c r="J84" i="41"/>
  <c r="K84" i="41"/>
  <c r="L84" i="41"/>
  <c r="M84" i="41"/>
  <c r="N84" i="41"/>
  <c r="O84" i="41"/>
  <c r="P84" i="41"/>
  <c r="Q84" i="41"/>
  <c r="R84" i="41"/>
  <c r="S84" i="41"/>
  <c r="T84" i="41"/>
  <c r="U84" i="41"/>
  <c r="V84" i="41"/>
  <c r="W84" i="41"/>
  <c r="X84" i="41"/>
  <c r="Y84" i="41"/>
  <c r="Z84" i="41"/>
  <c r="F85" i="41"/>
  <c r="G85" i="41"/>
  <c r="H85" i="41"/>
  <c r="I85" i="41"/>
  <c r="J85" i="41"/>
  <c r="K85" i="41"/>
  <c r="L85" i="41"/>
  <c r="M85" i="41"/>
  <c r="N85" i="41"/>
  <c r="O85" i="41"/>
  <c r="P85" i="41"/>
  <c r="Q85" i="41"/>
  <c r="R85" i="41"/>
  <c r="S85" i="41"/>
  <c r="T85" i="41"/>
  <c r="U85" i="41"/>
  <c r="V85" i="41"/>
  <c r="W85" i="41"/>
  <c r="X85" i="41"/>
  <c r="Y85" i="41"/>
  <c r="Z85" i="41"/>
  <c r="F88" i="41"/>
  <c r="G88" i="41"/>
  <c r="H88" i="41"/>
  <c r="I88" i="41"/>
  <c r="J88" i="41"/>
  <c r="K88" i="41"/>
  <c r="L88" i="41"/>
  <c r="M88" i="41"/>
  <c r="N88" i="41"/>
  <c r="O88" i="41"/>
  <c r="P88" i="41"/>
  <c r="Q88" i="41"/>
  <c r="R88" i="41"/>
  <c r="S88" i="41"/>
  <c r="T88" i="41"/>
  <c r="U88" i="41"/>
  <c r="V88" i="41"/>
  <c r="W88" i="41"/>
  <c r="X88" i="41"/>
  <c r="Y88" i="41"/>
  <c r="Z88" i="41"/>
  <c r="F89" i="41"/>
  <c r="G89" i="41"/>
  <c r="H89" i="41"/>
  <c r="I89" i="41"/>
  <c r="J89" i="41"/>
  <c r="K89" i="41"/>
  <c r="L89" i="41"/>
  <c r="M89" i="41"/>
  <c r="N89" i="41"/>
  <c r="O89" i="41"/>
  <c r="P89" i="41"/>
  <c r="Q89" i="41"/>
  <c r="R89" i="41"/>
  <c r="S89" i="41"/>
  <c r="T89" i="41"/>
  <c r="U89" i="41"/>
  <c r="V89" i="41"/>
  <c r="W89" i="41"/>
  <c r="X89" i="41"/>
  <c r="Y89" i="41"/>
  <c r="Z89" i="41"/>
  <c r="F91" i="41"/>
  <c r="G91" i="41"/>
  <c r="H91" i="41"/>
  <c r="I91" i="41"/>
  <c r="J91" i="41"/>
  <c r="K91" i="41"/>
  <c r="L91" i="41"/>
  <c r="M91" i="41"/>
  <c r="N91" i="41"/>
  <c r="O91" i="41"/>
  <c r="P91" i="41"/>
  <c r="Q91" i="41"/>
  <c r="R91" i="41"/>
  <c r="S91" i="41"/>
  <c r="T91" i="41"/>
  <c r="U91" i="41"/>
  <c r="V91" i="41"/>
  <c r="W91" i="41"/>
  <c r="X91" i="41"/>
  <c r="Y91" i="41"/>
  <c r="Z91" i="41"/>
  <c r="F92" i="41"/>
  <c r="G92" i="41"/>
  <c r="H92" i="41"/>
  <c r="I92" i="41"/>
  <c r="J92" i="41"/>
  <c r="K92" i="41"/>
  <c r="L92" i="41"/>
  <c r="M92" i="41"/>
  <c r="N92" i="41"/>
  <c r="O92" i="41"/>
  <c r="P92" i="41"/>
  <c r="Q92" i="41"/>
  <c r="R92" i="41"/>
  <c r="S92" i="41"/>
  <c r="T92" i="41"/>
  <c r="U92" i="41"/>
  <c r="V92" i="41"/>
  <c r="W92" i="41"/>
  <c r="X92" i="41"/>
  <c r="Y92" i="41"/>
  <c r="Z92" i="41"/>
  <c r="F93" i="41"/>
  <c r="G93" i="41"/>
  <c r="H93" i="41"/>
  <c r="I93" i="41"/>
  <c r="J93" i="41"/>
  <c r="K93" i="41"/>
  <c r="L93" i="41"/>
  <c r="M93" i="41"/>
  <c r="N93" i="41"/>
  <c r="O93" i="41"/>
  <c r="P93" i="41"/>
  <c r="Q93" i="41"/>
  <c r="R93" i="41"/>
  <c r="S93" i="41"/>
  <c r="T93" i="41"/>
  <c r="U93" i="41"/>
  <c r="V93" i="41"/>
  <c r="W93" i="41"/>
  <c r="X93" i="41"/>
  <c r="Y93" i="41"/>
  <c r="Z93" i="41"/>
  <c r="F105" i="41"/>
  <c r="G105" i="41"/>
  <c r="H105" i="41"/>
  <c r="I105" i="41"/>
  <c r="J105" i="41"/>
  <c r="K105" i="41"/>
  <c r="L105" i="41"/>
  <c r="M105" i="41"/>
  <c r="N105" i="41"/>
  <c r="O105" i="41"/>
  <c r="P105" i="41"/>
  <c r="Q105" i="41"/>
  <c r="R105" i="41"/>
  <c r="S105" i="41"/>
  <c r="T105" i="41"/>
  <c r="U105" i="41"/>
  <c r="V105" i="41"/>
  <c r="W105" i="41"/>
  <c r="X105" i="41"/>
  <c r="Y105" i="41"/>
  <c r="Z105" i="41"/>
  <c r="F106" i="41"/>
  <c r="G106" i="41"/>
  <c r="H106" i="41"/>
  <c r="I106" i="41"/>
  <c r="J106" i="41"/>
  <c r="K106" i="41"/>
  <c r="L106" i="41"/>
  <c r="M106" i="41"/>
  <c r="N106" i="41"/>
  <c r="O106" i="41"/>
  <c r="P106" i="41"/>
  <c r="Q106" i="41"/>
  <c r="R106" i="41"/>
  <c r="S106" i="41"/>
  <c r="T106" i="41"/>
  <c r="U106" i="41"/>
  <c r="V106" i="41"/>
  <c r="W106" i="41"/>
  <c r="X106" i="41"/>
  <c r="Y106" i="41"/>
  <c r="Z106" i="41"/>
  <c r="F109" i="41"/>
  <c r="G109" i="41"/>
  <c r="H109" i="41"/>
  <c r="I109" i="41"/>
  <c r="J109" i="41"/>
  <c r="K109" i="41"/>
  <c r="L109" i="41"/>
  <c r="M109" i="41"/>
  <c r="N109" i="41"/>
  <c r="O109" i="41"/>
  <c r="P109" i="41"/>
  <c r="Q109" i="41"/>
  <c r="R109" i="41"/>
  <c r="S109" i="41"/>
  <c r="T109" i="41"/>
  <c r="U109" i="41"/>
  <c r="V109" i="41"/>
  <c r="W109" i="41"/>
  <c r="X109" i="41"/>
  <c r="Y109" i="41"/>
  <c r="Z109" i="41"/>
  <c r="F110" i="41"/>
  <c r="G110" i="41"/>
  <c r="H110" i="41"/>
  <c r="I110" i="41"/>
  <c r="J110" i="41"/>
  <c r="K110" i="41"/>
  <c r="L110" i="41"/>
  <c r="M110" i="41"/>
  <c r="N110" i="41"/>
  <c r="O110" i="41"/>
  <c r="P110" i="41"/>
  <c r="Q110" i="41"/>
  <c r="R110" i="41"/>
  <c r="S110" i="41"/>
  <c r="T110" i="41"/>
  <c r="U110" i="41"/>
  <c r="V110" i="41"/>
  <c r="W110" i="41"/>
  <c r="X110" i="41"/>
  <c r="Y110" i="41"/>
  <c r="Z110" i="41"/>
  <c r="F112" i="41"/>
  <c r="G112" i="41"/>
  <c r="H112" i="41"/>
  <c r="I112" i="41"/>
  <c r="J112" i="41"/>
  <c r="K112" i="41"/>
  <c r="L112" i="41"/>
  <c r="M112" i="41"/>
  <c r="N112" i="41"/>
  <c r="O112" i="41"/>
  <c r="P112" i="41"/>
  <c r="Q112" i="41"/>
  <c r="R112" i="41"/>
  <c r="S112" i="41"/>
  <c r="T112" i="41"/>
  <c r="U112" i="41"/>
  <c r="V112" i="41"/>
  <c r="W112" i="41"/>
  <c r="X112" i="41"/>
  <c r="Y112" i="41"/>
  <c r="Z112" i="41"/>
  <c r="F113" i="41"/>
  <c r="G113" i="41"/>
  <c r="H113" i="41"/>
  <c r="I113" i="41"/>
  <c r="J113" i="41"/>
  <c r="K113" i="41"/>
  <c r="L113" i="41"/>
  <c r="M113" i="41"/>
  <c r="N113" i="41"/>
  <c r="O113" i="41"/>
  <c r="P113" i="41"/>
  <c r="Q113" i="41"/>
  <c r="R113" i="41"/>
  <c r="S113" i="41"/>
  <c r="T113" i="41"/>
  <c r="U113" i="41"/>
  <c r="V113" i="41"/>
  <c r="W113" i="41"/>
  <c r="X113" i="41"/>
  <c r="Y113" i="41"/>
  <c r="Z113" i="41"/>
  <c r="F114" i="41"/>
  <c r="G114" i="41"/>
  <c r="H114" i="41"/>
  <c r="I114" i="41"/>
  <c r="J114" i="41"/>
  <c r="K114" i="41"/>
  <c r="L114" i="41"/>
  <c r="M114" i="41"/>
  <c r="N114" i="41"/>
  <c r="O114" i="41"/>
  <c r="P114" i="41"/>
  <c r="Q114" i="41"/>
  <c r="R114" i="41"/>
  <c r="S114" i="41"/>
  <c r="T114" i="41"/>
  <c r="U114" i="41"/>
  <c r="V114" i="41"/>
  <c r="W114" i="41"/>
  <c r="X114" i="41"/>
  <c r="Y114" i="41"/>
  <c r="Z114" i="41"/>
  <c r="F131" i="41"/>
  <c r="G131" i="41"/>
  <c r="H131" i="41"/>
  <c r="I131" i="41"/>
  <c r="J131" i="41"/>
  <c r="K131" i="41"/>
  <c r="L131" i="41"/>
  <c r="M131" i="41"/>
  <c r="N131" i="41"/>
  <c r="O131" i="41"/>
  <c r="P131" i="41"/>
  <c r="Q131" i="41"/>
  <c r="R131" i="41"/>
  <c r="S131" i="41"/>
  <c r="T131" i="41"/>
  <c r="U131" i="41"/>
  <c r="V131" i="41"/>
  <c r="W131" i="41"/>
  <c r="X131" i="41"/>
  <c r="Y131" i="41"/>
  <c r="Z131" i="41"/>
  <c r="F132" i="41"/>
  <c r="G132" i="41"/>
  <c r="H132" i="41"/>
  <c r="I132" i="41"/>
  <c r="J132" i="41"/>
  <c r="K132" i="41"/>
  <c r="L132" i="41"/>
  <c r="M132" i="41"/>
  <c r="N132" i="41"/>
  <c r="O132" i="41"/>
  <c r="P132" i="41"/>
  <c r="Q132" i="41"/>
  <c r="R132" i="41"/>
  <c r="S132" i="41"/>
  <c r="T132" i="41"/>
  <c r="U132" i="41"/>
  <c r="V132" i="41"/>
  <c r="W132" i="41"/>
  <c r="X132" i="41"/>
  <c r="Y132" i="41"/>
  <c r="Z132" i="41"/>
  <c r="F134" i="41"/>
  <c r="G134" i="41"/>
  <c r="H134" i="41"/>
  <c r="I134" i="41"/>
  <c r="J134" i="41"/>
  <c r="K134" i="41"/>
  <c r="L134" i="41"/>
  <c r="M134" i="41"/>
  <c r="N134" i="41"/>
  <c r="O134" i="41"/>
  <c r="P134" i="41"/>
  <c r="Q134" i="41"/>
  <c r="R134" i="41"/>
  <c r="S134" i="41"/>
  <c r="T134" i="41"/>
  <c r="U134" i="41"/>
  <c r="V134" i="41"/>
  <c r="W134" i="41"/>
  <c r="X134" i="41"/>
  <c r="Y134" i="41"/>
  <c r="Z134" i="41"/>
  <c r="F135" i="41"/>
  <c r="G135" i="41"/>
  <c r="H135" i="41"/>
  <c r="I135" i="41"/>
  <c r="J135" i="41"/>
  <c r="K135" i="41"/>
  <c r="L135" i="41"/>
  <c r="M135" i="41"/>
  <c r="N135" i="41"/>
  <c r="O135" i="41"/>
  <c r="P135" i="41"/>
  <c r="Q135" i="41"/>
  <c r="R135" i="41"/>
  <c r="S135" i="41"/>
  <c r="T135" i="41"/>
  <c r="U135" i="41"/>
  <c r="V135" i="41"/>
  <c r="W135" i="41"/>
  <c r="X135" i="41"/>
  <c r="Y135" i="41"/>
  <c r="Z135" i="41"/>
  <c r="F136" i="41"/>
  <c r="G136" i="41"/>
  <c r="H136" i="41"/>
  <c r="I136" i="41"/>
  <c r="J136" i="41"/>
  <c r="K136" i="41"/>
  <c r="L136" i="41"/>
  <c r="M136" i="41"/>
  <c r="N136" i="41"/>
  <c r="O136" i="41"/>
  <c r="P136" i="41"/>
  <c r="Q136" i="41"/>
  <c r="R136" i="41"/>
  <c r="S136" i="41"/>
  <c r="T136" i="41"/>
  <c r="U136" i="41"/>
  <c r="V136" i="41"/>
  <c r="W136" i="41"/>
  <c r="X136" i="41"/>
  <c r="Y136" i="41"/>
  <c r="Z136" i="41"/>
  <c r="F138" i="41"/>
  <c r="G138" i="41"/>
  <c r="H138" i="41"/>
  <c r="I138" i="41"/>
  <c r="J138" i="41"/>
  <c r="K138" i="41"/>
  <c r="L138" i="41"/>
  <c r="M138" i="41"/>
  <c r="N138" i="41"/>
  <c r="O138" i="41"/>
  <c r="P138" i="41"/>
  <c r="Q138" i="41"/>
  <c r="R138" i="41"/>
  <c r="S138" i="41"/>
  <c r="T138" i="41"/>
  <c r="U138" i="41"/>
  <c r="V138" i="41"/>
  <c r="W138" i="41"/>
  <c r="X138" i="41"/>
  <c r="Y138" i="41"/>
  <c r="Z138" i="41"/>
  <c r="G141" i="41"/>
  <c r="H141" i="41"/>
  <c r="I141" i="41"/>
  <c r="J141" i="41"/>
  <c r="K141" i="41"/>
  <c r="L141" i="41"/>
  <c r="M141" i="41"/>
  <c r="N141" i="41"/>
  <c r="O141" i="41"/>
  <c r="P141" i="41"/>
  <c r="Q141" i="41"/>
  <c r="R141" i="41"/>
  <c r="S141" i="41"/>
  <c r="T141" i="41"/>
  <c r="U141" i="41"/>
  <c r="V141" i="41"/>
  <c r="W141" i="41"/>
  <c r="X141" i="41"/>
  <c r="Y141" i="41"/>
  <c r="Z141" i="41"/>
  <c r="I142" i="41"/>
  <c r="F143" i="41"/>
  <c r="G143" i="41"/>
  <c r="H143" i="41"/>
  <c r="I143" i="41"/>
  <c r="J143" i="41"/>
  <c r="K143" i="41"/>
  <c r="L143" i="41"/>
  <c r="M143" i="41"/>
  <c r="N143" i="41"/>
  <c r="O143" i="41"/>
  <c r="P143" i="41"/>
  <c r="Q143" i="41"/>
  <c r="R143" i="41"/>
  <c r="S143" i="41"/>
  <c r="T143" i="41"/>
  <c r="U143" i="41"/>
  <c r="V143" i="41"/>
  <c r="W143" i="41"/>
  <c r="X143" i="41"/>
  <c r="Y143" i="41"/>
  <c r="Z143" i="41"/>
  <c r="F144" i="41"/>
  <c r="G144" i="41"/>
  <c r="H144" i="41"/>
  <c r="I144" i="41"/>
  <c r="J144" i="41"/>
  <c r="K144" i="41"/>
  <c r="L144" i="41"/>
  <c r="M144" i="41"/>
  <c r="N144" i="41"/>
  <c r="O144" i="41"/>
  <c r="P144" i="41"/>
  <c r="Q144" i="41"/>
  <c r="R144" i="41"/>
  <c r="S144" i="41"/>
  <c r="T144" i="41"/>
  <c r="U144" i="41"/>
  <c r="V144" i="41"/>
  <c r="W144" i="41"/>
  <c r="X144" i="41"/>
  <c r="Y144" i="41"/>
  <c r="Z144" i="41"/>
  <c r="F146" i="41"/>
  <c r="G146" i="41"/>
  <c r="H146" i="41"/>
  <c r="I146" i="41"/>
  <c r="J146" i="41"/>
  <c r="K146" i="41"/>
  <c r="L146" i="41"/>
  <c r="M146" i="41"/>
  <c r="N146" i="41"/>
  <c r="O146" i="41"/>
  <c r="P146" i="41"/>
  <c r="Q146" i="41"/>
  <c r="R146" i="41"/>
  <c r="S146" i="41"/>
  <c r="T146" i="41"/>
  <c r="U146" i="41"/>
  <c r="V146" i="41"/>
  <c r="W146" i="41"/>
  <c r="X146" i="41"/>
  <c r="Y146" i="41"/>
  <c r="Z146" i="41"/>
  <c r="F147" i="41"/>
  <c r="G147" i="41"/>
  <c r="H147" i="41"/>
  <c r="I147" i="41"/>
  <c r="J147" i="41"/>
  <c r="K147" i="41"/>
  <c r="L147" i="41"/>
  <c r="M147" i="41"/>
  <c r="N147" i="41"/>
  <c r="O147" i="41"/>
  <c r="P147" i="41"/>
  <c r="Q147" i="41"/>
  <c r="R147" i="41"/>
  <c r="S147" i="41"/>
  <c r="T147" i="41"/>
  <c r="U147" i="41"/>
  <c r="V147" i="41"/>
  <c r="W147" i="41"/>
  <c r="X147" i="41"/>
  <c r="Y147" i="41"/>
  <c r="Z147" i="41"/>
  <c r="F148" i="41"/>
  <c r="G148" i="41"/>
  <c r="H148" i="41"/>
  <c r="I148" i="41"/>
  <c r="J148" i="41"/>
  <c r="K148" i="41"/>
  <c r="L148" i="41"/>
  <c r="M148" i="41"/>
  <c r="N148" i="41"/>
  <c r="O148" i="41"/>
  <c r="P148" i="41"/>
  <c r="Q148" i="41"/>
  <c r="R148" i="41"/>
  <c r="S148" i="41"/>
  <c r="T148" i="41"/>
  <c r="U148" i="41"/>
  <c r="V148" i="41"/>
  <c r="W148" i="41"/>
  <c r="X148" i="41"/>
  <c r="Y148" i="41"/>
  <c r="Z148" i="41"/>
  <c r="I150" i="41"/>
  <c r="F152" i="41"/>
  <c r="G152" i="41"/>
  <c r="H152" i="41"/>
  <c r="I152" i="41"/>
  <c r="J152" i="41"/>
  <c r="K152" i="41"/>
  <c r="L152" i="41"/>
  <c r="M152" i="41"/>
  <c r="N152" i="41"/>
  <c r="O152" i="41"/>
  <c r="P152" i="41"/>
  <c r="Q152" i="41"/>
  <c r="R152" i="41"/>
  <c r="S152" i="41"/>
  <c r="T152" i="41"/>
  <c r="U152" i="41"/>
  <c r="V152" i="41"/>
  <c r="W152" i="41"/>
  <c r="X152" i="41"/>
  <c r="Y152" i="41"/>
  <c r="Z152" i="41"/>
  <c r="L155" i="41"/>
  <c r="I156" i="41"/>
  <c r="L157" i="41"/>
  <c r="L158" i="41"/>
  <c r="I159" i="41"/>
  <c r="L159" i="41"/>
  <c r="F162" i="41"/>
  <c r="G162" i="41"/>
  <c r="H162" i="41"/>
  <c r="I162" i="41"/>
  <c r="J162" i="41"/>
  <c r="K162" i="41"/>
  <c r="L162" i="41"/>
  <c r="D196" i="41"/>
  <c r="F196" i="41"/>
  <c r="G196" i="41"/>
  <c r="H196" i="41"/>
  <c r="I196" i="41"/>
  <c r="J196" i="41"/>
  <c r="K196" i="41"/>
  <c r="L196" i="41"/>
  <c r="M196" i="41"/>
  <c r="N196" i="41"/>
  <c r="O196" i="41"/>
  <c r="P196" i="41"/>
  <c r="Q196" i="41"/>
  <c r="R196" i="41"/>
  <c r="S196" i="41"/>
  <c r="T196" i="41"/>
  <c r="U196" i="41"/>
  <c r="V196" i="41"/>
  <c r="W196" i="41"/>
  <c r="X196" i="41"/>
  <c r="Y196" i="41"/>
  <c r="Z196" i="41"/>
  <c r="F200" i="41"/>
  <c r="G200" i="41"/>
  <c r="H200" i="41"/>
  <c r="I200" i="41"/>
  <c r="J200" i="41"/>
  <c r="K200" i="41"/>
  <c r="L200" i="41"/>
  <c r="M200" i="41"/>
  <c r="N200" i="41"/>
  <c r="O200" i="41"/>
  <c r="P200" i="41"/>
  <c r="Q200" i="41"/>
  <c r="R200" i="41"/>
  <c r="S200" i="41"/>
  <c r="T200" i="41"/>
  <c r="U200" i="41"/>
  <c r="V200" i="41"/>
  <c r="W200" i="41"/>
  <c r="X200" i="41"/>
  <c r="Y200" i="41"/>
  <c r="Z200" i="41"/>
  <c r="F202" i="41"/>
  <c r="G202" i="41"/>
  <c r="H202" i="41"/>
  <c r="I202" i="41"/>
  <c r="J202" i="41"/>
  <c r="K202" i="41"/>
  <c r="L202" i="41"/>
  <c r="M202" i="41"/>
  <c r="N202" i="41"/>
  <c r="O202" i="41"/>
  <c r="P202" i="41"/>
  <c r="Q202" i="41"/>
  <c r="R202" i="41"/>
  <c r="S202" i="41"/>
  <c r="T202" i="41"/>
  <c r="U202" i="41"/>
  <c r="V202" i="41"/>
  <c r="W202" i="41"/>
  <c r="X202" i="41"/>
  <c r="Y202" i="41"/>
  <c r="Z202" i="41"/>
  <c r="F206" i="41"/>
  <c r="G206" i="41"/>
  <c r="H206" i="41"/>
  <c r="I206" i="41"/>
  <c r="J206" i="41"/>
  <c r="K206" i="41"/>
  <c r="L206" i="41"/>
  <c r="M206" i="41"/>
  <c r="N206" i="41"/>
  <c r="O206" i="41"/>
  <c r="P206" i="41"/>
  <c r="Q206" i="41"/>
  <c r="R206" i="41"/>
  <c r="S206" i="41"/>
  <c r="T206" i="41"/>
  <c r="U206" i="41"/>
  <c r="V206" i="41"/>
  <c r="W206" i="41"/>
  <c r="X206" i="41"/>
  <c r="Y206" i="41"/>
  <c r="Z206" i="41"/>
  <c r="F207" i="41"/>
  <c r="G207" i="41"/>
  <c r="H207" i="41"/>
  <c r="I207" i="41"/>
  <c r="J207" i="41"/>
  <c r="K207" i="41"/>
  <c r="L207" i="41"/>
  <c r="M207" i="41"/>
  <c r="N207" i="41"/>
  <c r="O207" i="41"/>
  <c r="P207" i="41"/>
  <c r="Q207" i="41"/>
  <c r="R207" i="41"/>
  <c r="S207" i="41"/>
  <c r="T207" i="41"/>
  <c r="U207" i="41"/>
  <c r="V207" i="41"/>
  <c r="W207" i="41"/>
  <c r="X207" i="41"/>
  <c r="Y207" i="41"/>
  <c r="Z207" i="41"/>
  <c r="F208" i="41"/>
  <c r="G208" i="41"/>
  <c r="H208" i="41"/>
  <c r="I208" i="41"/>
  <c r="J208" i="41"/>
  <c r="K208" i="41"/>
  <c r="L208" i="41"/>
  <c r="M208" i="41"/>
  <c r="N208" i="41"/>
  <c r="O208" i="41"/>
  <c r="P208" i="41"/>
  <c r="Q208" i="41"/>
  <c r="R208" i="41"/>
  <c r="S208" i="41"/>
  <c r="T208" i="41"/>
  <c r="U208" i="41"/>
  <c r="V208" i="41"/>
  <c r="W208" i="41"/>
  <c r="X208" i="41"/>
  <c r="Y208" i="41"/>
  <c r="Z208" i="41"/>
  <c r="J211" i="41"/>
  <c r="K211" i="41"/>
  <c r="L211" i="41"/>
  <c r="M211" i="41"/>
  <c r="N211" i="41"/>
  <c r="O211" i="41"/>
  <c r="P211" i="41"/>
  <c r="Q211" i="41"/>
  <c r="R211" i="41"/>
  <c r="S211" i="41"/>
  <c r="T211" i="41"/>
  <c r="U211" i="41"/>
  <c r="V211" i="41"/>
  <c r="W211" i="41"/>
  <c r="X211" i="41"/>
  <c r="Y211" i="41"/>
  <c r="Z211" i="41"/>
  <c r="I212" i="41"/>
  <c r="I214" i="41"/>
  <c r="J214" i="41"/>
  <c r="K214" i="41"/>
  <c r="L214" i="41"/>
  <c r="M214" i="41"/>
  <c r="N214" i="41"/>
  <c r="O214" i="41"/>
  <c r="P214" i="41"/>
  <c r="Q214" i="41"/>
  <c r="R214" i="41"/>
  <c r="S214" i="41"/>
  <c r="T214" i="41"/>
  <c r="U214" i="41"/>
  <c r="V214" i="41"/>
  <c r="W214" i="41"/>
  <c r="X214" i="41"/>
  <c r="Y214" i="41"/>
  <c r="Z214" i="41"/>
  <c r="I216" i="41"/>
  <c r="J216" i="41"/>
  <c r="K216" i="41"/>
  <c r="L216" i="41"/>
  <c r="M216" i="41"/>
  <c r="N216" i="41"/>
  <c r="O216" i="41"/>
  <c r="P216" i="41"/>
  <c r="Q216" i="41"/>
  <c r="R216" i="41"/>
  <c r="S216" i="41"/>
  <c r="T216" i="41"/>
  <c r="U216" i="41"/>
  <c r="V216" i="41"/>
  <c r="W216" i="41"/>
  <c r="X216" i="41"/>
  <c r="Y216" i="41"/>
  <c r="Z216" i="41"/>
  <c r="I217" i="41"/>
  <c r="J217" i="41"/>
  <c r="K217" i="41"/>
  <c r="L217" i="41"/>
  <c r="M217" i="41"/>
  <c r="N217" i="41"/>
  <c r="O217" i="41"/>
  <c r="P217" i="41"/>
  <c r="Q217" i="41"/>
  <c r="R217" i="41"/>
  <c r="S217" i="41"/>
  <c r="T217" i="41"/>
  <c r="U217" i="41"/>
  <c r="V217" i="41"/>
  <c r="W217" i="41"/>
  <c r="X217" i="41"/>
  <c r="Y217" i="41"/>
  <c r="Z217" i="41"/>
  <c r="F218" i="41"/>
  <c r="G218" i="41"/>
  <c r="H218" i="41"/>
  <c r="I218" i="41"/>
  <c r="J218" i="41"/>
  <c r="K218" i="41"/>
  <c r="L218" i="41"/>
  <c r="M218" i="41"/>
  <c r="N218" i="41"/>
  <c r="O218" i="41"/>
  <c r="P218" i="41"/>
  <c r="Q218" i="41"/>
  <c r="R218" i="41"/>
  <c r="S218" i="41"/>
  <c r="T218" i="41"/>
  <c r="U218" i="41"/>
  <c r="V218" i="41"/>
  <c r="W218" i="41"/>
  <c r="X218" i="41"/>
  <c r="Y218" i="41"/>
  <c r="Z218" i="41"/>
  <c r="I220" i="41"/>
  <c r="F222" i="41"/>
  <c r="G222" i="41"/>
  <c r="H222" i="41"/>
  <c r="I222" i="41"/>
  <c r="J222" i="41"/>
  <c r="K222" i="41"/>
  <c r="L222" i="41"/>
  <c r="M222" i="41"/>
  <c r="N222" i="41"/>
  <c r="O222" i="41"/>
  <c r="P222" i="41"/>
  <c r="Q222" i="41"/>
  <c r="R222" i="41"/>
  <c r="S222" i="41"/>
  <c r="T222" i="41"/>
  <c r="U222" i="41"/>
  <c r="V222" i="41"/>
  <c r="W222" i="41"/>
  <c r="X222" i="41"/>
  <c r="Y222" i="41"/>
  <c r="Z222" i="41"/>
  <c r="L225" i="41"/>
  <c r="L226" i="41"/>
  <c r="L227" i="41"/>
  <c r="L228" i="41"/>
  <c r="F230" i="41"/>
  <c r="G230" i="41"/>
  <c r="H230" i="41"/>
  <c r="I230" i="41"/>
  <c r="J230" i="41"/>
  <c r="K230" i="41"/>
  <c r="L230" i="41"/>
  <c r="F244" i="41"/>
  <c r="G244" i="41"/>
  <c r="H244" i="41"/>
  <c r="I244" i="41"/>
  <c r="J244" i="41"/>
  <c r="K244" i="41"/>
  <c r="L244" i="41"/>
  <c r="M244" i="41"/>
  <c r="N244" i="41"/>
  <c r="O244" i="41"/>
  <c r="P244" i="41"/>
  <c r="Q244" i="41"/>
  <c r="R244" i="41"/>
  <c r="S244" i="41"/>
  <c r="T244" i="41"/>
  <c r="U244" i="41"/>
  <c r="V244" i="41"/>
  <c r="W244" i="41"/>
  <c r="X244" i="41"/>
  <c r="Y244" i="41"/>
  <c r="Z244" i="41"/>
  <c r="F245" i="41"/>
  <c r="G245" i="41"/>
  <c r="H245" i="41"/>
  <c r="I245" i="41"/>
  <c r="J245" i="41"/>
  <c r="K245" i="41"/>
  <c r="L245" i="41"/>
  <c r="M245" i="41"/>
  <c r="N245" i="41"/>
  <c r="O245" i="41"/>
  <c r="P245" i="41"/>
  <c r="Q245" i="41"/>
  <c r="R245" i="41"/>
  <c r="S245" i="41"/>
  <c r="T245" i="41"/>
  <c r="U245" i="41"/>
  <c r="V245" i="41"/>
  <c r="W245" i="41"/>
  <c r="X245" i="41"/>
  <c r="Y245" i="41"/>
  <c r="Z245" i="41"/>
  <c r="F248" i="41"/>
  <c r="G248" i="41"/>
  <c r="H248" i="41"/>
  <c r="I248" i="41"/>
  <c r="J248" i="41"/>
  <c r="K248" i="41"/>
  <c r="L248" i="41"/>
  <c r="M248" i="41"/>
  <c r="N248" i="41"/>
  <c r="O248" i="41"/>
  <c r="P248" i="41"/>
  <c r="Q248" i="41"/>
  <c r="R248" i="41"/>
  <c r="S248" i="41"/>
  <c r="T248" i="41"/>
  <c r="U248" i="41"/>
  <c r="V248" i="41"/>
  <c r="W248" i="41"/>
  <c r="X248" i="41"/>
  <c r="Y248" i="41"/>
  <c r="Z248" i="41"/>
  <c r="F249" i="41"/>
  <c r="G249" i="41"/>
  <c r="H249" i="41"/>
  <c r="I249" i="41"/>
  <c r="J249" i="41"/>
  <c r="K249" i="41"/>
  <c r="L249" i="41"/>
  <c r="M249" i="41"/>
  <c r="N249" i="41"/>
  <c r="O249" i="41"/>
  <c r="P249" i="41"/>
  <c r="Q249" i="41"/>
  <c r="R249" i="41"/>
  <c r="S249" i="41"/>
  <c r="T249" i="41"/>
  <c r="U249" i="41"/>
  <c r="V249" i="41"/>
  <c r="W249" i="41"/>
  <c r="X249" i="41"/>
  <c r="Y249" i="41"/>
  <c r="Z249" i="41"/>
  <c r="F251" i="41"/>
  <c r="G251" i="41"/>
  <c r="H251" i="41"/>
  <c r="I251" i="41"/>
  <c r="J251" i="41"/>
  <c r="K251" i="41"/>
  <c r="L251" i="41"/>
  <c r="M251" i="41"/>
  <c r="N251" i="41"/>
  <c r="O251" i="41"/>
  <c r="P251" i="41"/>
  <c r="Q251" i="41"/>
  <c r="R251" i="41"/>
  <c r="S251" i="41"/>
  <c r="T251" i="41"/>
  <c r="U251" i="41"/>
  <c r="V251" i="41"/>
  <c r="W251" i="41"/>
  <c r="X251" i="41"/>
  <c r="Y251" i="41"/>
  <c r="Z251" i="41"/>
  <c r="F252" i="41"/>
  <c r="G252" i="41"/>
  <c r="H252" i="41"/>
  <c r="I252" i="41"/>
  <c r="J252" i="41"/>
  <c r="K252" i="41"/>
  <c r="L252" i="41"/>
  <c r="M252" i="41"/>
  <c r="N252" i="41"/>
  <c r="O252" i="41"/>
  <c r="P252" i="41"/>
  <c r="Q252" i="41"/>
  <c r="R252" i="41"/>
  <c r="S252" i="41"/>
  <c r="T252" i="41"/>
  <c r="U252" i="41"/>
  <c r="V252" i="41"/>
  <c r="W252" i="41"/>
  <c r="X252" i="41"/>
  <c r="Y252" i="41"/>
  <c r="Z252" i="41"/>
  <c r="F253" i="41"/>
  <c r="G253" i="41"/>
  <c r="H253" i="41"/>
  <c r="I253" i="41"/>
  <c r="J253" i="41"/>
  <c r="K253" i="41"/>
  <c r="L253" i="41"/>
  <c r="M253" i="41"/>
  <c r="N253" i="41"/>
  <c r="O253" i="41"/>
  <c r="P253" i="41"/>
  <c r="Q253" i="41"/>
  <c r="R253" i="41"/>
  <c r="S253" i="41"/>
  <c r="T253" i="41"/>
  <c r="U253" i="41"/>
  <c r="V253" i="41"/>
  <c r="W253" i="41"/>
  <c r="X253" i="41"/>
  <c r="Y253" i="41"/>
  <c r="Z253" i="41"/>
  <c r="J256" i="41"/>
  <c r="K256" i="41"/>
  <c r="L256" i="41"/>
  <c r="M256" i="41"/>
  <c r="N256" i="41"/>
  <c r="O256" i="41"/>
  <c r="P256" i="41"/>
  <c r="Q256" i="41"/>
  <c r="R256" i="41"/>
  <c r="S256" i="41"/>
  <c r="T256" i="41"/>
  <c r="U256" i="41"/>
  <c r="V256" i="41"/>
  <c r="W256" i="41"/>
  <c r="X256" i="41"/>
  <c r="Y256" i="41"/>
  <c r="Z256" i="41"/>
  <c r="I257" i="41"/>
  <c r="I259" i="41"/>
  <c r="J259" i="41"/>
  <c r="K259" i="41"/>
  <c r="L259" i="41"/>
  <c r="M259" i="41"/>
  <c r="N259" i="41"/>
  <c r="O259" i="41"/>
  <c r="P259" i="41"/>
  <c r="Q259" i="41"/>
  <c r="R259" i="41"/>
  <c r="S259" i="41"/>
  <c r="T259" i="41"/>
  <c r="U259" i="41"/>
  <c r="V259" i="41"/>
  <c r="W259" i="41"/>
  <c r="X259" i="41"/>
  <c r="Y259" i="41"/>
  <c r="Z259" i="41"/>
  <c r="I261" i="41"/>
  <c r="J261" i="41"/>
  <c r="K261" i="41"/>
  <c r="L261" i="41"/>
  <c r="M261" i="41"/>
  <c r="N261" i="41"/>
  <c r="O261" i="41"/>
  <c r="P261" i="41"/>
  <c r="Q261" i="41"/>
  <c r="R261" i="41"/>
  <c r="S261" i="41"/>
  <c r="T261" i="41"/>
  <c r="U261" i="41"/>
  <c r="V261" i="41"/>
  <c r="W261" i="41"/>
  <c r="X261" i="41"/>
  <c r="Y261" i="41"/>
  <c r="Z261" i="41"/>
  <c r="I262" i="41"/>
  <c r="J262" i="41"/>
  <c r="K262" i="41"/>
  <c r="L262" i="41"/>
  <c r="M262" i="41"/>
  <c r="N262" i="41"/>
  <c r="O262" i="41"/>
  <c r="P262" i="41"/>
  <c r="Q262" i="41"/>
  <c r="R262" i="41"/>
  <c r="S262" i="41"/>
  <c r="T262" i="41"/>
  <c r="U262" i="41"/>
  <c r="V262" i="41"/>
  <c r="W262" i="41"/>
  <c r="X262" i="41"/>
  <c r="Y262" i="41"/>
  <c r="Z262" i="41"/>
  <c r="F263" i="41"/>
  <c r="G263" i="41"/>
  <c r="H263" i="41"/>
  <c r="I263" i="41"/>
  <c r="J263" i="41"/>
  <c r="K263" i="41"/>
  <c r="L263" i="41"/>
  <c r="M263" i="41"/>
  <c r="N263" i="41"/>
  <c r="O263" i="41"/>
  <c r="P263" i="41"/>
  <c r="Q263" i="41"/>
  <c r="R263" i="41"/>
  <c r="S263" i="41"/>
  <c r="T263" i="41"/>
  <c r="U263" i="41"/>
  <c r="V263" i="41"/>
  <c r="W263" i="41"/>
  <c r="X263" i="41"/>
  <c r="Y263" i="41"/>
  <c r="Z263" i="41"/>
  <c r="I265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L270" i="41"/>
  <c r="L271" i="41"/>
  <c r="L272" i="41"/>
  <c r="L273" i="41"/>
  <c r="F275" i="41"/>
  <c r="G275" i="41"/>
  <c r="H275" i="41"/>
  <c r="I275" i="41"/>
  <c r="J275" i="41"/>
  <c r="K275" i="41"/>
  <c r="L275" i="41"/>
  <c r="F277" i="41"/>
  <c r="G277" i="41"/>
  <c r="H277" i="41"/>
  <c r="I277" i="41"/>
  <c r="J277" i="41"/>
  <c r="K277" i="41"/>
  <c r="L277" i="41"/>
  <c r="F279" i="41"/>
  <c r="G279" i="41"/>
  <c r="H279" i="41"/>
  <c r="I279" i="41"/>
  <c r="J279" i="41"/>
  <c r="K279" i="41"/>
  <c r="L279" i="41"/>
  <c r="M279" i="41"/>
  <c r="N279" i="41"/>
  <c r="O279" i="41"/>
  <c r="P279" i="41"/>
  <c r="Q279" i="41"/>
  <c r="R279" i="41"/>
  <c r="S279" i="41"/>
  <c r="T279" i="41"/>
  <c r="U279" i="41"/>
  <c r="V279" i="41"/>
  <c r="W279" i="41"/>
  <c r="X279" i="41"/>
  <c r="Y279" i="41"/>
  <c r="Z279" i="41"/>
  <c r="F280" i="41"/>
  <c r="G280" i="41"/>
  <c r="H280" i="41"/>
  <c r="I280" i="41"/>
  <c r="J280" i="41"/>
  <c r="K280" i="41"/>
  <c r="L280" i="41"/>
  <c r="M280" i="41"/>
  <c r="N280" i="41"/>
  <c r="O280" i="41"/>
  <c r="P280" i="41"/>
  <c r="Q280" i="41"/>
  <c r="R280" i="41"/>
  <c r="S280" i="41"/>
  <c r="T280" i="41"/>
  <c r="U280" i="41"/>
  <c r="V280" i="41"/>
  <c r="W280" i="41"/>
  <c r="X280" i="41"/>
  <c r="Y280" i="41"/>
  <c r="Z280" i="41"/>
  <c r="D288" i="41"/>
  <c r="F288" i="41"/>
  <c r="G288" i="41"/>
  <c r="H288" i="41"/>
  <c r="D289" i="41"/>
  <c r="G289" i="41"/>
  <c r="H289" i="41"/>
  <c r="D291" i="41"/>
  <c r="F291" i="41"/>
  <c r="G291" i="41"/>
  <c r="H291" i="41"/>
  <c r="I291" i="41"/>
  <c r="J291" i="41"/>
  <c r="D292" i="41"/>
  <c r="F292" i="41"/>
  <c r="G292" i="41"/>
  <c r="H292" i="41"/>
  <c r="I292" i="41"/>
  <c r="J292" i="41"/>
  <c r="D295" i="41"/>
  <c r="F295" i="41"/>
  <c r="G295" i="41"/>
  <c r="H295" i="41"/>
  <c r="I295" i="41"/>
  <c r="J295" i="41"/>
  <c r="K295" i="41"/>
  <c r="L295" i="41"/>
  <c r="M295" i="41"/>
  <c r="N295" i="41"/>
  <c r="O295" i="41"/>
  <c r="P295" i="41"/>
  <c r="Q295" i="41"/>
  <c r="R295" i="41"/>
  <c r="S295" i="41"/>
  <c r="T295" i="41"/>
  <c r="U295" i="41"/>
  <c r="V295" i="41"/>
  <c r="W295" i="41"/>
  <c r="X295" i="41"/>
  <c r="Y295" i="41"/>
  <c r="Z295" i="41"/>
  <c r="D296" i="41"/>
  <c r="F296" i="41"/>
  <c r="G296" i="41"/>
  <c r="H296" i="41"/>
  <c r="I296" i="41"/>
  <c r="J296" i="41"/>
  <c r="K296" i="41"/>
  <c r="L296" i="41"/>
  <c r="M296" i="41"/>
  <c r="N296" i="41"/>
  <c r="O296" i="41"/>
  <c r="P296" i="41"/>
  <c r="Q296" i="41"/>
  <c r="R296" i="41"/>
  <c r="S296" i="41"/>
  <c r="T296" i="41"/>
  <c r="U296" i="41"/>
  <c r="V296" i="41"/>
  <c r="W296" i="41"/>
  <c r="X296" i="41"/>
  <c r="Y296" i="41"/>
  <c r="Z296" i="41"/>
  <c r="D297" i="41"/>
  <c r="F297" i="41"/>
  <c r="G297" i="41"/>
  <c r="H297" i="41"/>
  <c r="I297" i="41"/>
  <c r="J297" i="41"/>
  <c r="K297" i="41"/>
  <c r="L297" i="41"/>
  <c r="M297" i="41"/>
  <c r="N297" i="41"/>
  <c r="O297" i="41"/>
  <c r="P297" i="41"/>
  <c r="Q297" i="41"/>
  <c r="R297" i="41"/>
  <c r="S297" i="41"/>
  <c r="T297" i="41"/>
  <c r="U297" i="41"/>
  <c r="V297" i="41"/>
  <c r="W297" i="41"/>
  <c r="X297" i="41"/>
  <c r="Y297" i="41"/>
  <c r="Z297" i="41"/>
  <c r="D298" i="41"/>
  <c r="F298" i="41"/>
  <c r="G298" i="41"/>
  <c r="H298" i="41"/>
  <c r="I298" i="41"/>
  <c r="J298" i="41"/>
  <c r="K298" i="41"/>
  <c r="L298" i="41"/>
  <c r="M298" i="41"/>
  <c r="N298" i="41"/>
  <c r="O298" i="41"/>
  <c r="P298" i="41"/>
  <c r="Q298" i="41"/>
  <c r="R298" i="41"/>
  <c r="S298" i="41"/>
  <c r="T298" i="41"/>
  <c r="U298" i="41"/>
  <c r="V298" i="41"/>
  <c r="W298" i="41"/>
  <c r="X298" i="41"/>
  <c r="Y298" i="41"/>
  <c r="Z298" i="41"/>
  <c r="D299" i="41"/>
  <c r="F299" i="41"/>
  <c r="G299" i="41"/>
  <c r="H299" i="41"/>
  <c r="I299" i="41"/>
  <c r="J299" i="41"/>
  <c r="K299" i="41"/>
  <c r="L299" i="41"/>
  <c r="M299" i="41"/>
  <c r="N299" i="41"/>
  <c r="O299" i="41"/>
  <c r="P299" i="41"/>
  <c r="Q299" i="41"/>
  <c r="R299" i="41"/>
  <c r="S299" i="41"/>
  <c r="T299" i="41"/>
  <c r="U299" i="41"/>
  <c r="V299" i="41"/>
  <c r="W299" i="41"/>
  <c r="X299" i="41"/>
  <c r="Y299" i="41"/>
  <c r="Z299" i="41"/>
  <c r="D300" i="41"/>
  <c r="F300" i="41"/>
  <c r="G300" i="41"/>
  <c r="H300" i="41"/>
  <c r="I300" i="41"/>
  <c r="J300" i="41"/>
  <c r="K300" i="41"/>
  <c r="L300" i="41"/>
  <c r="M300" i="41"/>
  <c r="N300" i="41"/>
  <c r="O300" i="41"/>
  <c r="P300" i="41"/>
  <c r="Q300" i="41"/>
  <c r="R300" i="41"/>
  <c r="S300" i="41"/>
  <c r="T300" i="41"/>
  <c r="U300" i="41"/>
  <c r="V300" i="41"/>
  <c r="W300" i="41"/>
  <c r="X300" i="41"/>
  <c r="Y300" i="41"/>
  <c r="Z300" i="41"/>
  <c r="D301" i="41"/>
  <c r="F301" i="41"/>
  <c r="G301" i="41"/>
  <c r="H301" i="41"/>
  <c r="I301" i="41"/>
  <c r="J301" i="41"/>
  <c r="K301" i="41"/>
  <c r="L301" i="41"/>
  <c r="M301" i="41"/>
  <c r="N301" i="41"/>
  <c r="O301" i="41"/>
  <c r="P301" i="41"/>
  <c r="Q301" i="41"/>
  <c r="R301" i="41"/>
  <c r="S301" i="41"/>
  <c r="T301" i="41"/>
  <c r="U301" i="41"/>
  <c r="V301" i="41"/>
  <c r="W301" i="41"/>
  <c r="X301" i="41"/>
  <c r="Y301" i="41"/>
  <c r="Z301" i="41"/>
  <c r="D302" i="41"/>
  <c r="F302" i="41"/>
  <c r="G302" i="41"/>
  <c r="H302" i="41"/>
  <c r="I302" i="41"/>
  <c r="J302" i="41"/>
  <c r="K302" i="41"/>
  <c r="L302" i="41"/>
  <c r="M302" i="41"/>
  <c r="N302" i="41"/>
  <c r="O302" i="41"/>
  <c r="P302" i="41"/>
  <c r="Q302" i="41"/>
  <c r="R302" i="41"/>
  <c r="S302" i="41"/>
  <c r="T302" i="41"/>
  <c r="U302" i="41"/>
  <c r="V302" i="41"/>
  <c r="W302" i="41"/>
  <c r="X302" i="41"/>
  <c r="Y302" i="41"/>
  <c r="Z302" i="41"/>
  <c r="D304" i="41"/>
  <c r="F304" i="41"/>
  <c r="G304" i="41"/>
  <c r="H304" i="41"/>
  <c r="I304" i="41"/>
  <c r="J304" i="41"/>
  <c r="K304" i="41"/>
  <c r="L304" i="41"/>
  <c r="M304" i="41"/>
  <c r="N304" i="41"/>
  <c r="O304" i="41"/>
  <c r="P304" i="41"/>
  <c r="Q304" i="41"/>
  <c r="R304" i="41"/>
  <c r="S304" i="41"/>
  <c r="T304" i="41"/>
  <c r="U304" i="41"/>
  <c r="V304" i="41"/>
  <c r="W304" i="41"/>
  <c r="X304" i="41"/>
  <c r="Y304" i="41"/>
  <c r="Z304" i="41"/>
  <c r="D307" i="41"/>
  <c r="F307" i="41"/>
  <c r="G307" i="41"/>
  <c r="H307" i="41"/>
  <c r="I307" i="41"/>
  <c r="J307" i="41"/>
  <c r="K307" i="41"/>
  <c r="L307" i="41"/>
  <c r="M307" i="41"/>
  <c r="N307" i="41"/>
  <c r="O307" i="41"/>
  <c r="P307" i="41"/>
  <c r="Q307" i="41"/>
  <c r="R307" i="41"/>
  <c r="S307" i="41"/>
  <c r="T307" i="41"/>
  <c r="U307" i="41"/>
  <c r="V307" i="41"/>
  <c r="W307" i="41"/>
  <c r="X307" i="41"/>
  <c r="Y307" i="41"/>
  <c r="Z307" i="41"/>
  <c r="D308" i="41"/>
  <c r="F308" i="41"/>
  <c r="G308" i="41"/>
  <c r="H308" i="41"/>
  <c r="I308" i="41"/>
  <c r="J308" i="41"/>
  <c r="K308" i="41"/>
  <c r="L308" i="41"/>
  <c r="D309" i="41"/>
  <c r="F309" i="41"/>
  <c r="G309" i="41"/>
  <c r="H309" i="41"/>
  <c r="I309" i="41"/>
  <c r="J309" i="41"/>
  <c r="K309" i="41"/>
  <c r="L309" i="41"/>
  <c r="M309" i="41"/>
  <c r="N309" i="41"/>
  <c r="O309" i="41"/>
  <c r="P309" i="41"/>
  <c r="Q309" i="41"/>
  <c r="R309" i="41"/>
  <c r="S309" i="41"/>
  <c r="T309" i="41"/>
  <c r="U309" i="41"/>
  <c r="V309" i="41"/>
  <c r="W309" i="41"/>
  <c r="X309" i="41"/>
  <c r="Y309" i="41"/>
  <c r="Z309" i="41"/>
  <c r="D311" i="41"/>
  <c r="D312" i="41"/>
  <c r="D313" i="41"/>
  <c r="F318" i="41"/>
  <c r="G318" i="41"/>
  <c r="H318" i="41"/>
  <c r="I318" i="41"/>
  <c r="J318" i="41"/>
  <c r="K318" i="41"/>
  <c r="L318" i="41"/>
  <c r="M318" i="41"/>
  <c r="N318" i="41"/>
  <c r="O318" i="41"/>
  <c r="P318" i="41"/>
  <c r="Q318" i="41"/>
  <c r="R318" i="41"/>
  <c r="S318" i="41"/>
  <c r="T318" i="41"/>
  <c r="U318" i="41"/>
  <c r="V318" i="41"/>
  <c r="W318" i="41"/>
  <c r="X318" i="41"/>
  <c r="Y318" i="41"/>
  <c r="Z318" i="41"/>
  <c r="F319" i="41"/>
  <c r="G319" i="41"/>
  <c r="H319" i="41"/>
  <c r="I319" i="41"/>
  <c r="J319" i="41"/>
  <c r="K319" i="41"/>
  <c r="L319" i="41"/>
  <c r="M319" i="41"/>
  <c r="N319" i="41"/>
  <c r="O319" i="41"/>
  <c r="P319" i="41"/>
  <c r="Q319" i="41"/>
  <c r="R319" i="41"/>
  <c r="S319" i="41"/>
  <c r="T319" i="41"/>
  <c r="U319" i="41"/>
  <c r="V319" i="41"/>
  <c r="W319" i="41"/>
  <c r="X319" i="41"/>
  <c r="Y319" i="41"/>
  <c r="Z319" i="41"/>
  <c r="F320" i="41"/>
  <c r="G320" i="41"/>
  <c r="H320" i="41"/>
  <c r="I320" i="41"/>
  <c r="J320" i="41"/>
  <c r="K320" i="41"/>
  <c r="L320" i="41"/>
  <c r="M320" i="41"/>
  <c r="N320" i="41"/>
  <c r="O320" i="41"/>
  <c r="P320" i="41"/>
  <c r="Q320" i="41"/>
  <c r="R320" i="41"/>
  <c r="S320" i="41"/>
  <c r="T320" i="41"/>
  <c r="U320" i="41"/>
  <c r="V320" i="41"/>
  <c r="W320" i="41"/>
  <c r="X320" i="41"/>
  <c r="Y320" i="41"/>
  <c r="Z320" i="41"/>
  <c r="F321" i="41"/>
  <c r="G321" i="41"/>
  <c r="H321" i="41"/>
  <c r="I321" i="41"/>
  <c r="J321" i="41"/>
  <c r="K321" i="41"/>
  <c r="L321" i="41"/>
  <c r="M321" i="41"/>
  <c r="N321" i="41"/>
  <c r="O321" i="41"/>
  <c r="P321" i="41"/>
  <c r="Q321" i="41"/>
  <c r="R321" i="41"/>
  <c r="S321" i="41"/>
  <c r="T321" i="41"/>
  <c r="U321" i="41"/>
  <c r="V321" i="41"/>
  <c r="W321" i="41"/>
  <c r="X321" i="41"/>
  <c r="Y321" i="41"/>
  <c r="Z321" i="41"/>
  <c r="L324" i="41"/>
  <c r="L325" i="41"/>
  <c r="L326" i="41"/>
  <c r="D332" i="41"/>
  <c r="F332" i="41"/>
  <c r="G332" i="41"/>
  <c r="H332" i="41"/>
  <c r="D335" i="41"/>
  <c r="F335" i="41"/>
  <c r="G335" i="41"/>
  <c r="H335" i="41"/>
  <c r="I335" i="41"/>
  <c r="J335" i="41"/>
  <c r="D336" i="41"/>
  <c r="F336" i="41"/>
  <c r="G336" i="41"/>
  <c r="H336" i="41"/>
  <c r="I336" i="41"/>
  <c r="J336" i="41"/>
  <c r="D339" i="41"/>
  <c r="F339" i="41"/>
  <c r="G339" i="41"/>
  <c r="H339" i="41"/>
  <c r="I339" i="41"/>
  <c r="J339" i="41"/>
  <c r="K339" i="41"/>
  <c r="L339" i="41"/>
  <c r="M339" i="41"/>
  <c r="N339" i="41"/>
  <c r="O339" i="41"/>
  <c r="P339" i="41"/>
  <c r="Q339" i="41"/>
  <c r="R339" i="41"/>
  <c r="S339" i="41"/>
  <c r="T339" i="41"/>
  <c r="U339" i="41"/>
  <c r="V339" i="41"/>
  <c r="W339" i="41"/>
  <c r="X339" i="41"/>
  <c r="Y339" i="41"/>
  <c r="Z339" i="41"/>
  <c r="D340" i="41"/>
  <c r="F340" i="41"/>
  <c r="G340" i="41"/>
  <c r="H340" i="41"/>
  <c r="I340" i="41"/>
  <c r="J340" i="41"/>
  <c r="K340" i="41"/>
  <c r="L340" i="41"/>
  <c r="M340" i="41"/>
  <c r="N340" i="41"/>
  <c r="O340" i="41"/>
  <c r="P340" i="41"/>
  <c r="Q340" i="41"/>
  <c r="R340" i="41"/>
  <c r="S340" i="41"/>
  <c r="T340" i="41"/>
  <c r="U340" i="41"/>
  <c r="V340" i="41"/>
  <c r="W340" i="41"/>
  <c r="X340" i="41"/>
  <c r="Y340" i="41"/>
  <c r="Z340" i="41"/>
  <c r="D341" i="41"/>
  <c r="F341" i="41"/>
  <c r="G341" i="41"/>
  <c r="H341" i="41"/>
  <c r="I341" i="41"/>
  <c r="J341" i="41"/>
  <c r="K341" i="41"/>
  <c r="L341" i="41"/>
  <c r="M341" i="41"/>
  <c r="N341" i="41"/>
  <c r="O341" i="41"/>
  <c r="P341" i="41"/>
  <c r="Q341" i="41"/>
  <c r="R341" i="41"/>
  <c r="S341" i="41"/>
  <c r="T341" i="41"/>
  <c r="U341" i="41"/>
  <c r="V341" i="41"/>
  <c r="W341" i="41"/>
  <c r="X341" i="41"/>
  <c r="Y341" i="41"/>
  <c r="Z341" i="41"/>
  <c r="D342" i="41"/>
  <c r="F342" i="41"/>
  <c r="G342" i="41"/>
  <c r="H342" i="41"/>
  <c r="I342" i="41"/>
  <c r="J342" i="41"/>
  <c r="K342" i="41"/>
  <c r="L342" i="41"/>
  <c r="M342" i="41"/>
  <c r="N342" i="41"/>
  <c r="O342" i="41"/>
  <c r="P342" i="41"/>
  <c r="Q342" i="41"/>
  <c r="R342" i="41"/>
  <c r="S342" i="41"/>
  <c r="T342" i="41"/>
  <c r="U342" i="41"/>
  <c r="V342" i="41"/>
  <c r="W342" i="41"/>
  <c r="X342" i="41"/>
  <c r="Y342" i="41"/>
  <c r="Z342" i="41"/>
  <c r="D343" i="41"/>
  <c r="F343" i="41"/>
  <c r="G343" i="41"/>
  <c r="H343" i="41"/>
  <c r="I343" i="41"/>
  <c r="J343" i="41"/>
  <c r="K343" i="41"/>
  <c r="L343" i="41"/>
  <c r="M343" i="41"/>
  <c r="N343" i="41"/>
  <c r="O343" i="41"/>
  <c r="P343" i="41"/>
  <c r="Q343" i="41"/>
  <c r="R343" i="41"/>
  <c r="S343" i="41"/>
  <c r="T343" i="41"/>
  <c r="U343" i="41"/>
  <c r="V343" i="41"/>
  <c r="W343" i="41"/>
  <c r="X343" i="41"/>
  <c r="Y343" i="41"/>
  <c r="Z343" i="41"/>
  <c r="D345" i="41"/>
  <c r="F345" i="41"/>
  <c r="G345" i="41"/>
  <c r="H345" i="41"/>
  <c r="I345" i="41"/>
  <c r="J345" i="41"/>
  <c r="K345" i="41"/>
  <c r="L345" i="41"/>
  <c r="M345" i="41"/>
  <c r="N345" i="41"/>
  <c r="O345" i="41"/>
  <c r="P345" i="41"/>
  <c r="Q345" i="41"/>
  <c r="R345" i="41"/>
  <c r="S345" i="41"/>
  <c r="T345" i="41"/>
  <c r="U345" i="41"/>
  <c r="V345" i="41"/>
  <c r="W345" i="41"/>
  <c r="X345" i="41"/>
  <c r="Y345" i="41"/>
  <c r="Z345" i="41"/>
  <c r="D346" i="41"/>
  <c r="F346" i="41"/>
  <c r="G346" i="41"/>
  <c r="H346" i="41"/>
  <c r="I346" i="41"/>
  <c r="J346" i="41"/>
  <c r="K346" i="41"/>
  <c r="L346" i="41"/>
  <c r="M346" i="41"/>
  <c r="N346" i="41"/>
  <c r="O346" i="41"/>
  <c r="P346" i="41"/>
  <c r="Q346" i="41"/>
  <c r="R346" i="41"/>
  <c r="S346" i="41"/>
  <c r="T346" i="41"/>
  <c r="U346" i="41"/>
  <c r="V346" i="41"/>
  <c r="W346" i="41"/>
  <c r="X346" i="41"/>
  <c r="Y346" i="41"/>
  <c r="Z346" i="41"/>
  <c r="D349" i="41"/>
  <c r="F349" i="41"/>
  <c r="G349" i="41"/>
  <c r="H349" i="41"/>
  <c r="I349" i="41"/>
  <c r="J349" i="41"/>
  <c r="K349" i="41"/>
  <c r="L349" i="41"/>
  <c r="M349" i="41"/>
  <c r="N349" i="41"/>
  <c r="O349" i="41"/>
  <c r="P349" i="41"/>
  <c r="Q349" i="41"/>
  <c r="R349" i="41"/>
  <c r="S349" i="41"/>
  <c r="T349" i="41"/>
  <c r="U349" i="41"/>
  <c r="V349" i="41"/>
  <c r="W349" i="41"/>
  <c r="X349" i="41"/>
  <c r="Y349" i="41"/>
  <c r="Z349" i="41"/>
  <c r="D350" i="41"/>
  <c r="F350" i="41"/>
  <c r="G350" i="41"/>
  <c r="H350" i="41"/>
  <c r="I350" i="41"/>
  <c r="J350" i="41"/>
  <c r="K350" i="41"/>
  <c r="L350" i="41"/>
  <c r="D351" i="41"/>
  <c r="F351" i="41"/>
  <c r="G351" i="41"/>
  <c r="H351" i="41"/>
  <c r="I351" i="41"/>
  <c r="J351" i="41"/>
  <c r="K351" i="41"/>
  <c r="L351" i="41"/>
  <c r="M351" i="41"/>
  <c r="N351" i="41"/>
  <c r="O351" i="41"/>
  <c r="P351" i="41"/>
  <c r="Q351" i="41"/>
  <c r="R351" i="41"/>
  <c r="S351" i="41"/>
  <c r="T351" i="41"/>
  <c r="U351" i="41"/>
  <c r="V351" i="41"/>
  <c r="W351" i="41"/>
  <c r="X351" i="41"/>
  <c r="Y351" i="41"/>
  <c r="Z351" i="41"/>
  <c r="D353" i="41"/>
  <c r="D354" i="41"/>
  <c r="D355" i="41"/>
  <c r="F360" i="41"/>
  <c r="G360" i="41"/>
  <c r="H360" i="41"/>
  <c r="I360" i="41"/>
  <c r="J360" i="41"/>
  <c r="K360" i="41"/>
  <c r="L360" i="41"/>
  <c r="M360" i="41"/>
  <c r="N360" i="41"/>
  <c r="O360" i="41"/>
  <c r="P360" i="41"/>
  <c r="Q360" i="41"/>
  <c r="R360" i="41"/>
  <c r="S360" i="41"/>
  <c r="T360" i="41"/>
  <c r="U360" i="41"/>
  <c r="V360" i="41"/>
  <c r="W360" i="41"/>
  <c r="X360" i="41"/>
  <c r="Y360" i="41"/>
  <c r="Z360" i="41"/>
  <c r="F363" i="41"/>
  <c r="G363" i="41"/>
  <c r="H363" i="41"/>
  <c r="I363" i="41"/>
  <c r="J363" i="41"/>
  <c r="K363" i="41"/>
  <c r="L363" i="41"/>
  <c r="F364" i="41"/>
  <c r="G364" i="41"/>
  <c r="H364" i="41"/>
  <c r="I364" i="41"/>
  <c r="J364" i="41"/>
  <c r="K364" i="41"/>
  <c r="L364" i="41"/>
  <c r="L365" i="41"/>
  <c r="L366" i="41"/>
  <c r="D367" i="41"/>
  <c r="F367" i="41"/>
  <c r="G367" i="41"/>
  <c r="H367" i="41"/>
  <c r="I367" i="41"/>
  <c r="J367" i="41"/>
  <c r="K367" i="41"/>
  <c r="L367" i="41"/>
  <c r="M367" i="41"/>
  <c r="N367" i="41"/>
  <c r="O367" i="41"/>
  <c r="P367" i="41"/>
  <c r="Q367" i="41"/>
  <c r="R367" i="41"/>
  <c r="S367" i="41"/>
  <c r="T367" i="41"/>
  <c r="U367" i="41"/>
  <c r="V367" i="41"/>
  <c r="W367" i="41"/>
  <c r="X367" i="41"/>
  <c r="Y367" i="41"/>
  <c r="Z367" i="41"/>
  <c r="D369" i="41"/>
  <c r="F372" i="41"/>
  <c r="G372" i="41"/>
  <c r="H372" i="41"/>
  <c r="I372" i="41"/>
  <c r="J372" i="41"/>
  <c r="K372" i="41"/>
  <c r="L372" i="41"/>
  <c r="M372" i="41"/>
  <c r="N372" i="41"/>
  <c r="O372" i="41"/>
  <c r="P372" i="41"/>
  <c r="Q372" i="41"/>
  <c r="R372" i="41"/>
  <c r="S372" i="41"/>
  <c r="T372" i="41"/>
  <c r="U372" i="41"/>
  <c r="V372" i="41"/>
  <c r="W372" i="41"/>
  <c r="X372" i="41"/>
  <c r="Y372" i="41"/>
  <c r="Z372" i="41"/>
  <c r="F373" i="41"/>
  <c r="G373" i="41"/>
  <c r="H373" i="41"/>
  <c r="I373" i="41"/>
  <c r="J373" i="41"/>
  <c r="K373" i="41"/>
  <c r="L373" i="41"/>
  <c r="M373" i="41"/>
  <c r="N373" i="41"/>
  <c r="O373" i="41"/>
  <c r="P373" i="41"/>
  <c r="Q373" i="41"/>
  <c r="R373" i="41"/>
  <c r="S373" i="41"/>
  <c r="T373" i="41"/>
  <c r="U373" i="41"/>
  <c r="V373" i="41"/>
  <c r="W373" i="41"/>
  <c r="X373" i="41"/>
  <c r="Y373" i="41"/>
  <c r="Z373" i="41"/>
  <c r="H374" i="41"/>
  <c r="H375" i="41"/>
  <c r="F376" i="41"/>
  <c r="G376" i="41"/>
  <c r="H376" i="41"/>
  <c r="I376" i="41"/>
  <c r="J376" i="41"/>
  <c r="K376" i="41"/>
  <c r="L376" i="41"/>
  <c r="F377" i="41"/>
  <c r="G377" i="41"/>
  <c r="H377" i="41"/>
  <c r="I377" i="41"/>
  <c r="J377" i="41"/>
  <c r="K377" i="41"/>
  <c r="L377" i="41"/>
  <c r="L378" i="41"/>
  <c r="L379" i="41"/>
  <c r="D380" i="41"/>
  <c r="F380" i="41"/>
  <c r="G380" i="41"/>
  <c r="H380" i="41"/>
  <c r="I380" i="41"/>
  <c r="J380" i="41"/>
  <c r="K380" i="41"/>
  <c r="L380" i="41"/>
  <c r="M380" i="41"/>
  <c r="N380" i="41"/>
  <c r="O380" i="41"/>
  <c r="P380" i="41"/>
  <c r="Q380" i="41"/>
  <c r="R380" i="41"/>
  <c r="S380" i="41"/>
  <c r="T380" i="41"/>
  <c r="U380" i="41"/>
  <c r="V380" i="41"/>
  <c r="W380" i="41"/>
  <c r="X380" i="41"/>
  <c r="Y380" i="41"/>
  <c r="Z380" i="41"/>
  <c r="D382" i="41"/>
  <c r="D383" i="41"/>
  <c r="K385" i="41"/>
  <c r="L385" i="41"/>
  <c r="D388" i="41"/>
  <c r="G388" i="41"/>
  <c r="H388" i="41"/>
  <c r="I388" i="41"/>
  <c r="J388" i="41"/>
  <c r="K388" i="41"/>
  <c r="L388" i="41"/>
  <c r="M388" i="41"/>
  <c r="N388" i="41"/>
  <c r="O388" i="41"/>
  <c r="P388" i="41"/>
  <c r="Q388" i="41"/>
  <c r="R388" i="41"/>
  <c r="S388" i="41"/>
  <c r="T388" i="41"/>
  <c r="U388" i="41"/>
  <c r="V388" i="41"/>
  <c r="W388" i="41"/>
  <c r="X388" i="41"/>
  <c r="Y388" i="41"/>
  <c r="Z388" i="41"/>
  <c r="D389" i="41"/>
  <c r="F389" i="41"/>
  <c r="G389" i="41"/>
  <c r="H389" i="41"/>
  <c r="I389" i="41"/>
  <c r="J389" i="41"/>
  <c r="K389" i="41"/>
  <c r="L389" i="41"/>
  <c r="M389" i="41"/>
  <c r="N389" i="41"/>
  <c r="O389" i="41"/>
  <c r="P389" i="41"/>
  <c r="Q389" i="41"/>
  <c r="R389" i="41"/>
  <c r="S389" i="41"/>
  <c r="T389" i="41"/>
  <c r="U389" i="41"/>
  <c r="V389" i="41"/>
  <c r="W389" i="41"/>
  <c r="X389" i="41"/>
  <c r="Y389" i="41"/>
  <c r="Z389" i="41"/>
  <c r="D390" i="41"/>
  <c r="F390" i="41"/>
  <c r="G390" i="41"/>
  <c r="H390" i="41"/>
  <c r="I390" i="41"/>
  <c r="J390" i="41"/>
  <c r="K390" i="41"/>
  <c r="L390" i="41"/>
  <c r="D391" i="41"/>
  <c r="J391" i="41"/>
  <c r="K391" i="41"/>
  <c r="L391" i="41"/>
  <c r="D392" i="41"/>
  <c r="F392" i="41"/>
  <c r="G392" i="41"/>
  <c r="H392" i="41"/>
  <c r="I392" i="41"/>
  <c r="J392" i="41"/>
  <c r="K392" i="41"/>
  <c r="L392" i="41"/>
  <c r="D393" i="41"/>
  <c r="L393" i="41"/>
  <c r="D394" i="41"/>
  <c r="L394" i="41"/>
  <c r="D395" i="41"/>
  <c r="F395" i="41"/>
  <c r="G395" i="41"/>
  <c r="H395" i="41"/>
  <c r="I395" i="41"/>
  <c r="J395" i="41"/>
  <c r="K395" i="41"/>
  <c r="L395" i="41"/>
  <c r="M395" i="41"/>
  <c r="N395" i="41"/>
  <c r="O395" i="41"/>
  <c r="P395" i="41"/>
  <c r="Q395" i="41"/>
  <c r="R395" i="41"/>
  <c r="S395" i="41"/>
  <c r="T395" i="41"/>
  <c r="U395" i="41"/>
  <c r="V395" i="41"/>
  <c r="W395" i="41"/>
  <c r="X395" i="41"/>
  <c r="Y395" i="41"/>
  <c r="Z395" i="41"/>
  <c r="F400" i="41"/>
  <c r="G400" i="41"/>
  <c r="H400" i="41"/>
  <c r="I400" i="41"/>
  <c r="J400" i="41"/>
  <c r="K400" i="41"/>
  <c r="L400" i="41"/>
  <c r="M400" i="41"/>
  <c r="N400" i="41"/>
  <c r="O400" i="41"/>
  <c r="P400" i="41"/>
  <c r="Q400" i="41"/>
  <c r="R400" i="41"/>
  <c r="S400" i="41"/>
  <c r="T400" i="41"/>
  <c r="U400" i="41"/>
  <c r="V400" i="41"/>
  <c r="W400" i="41"/>
  <c r="X400" i="41"/>
  <c r="Y400" i="41"/>
  <c r="Z400" i="41"/>
  <c r="F403" i="41"/>
  <c r="G403" i="41"/>
  <c r="H403" i="41"/>
  <c r="I403" i="41"/>
  <c r="J403" i="41"/>
  <c r="K403" i="41"/>
  <c r="L403" i="41"/>
  <c r="F404" i="41"/>
  <c r="G404" i="41"/>
  <c r="H404" i="41"/>
  <c r="I404" i="41"/>
  <c r="J404" i="41"/>
  <c r="K404" i="41"/>
  <c r="L404" i="41"/>
  <c r="I405" i="41"/>
  <c r="L405" i="41"/>
  <c r="L406" i="41"/>
  <c r="D407" i="41"/>
  <c r="F407" i="41"/>
  <c r="G407" i="41"/>
  <c r="H407" i="41"/>
  <c r="I407" i="41"/>
  <c r="J407" i="41"/>
  <c r="K407" i="41"/>
  <c r="L407" i="41"/>
  <c r="M407" i="41"/>
  <c r="N407" i="41"/>
  <c r="O407" i="41"/>
  <c r="P407" i="41"/>
  <c r="Q407" i="41"/>
  <c r="R407" i="41"/>
  <c r="S407" i="41"/>
  <c r="T407" i="41"/>
  <c r="U407" i="41"/>
  <c r="V407" i="41"/>
  <c r="W407" i="41"/>
  <c r="X407" i="41"/>
  <c r="Y407" i="41"/>
  <c r="Z407" i="41"/>
  <c r="D409" i="41"/>
  <c r="F412" i="41"/>
  <c r="G412" i="41"/>
  <c r="H412" i="41"/>
  <c r="I412" i="41"/>
  <c r="J412" i="41"/>
  <c r="K412" i="41"/>
  <c r="L412" i="41"/>
  <c r="M412" i="41"/>
  <c r="N412" i="41"/>
  <c r="O412" i="41"/>
  <c r="P412" i="41"/>
  <c r="Q412" i="41"/>
  <c r="R412" i="41"/>
  <c r="S412" i="41"/>
  <c r="T412" i="41"/>
  <c r="U412" i="41"/>
  <c r="V412" i="41"/>
  <c r="W412" i="41"/>
  <c r="X412" i="41"/>
  <c r="Y412" i="41"/>
  <c r="Z412" i="41"/>
  <c r="F413" i="41"/>
  <c r="G413" i="41"/>
  <c r="H413" i="41"/>
  <c r="I413" i="41"/>
  <c r="J413" i="41"/>
  <c r="K413" i="41"/>
  <c r="L413" i="41"/>
  <c r="M413" i="41"/>
  <c r="N413" i="41"/>
  <c r="O413" i="41"/>
  <c r="P413" i="41"/>
  <c r="Q413" i="41"/>
  <c r="R413" i="41"/>
  <c r="S413" i="41"/>
  <c r="T413" i="41"/>
  <c r="U413" i="41"/>
  <c r="V413" i="41"/>
  <c r="W413" i="41"/>
  <c r="X413" i="41"/>
  <c r="Y413" i="41"/>
  <c r="Z413" i="41"/>
  <c r="H414" i="41"/>
  <c r="H415" i="41"/>
  <c r="F416" i="41"/>
  <c r="G416" i="41"/>
  <c r="H416" i="41"/>
  <c r="I416" i="41"/>
  <c r="J416" i="41"/>
  <c r="K416" i="41"/>
  <c r="L416" i="41"/>
  <c r="F417" i="41"/>
  <c r="G417" i="41"/>
  <c r="H417" i="41"/>
  <c r="I417" i="41"/>
  <c r="J417" i="41"/>
  <c r="K417" i="41"/>
  <c r="L417" i="41"/>
  <c r="I418" i="41"/>
  <c r="L418" i="41"/>
  <c r="L419" i="41"/>
  <c r="D420" i="41"/>
  <c r="F420" i="41"/>
  <c r="G420" i="41"/>
  <c r="H420" i="41"/>
  <c r="I420" i="41"/>
  <c r="J420" i="41"/>
  <c r="K420" i="41"/>
  <c r="L420" i="41"/>
  <c r="M420" i="41"/>
  <c r="N420" i="41"/>
  <c r="O420" i="41"/>
  <c r="P420" i="41"/>
  <c r="Q420" i="41"/>
  <c r="R420" i="41"/>
  <c r="S420" i="41"/>
  <c r="T420" i="41"/>
  <c r="U420" i="41"/>
  <c r="V420" i="41"/>
  <c r="W420" i="41"/>
  <c r="X420" i="41"/>
  <c r="Y420" i="41"/>
  <c r="Z420" i="41"/>
  <c r="D422" i="41"/>
  <c r="D423" i="41"/>
  <c r="K425" i="41"/>
  <c r="L425" i="41"/>
  <c r="D428" i="41"/>
  <c r="G428" i="41"/>
  <c r="H428" i="41"/>
  <c r="I428" i="41"/>
  <c r="J428" i="41"/>
  <c r="K428" i="41"/>
  <c r="L428" i="41"/>
  <c r="M428" i="41"/>
  <c r="N428" i="41"/>
  <c r="O428" i="41"/>
  <c r="P428" i="41"/>
  <c r="Q428" i="41"/>
  <c r="R428" i="41"/>
  <c r="S428" i="41"/>
  <c r="T428" i="41"/>
  <c r="U428" i="41"/>
  <c r="V428" i="41"/>
  <c r="W428" i="41"/>
  <c r="X428" i="41"/>
  <c r="Y428" i="41"/>
  <c r="Z428" i="41"/>
  <c r="D429" i="41"/>
  <c r="F429" i="41"/>
  <c r="G429" i="41"/>
  <c r="H429" i="41"/>
  <c r="I429" i="41"/>
  <c r="J429" i="41"/>
  <c r="K429" i="41"/>
  <c r="L429" i="41"/>
  <c r="M429" i="41"/>
  <c r="N429" i="41"/>
  <c r="O429" i="41"/>
  <c r="P429" i="41"/>
  <c r="Q429" i="41"/>
  <c r="R429" i="41"/>
  <c r="S429" i="41"/>
  <c r="T429" i="41"/>
  <c r="U429" i="41"/>
  <c r="V429" i="41"/>
  <c r="W429" i="41"/>
  <c r="X429" i="41"/>
  <c r="Y429" i="41"/>
  <c r="Z429" i="41"/>
  <c r="D430" i="41"/>
  <c r="F430" i="41"/>
  <c r="G430" i="41"/>
  <c r="H430" i="41"/>
  <c r="I430" i="41"/>
  <c r="J430" i="41"/>
  <c r="K430" i="41"/>
  <c r="L430" i="41"/>
  <c r="D431" i="41"/>
  <c r="J431" i="41"/>
  <c r="K431" i="41"/>
  <c r="L431" i="41"/>
  <c r="D432" i="41"/>
  <c r="F432" i="41"/>
  <c r="G432" i="41"/>
  <c r="H432" i="41"/>
  <c r="I432" i="41"/>
  <c r="J432" i="41"/>
  <c r="K432" i="41"/>
  <c r="L432" i="41"/>
  <c r="D433" i="41"/>
  <c r="I433" i="41"/>
  <c r="L433" i="41"/>
  <c r="D434" i="41"/>
  <c r="L434" i="41"/>
  <c r="D435" i="41"/>
  <c r="F435" i="41"/>
  <c r="G435" i="41"/>
  <c r="H435" i="41"/>
  <c r="I435" i="41"/>
  <c r="J435" i="41"/>
  <c r="K435" i="41"/>
  <c r="L435" i="41"/>
  <c r="M435" i="41"/>
  <c r="N435" i="41"/>
  <c r="O435" i="41"/>
  <c r="P435" i="41"/>
  <c r="Q435" i="41"/>
  <c r="R435" i="41"/>
  <c r="S435" i="41"/>
  <c r="T435" i="41"/>
  <c r="U435" i="41"/>
  <c r="V435" i="41"/>
  <c r="W435" i="41"/>
  <c r="X435" i="41"/>
  <c r="Y435" i="41"/>
  <c r="Z435" i="41"/>
  <c r="F24" i="53"/>
  <c r="G24" i="53"/>
  <c r="H24" i="53"/>
  <c r="I24" i="53"/>
  <c r="J24" i="53"/>
  <c r="K24" i="53"/>
  <c r="L24" i="53"/>
  <c r="M24" i="53"/>
  <c r="N24" i="53"/>
  <c r="O24" i="53"/>
  <c r="P24" i="53"/>
  <c r="Q24" i="53"/>
  <c r="R24" i="53"/>
  <c r="S24" i="53"/>
  <c r="T24" i="53"/>
  <c r="U24" i="53"/>
  <c r="V24" i="53"/>
  <c r="W24" i="53"/>
  <c r="X24" i="53"/>
  <c r="Y24" i="53"/>
  <c r="Z24" i="53"/>
  <c r="F25" i="53"/>
  <c r="G25" i="53"/>
  <c r="H25" i="53"/>
  <c r="I25" i="53"/>
  <c r="J25" i="53"/>
  <c r="K25" i="53"/>
  <c r="L25" i="53"/>
  <c r="M25" i="53"/>
  <c r="N25" i="53"/>
  <c r="O25" i="53"/>
  <c r="P25" i="53"/>
  <c r="Q25" i="53"/>
  <c r="R25" i="53"/>
  <c r="S25" i="53"/>
  <c r="T25" i="53"/>
  <c r="U25" i="53"/>
  <c r="V25" i="53"/>
  <c r="W25" i="53"/>
  <c r="X25" i="53"/>
  <c r="Y25" i="53"/>
  <c r="Z25" i="53"/>
  <c r="F27" i="53"/>
  <c r="G27" i="53"/>
  <c r="H27" i="53"/>
  <c r="I27" i="53"/>
  <c r="J27" i="53"/>
  <c r="K27" i="53"/>
  <c r="L27" i="53"/>
  <c r="M27" i="53"/>
  <c r="N27" i="53"/>
  <c r="O27" i="53"/>
  <c r="P27" i="53"/>
  <c r="Q27" i="53"/>
  <c r="R27" i="53"/>
  <c r="S27" i="53"/>
  <c r="T27" i="53"/>
  <c r="U27" i="53"/>
  <c r="V27" i="53"/>
  <c r="W27" i="53"/>
  <c r="X27" i="53"/>
  <c r="Y27" i="53"/>
  <c r="Z27" i="53"/>
  <c r="F28" i="53"/>
  <c r="G28" i="53"/>
  <c r="H28" i="53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F29" i="53"/>
  <c r="G29" i="53"/>
  <c r="H29" i="53"/>
  <c r="I29" i="53"/>
  <c r="J29" i="53"/>
  <c r="K29" i="53"/>
  <c r="L29" i="53"/>
  <c r="M29" i="53"/>
  <c r="N29" i="53"/>
  <c r="O29" i="53"/>
  <c r="P29" i="53"/>
  <c r="Q29" i="53"/>
  <c r="R29" i="53"/>
  <c r="S29" i="53"/>
  <c r="T29" i="53"/>
  <c r="U29" i="53"/>
  <c r="V29" i="53"/>
  <c r="W29" i="53"/>
  <c r="X29" i="53"/>
  <c r="Y29" i="53"/>
  <c r="Z29" i="53"/>
  <c r="F47" i="53"/>
  <c r="G47" i="53"/>
  <c r="H47" i="53"/>
  <c r="I47" i="53"/>
  <c r="J47" i="53"/>
  <c r="K47" i="53"/>
  <c r="L47" i="53"/>
  <c r="M47" i="53"/>
  <c r="N47" i="53"/>
  <c r="O47" i="53"/>
  <c r="P47" i="53"/>
  <c r="Q47" i="53"/>
  <c r="R47" i="53"/>
  <c r="S47" i="53"/>
  <c r="T47" i="53"/>
  <c r="U47" i="53"/>
  <c r="V47" i="53"/>
  <c r="W47" i="53"/>
  <c r="X47" i="53"/>
  <c r="Y47" i="53"/>
  <c r="Z47" i="53"/>
  <c r="F48" i="53"/>
  <c r="G48" i="53"/>
  <c r="H48" i="53"/>
  <c r="I48" i="53"/>
  <c r="J48" i="53"/>
  <c r="K48" i="53"/>
  <c r="L48" i="53"/>
  <c r="M48" i="53"/>
  <c r="N48" i="53"/>
  <c r="O48" i="53"/>
  <c r="P48" i="53"/>
  <c r="Q48" i="53"/>
  <c r="R48" i="53"/>
  <c r="S48" i="53"/>
  <c r="T48" i="53"/>
  <c r="U48" i="53"/>
  <c r="V48" i="53"/>
  <c r="W48" i="53"/>
  <c r="X48" i="53"/>
  <c r="Y48" i="53"/>
  <c r="Z48" i="53"/>
  <c r="F50" i="53"/>
  <c r="G50" i="53"/>
  <c r="H50" i="53"/>
  <c r="I50" i="53"/>
  <c r="J50" i="53"/>
  <c r="K50" i="53"/>
  <c r="L50" i="53"/>
  <c r="M50" i="53"/>
  <c r="N50" i="53"/>
  <c r="O50" i="53"/>
  <c r="P50" i="53"/>
  <c r="Q50" i="53"/>
  <c r="R50" i="53"/>
  <c r="S50" i="53"/>
  <c r="T50" i="53"/>
  <c r="U50" i="53"/>
  <c r="V50" i="53"/>
  <c r="W50" i="53"/>
  <c r="X50" i="53"/>
  <c r="Y50" i="53"/>
  <c r="Z50" i="53"/>
  <c r="F51" i="53"/>
  <c r="G51" i="53"/>
  <c r="H51" i="53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F52" i="53"/>
  <c r="G52" i="53"/>
  <c r="H52" i="53"/>
  <c r="I52" i="53"/>
  <c r="J52" i="53"/>
  <c r="K52" i="53"/>
  <c r="L52" i="53"/>
  <c r="M52" i="53"/>
  <c r="N52" i="53"/>
  <c r="O52" i="53"/>
  <c r="P52" i="53"/>
  <c r="Q52" i="53"/>
  <c r="R52" i="53"/>
  <c r="S52" i="53"/>
  <c r="T52" i="53"/>
  <c r="U52" i="53"/>
  <c r="V52" i="53"/>
  <c r="W52" i="53"/>
  <c r="X52" i="53"/>
  <c r="Y52" i="53"/>
  <c r="Z52" i="53"/>
  <c r="F64" i="53"/>
  <c r="G64" i="53"/>
  <c r="H64" i="53"/>
  <c r="I64" i="53"/>
  <c r="J64" i="53"/>
  <c r="K64" i="53"/>
  <c r="L64" i="53"/>
  <c r="M64" i="53"/>
  <c r="N64" i="53"/>
  <c r="O64" i="53"/>
  <c r="P64" i="53"/>
  <c r="Q64" i="53"/>
  <c r="R64" i="53"/>
  <c r="S64" i="53"/>
  <c r="T64" i="53"/>
  <c r="U64" i="53"/>
  <c r="V64" i="53"/>
  <c r="W64" i="53"/>
  <c r="X64" i="53"/>
  <c r="Y64" i="53"/>
  <c r="Z64" i="53"/>
  <c r="F65" i="53"/>
  <c r="G65" i="53"/>
  <c r="H65" i="53"/>
  <c r="I65" i="53"/>
  <c r="J65" i="53"/>
  <c r="K65" i="53"/>
  <c r="L65" i="53"/>
  <c r="M65" i="53"/>
  <c r="N65" i="53"/>
  <c r="O65" i="53"/>
  <c r="P65" i="53"/>
  <c r="Q65" i="53"/>
  <c r="R65" i="53"/>
  <c r="S65" i="53"/>
  <c r="T65" i="53"/>
  <c r="U65" i="53"/>
  <c r="V65" i="53"/>
  <c r="W65" i="53"/>
  <c r="X65" i="53"/>
  <c r="Y65" i="53"/>
  <c r="Z65" i="53"/>
  <c r="F68" i="53"/>
  <c r="G68" i="53"/>
  <c r="H68" i="53"/>
  <c r="I68" i="53"/>
  <c r="J68" i="53"/>
  <c r="K68" i="53"/>
  <c r="L68" i="53"/>
  <c r="M68" i="53"/>
  <c r="N68" i="53"/>
  <c r="O68" i="53"/>
  <c r="P68" i="53"/>
  <c r="Q68" i="53"/>
  <c r="R68" i="53"/>
  <c r="S68" i="53"/>
  <c r="T68" i="53"/>
  <c r="U68" i="53"/>
  <c r="V68" i="53"/>
  <c r="W68" i="53"/>
  <c r="X68" i="53"/>
  <c r="Y68" i="53"/>
  <c r="Z68" i="53"/>
  <c r="F69" i="53"/>
  <c r="G69" i="53"/>
  <c r="H69" i="53"/>
  <c r="I69" i="53"/>
  <c r="J69" i="53"/>
  <c r="K69" i="53"/>
  <c r="L69" i="53"/>
  <c r="M69" i="53"/>
  <c r="N69" i="53"/>
  <c r="O69" i="53"/>
  <c r="P69" i="53"/>
  <c r="Q69" i="53"/>
  <c r="R69" i="53"/>
  <c r="S69" i="53"/>
  <c r="T69" i="53"/>
  <c r="U69" i="53"/>
  <c r="V69" i="53"/>
  <c r="W69" i="53"/>
  <c r="X69" i="53"/>
  <c r="Y69" i="53"/>
  <c r="Z69" i="53"/>
  <c r="F71" i="53"/>
  <c r="G71" i="53"/>
  <c r="H71" i="53"/>
  <c r="I71" i="53"/>
  <c r="J71" i="53"/>
  <c r="K71" i="53"/>
  <c r="L71" i="53"/>
  <c r="M71" i="53"/>
  <c r="N71" i="53"/>
  <c r="O71" i="53"/>
  <c r="P71" i="53"/>
  <c r="Q71" i="53"/>
  <c r="R71" i="53"/>
  <c r="S71" i="53"/>
  <c r="T71" i="53"/>
  <c r="U71" i="53"/>
  <c r="V71" i="53"/>
  <c r="W71" i="53"/>
  <c r="X71" i="53"/>
  <c r="Y71" i="53"/>
  <c r="Z71" i="53"/>
  <c r="F72" i="53"/>
  <c r="G72" i="53"/>
  <c r="H72" i="53"/>
  <c r="I72" i="53"/>
  <c r="J72" i="53"/>
  <c r="K72" i="53"/>
  <c r="L72" i="53"/>
  <c r="M72" i="53"/>
  <c r="N72" i="53"/>
  <c r="O72" i="53"/>
  <c r="P72" i="53"/>
  <c r="Q72" i="53"/>
  <c r="R72" i="53"/>
  <c r="S72" i="53"/>
  <c r="T72" i="53"/>
  <c r="U72" i="53"/>
  <c r="V72" i="53"/>
  <c r="W72" i="53"/>
  <c r="X72" i="53"/>
  <c r="Y72" i="53"/>
  <c r="Z72" i="53"/>
  <c r="F73" i="53"/>
  <c r="G73" i="53"/>
  <c r="H73" i="53"/>
  <c r="I73" i="53"/>
  <c r="J73" i="53"/>
  <c r="K73" i="53"/>
  <c r="L73" i="53"/>
  <c r="M73" i="53"/>
  <c r="N73" i="53"/>
  <c r="O73" i="53"/>
  <c r="P73" i="53"/>
  <c r="Q73" i="53"/>
  <c r="R73" i="53"/>
  <c r="S73" i="53"/>
  <c r="T73" i="53"/>
  <c r="U73" i="53"/>
  <c r="V73" i="53"/>
  <c r="W73" i="53"/>
  <c r="X73" i="53"/>
  <c r="Y73" i="53"/>
  <c r="Z73" i="53"/>
  <c r="F85" i="53"/>
  <c r="G85" i="53"/>
  <c r="H85" i="53"/>
  <c r="I85" i="53"/>
  <c r="J85" i="53"/>
  <c r="K85" i="53"/>
  <c r="L85" i="53"/>
  <c r="M85" i="53"/>
  <c r="N85" i="53"/>
  <c r="O85" i="53"/>
  <c r="P85" i="53"/>
  <c r="Q85" i="53"/>
  <c r="R85" i="53"/>
  <c r="S85" i="53"/>
  <c r="T85" i="53"/>
  <c r="U85" i="53"/>
  <c r="V85" i="53"/>
  <c r="W85" i="53"/>
  <c r="X85" i="53"/>
  <c r="Y85" i="53"/>
  <c r="Z85" i="53"/>
  <c r="F86" i="53"/>
  <c r="G86" i="53"/>
  <c r="H86" i="53"/>
  <c r="I86" i="53"/>
  <c r="J86" i="53"/>
  <c r="K86" i="53"/>
  <c r="L86" i="53"/>
  <c r="M86" i="53"/>
  <c r="N86" i="53"/>
  <c r="O86" i="53"/>
  <c r="P86" i="53"/>
  <c r="Q86" i="53"/>
  <c r="R86" i="53"/>
  <c r="S86" i="53"/>
  <c r="T86" i="53"/>
  <c r="U86" i="53"/>
  <c r="V86" i="53"/>
  <c r="W86" i="53"/>
  <c r="X86" i="53"/>
  <c r="Y86" i="53"/>
  <c r="Z86" i="53"/>
  <c r="F89" i="53"/>
  <c r="G89" i="53"/>
  <c r="H89" i="53"/>
  <c r="I89" i="53"/>
  <c r="J89" i="53"/>
  <c r="K89" i="53"/>
  <c r="L89" i="53"/>
  <c r="M89" i="53"/>
  <c r="N89" i="53"/>
  <c r="O89" i="53"/>
  <c r="P89" i="53"/>
  <c r="Q89" i="53"/>
  <c r="R89" i="53"/>
  <c r="S89" i="53"/>
  <c r="T89" i="53"/>
  <c r="U89" i="53"/>
  <c r="V89" i="53"/>
  <c r="W89" i="53"/>
  <c r="X89" i="53"/>
  <c r="Y89" i="53"/>
  <c r="Z89" i="53"/>
  <c r="F90" i="53"/>
  <c r="G90" i="53"/>
  <c r="H90" i="53"/>
  <c r="I90" i="53"/>
  <c r="J90" i="53"/>
  <c r="K90" i="53"/>
  <c r="L90" i="53"/>
  <c r="M90" i="53"/>
  <c r="N90" i="53"/>
  <c r="O90" i="53"/>
  <c r="P90" i="53"/>
  <c r="Q90" i="53"/>
  <c r="R90" i="53"/>
  <c r="S90" i="53"/>
  <c r="T90" i="53"/>
  <c r="U90" i="53"/>
  <c r="V90" i="53"/>
  <c r="W90" i="53"/>
  <c r="X90" i="53"/>
  <c r="Y90" i="53"/>
  <c r="Z90" i="53"/>
  <c r="F92" i="53"/>
  <c r="G92" i="53"/>
  <c r="H92" i="53"/>
  <c r="I92" i="53"/>
  <c r="J92" i="53"/>
  <c r="K92" i="53"/>
  <c r="L92" i="53"/>
  <c r="M92" i="53"/>
  <c r="N92" i="53"/>
  <c r="O92" i="53"/>
  <c r="P92" i="53"/>
  <c r="Q92" i="53"/>
  <c r="R92" i="53"/>
  <c r="S92" i="53"/>
  <c r="T92" i="53"/>
  <c r="U92" i="53"/>
  <c r="V92" i="53"/>
  <c r="W92" i="53"/>
  <c r="X92" i="53"/>
  <c r="Y92" i="53"/>
  <c r="Z92" i="53"/>
  <c r="F93" i="53"/>
  <c r="G93" i="53"/>
  <c r="H93" i="53"/>
  <c r="I93" i="53"/>
  <c r="J93" i="53"/>
  <c r="K93" i="53"/>
  <c r="L93" i="53"/>
  <c r="M93" i="53"/>
  <c r="N93" i="53"/>
  <c r="O93" i="53"/>
  <c r="P93" i="53"/>
  <c r="Q93" i="53"/>
  <c r="R93" i="53"/>
  <c r="S93" i="53"/>
  <c r="T93" i="53"/>
  <c r="U93" i="53"/>
  <c r="V93" i="53"/>
  <c r="W93" i="53"/>
  <c r="X93" i="53"/>
  <c r="Y93" i="53"/>
  <c r="Z93" i="53"/>
  <c r="F94" i="53"/>
  <c r="G94" i="53"/>
  <c r="H94" i="53"/>
  <c r="I94" i="53"/>
  <c r="J94" i="53"/>
  <c r="K94" i="53"/>
  <c r="L94" i="53"/>
  <c r="M94" i="53"/>
  <c r="N94" i="53"/>
  <c r="O94" i="53"/>
  <c r="P94" i="53"/>
  <c r="Q94" i="53"/>
  <c r="R94" i="53"/>
  <c r="S94" i="53"/>
  <c r="T94" i="53"/>
  <c r="U94" i="53"/>
  <c r="V94" i="53"/>
  <c r="W94" i="53"/>
  <c r="X94" i="53"/>
  <c r="Y94" i="53"/>
  <c r="Z94" i="53"/>
  <c r="F106" i="53"/>
  <c r="G106" i="53"/>
  <c r="H106" i="53"/>
  <c r="I106" i="53"/>
  <c r="J106" i="53"/>
  <c r="K106" i="53"/>
  <c r="L106" i="53"/>
  <c r="M106" i="53"/>
  <c r="N106" i="53"/>
  <c r="O106" i="53"/>
  <c r="P106" i="53"/>
  <c r="Q106" i="53"/>
  <c r="R106" i="53"/>
  <c r="S106" i="53"/>
  <c r="T106" i="53"/>
  <c r="U106" i="53"/>
  <c r="V106" i="53"/>
  <c r="W106" i="53"/>
  <c r="X106" i="53"/>
  <c r="Y106" i="53"/>
  <c r="Z106" i="53"/>
  <c r="F107" i="53"/>
  <c r="G107" i="53"/>
  <c r="H107" i="53"/>
  <c r="I107" i="53"/>
  <c r="J107" i="53"/>
  <c r="K107" i="53"/>
  <c r="L107" i="53"/>
  <c r="M107" i="53"/>
  <c r="N107" i="53"/>
  <c r="O107" i="53"/>
  <c r="P107" i="53"/>
  <c r="Q107" i="53"/>
  <c r="R107" i="53"/>
  <c r="S107" i="53"/>
  <c r="T107" i="53"/>
  <c r="U107" i="53"/>
  <c r="V107" i="53"/>
  <c r="W107" i="53"/>
  <c r="X107" i="53"/>
  <c r="Y107" i="53"/>
  <c r="Z107" i="53"/>
  <c r="F110" i="53"/>
  <c r="G110" i="53"/>
  <c r="H110" i="53"/>
  <c r="I110" i="53"/>
  <c r="J110" i="53"/>
  <c r="K110" i="53"/>
  <c r="L110" i="53"/>
  <c r="M110" i="53"/>
  <c r="N110" i="53"/>
  <c r="O110" i="53"/>
  <c r="P110" i="53"/>
  <c r="Q110" i="53"/>
  <c r="R110" i="53"/>
  <c r="S110" i="53"/>
  <c r="T110" i="53"/>
  <c r="U110" i="53"/>
  <c r="V110" i="53"/>
  <c r="W110" i="53"/>
  <c r="X110" i="53"/>
  <c r="Y110" i="53"/>
  <c r="Z110" i="53"/>
  <c r="F111" i="53"/>
  <c r="G111" i="53"/>
  <c r="H111" i="53"/>
  <c r="I111" i="53"/>
  <c r="J111" i="53"/>
  <c r="K111" i="53"/>
  <c r="L111" i="53"/>
  <c r="M111" i="53"/>
  <c r="N111" i="53"/>
  <c r="O111" i="53"/>
  <c r="P111" i="53"/>
  <c r="Q111" i="53"/>
  <c r="R111" i="53"/>
  <c r="S111" i="53"/>
  <c r="T111" i="53"/>
  <c r="U111" i="53"/>
  <c r="V111" i="53"/>
  <c r="W111" i="53"/>
  <c r="X111" i="53"/>
  <c r="Y111" i="53"/>
  <c r="Z111" i="53"/>
  <c r="F113" i="53"/>
  <c r="G113" i="53"/>
  <c r="H113" i="53"/>
  <c r="I113" i="53"/>
  <c r="J113" i="53"/>
  <c r="K113" i="53"/>
  <c r="L113" i="53"/>
  <c r="M113" i="53"/>
  <c r="N113" i="53"/>
  <c r="O113" i="53"/>
  <c r="P113" i="53"/>
  <c r="Q113" i="53"/>
  <c r="R113" i="53"/>
  <c r="S113" i="53"/>
  <c r="T113" i="53"/>
  <c r="U113" i="53"/>
  <c r="V113" i="53"/>
  <c r="W113" i="53"/>
  <c r="X113" i="53"/>
  <c r="Y113" i="53"/>
  <c r="Z113" i="53"/>
  <c r="F114" i="53"/>
  <c r="G114" i="53"/>
  <c r="H114" i="53"/>
  <c r="I114" i="53"/>
  <c r="J114" i="53"/>
  <c r="K114" i="53"/>
  <c r="L114" i="53"/>
  <c r="M114" i="53"/>
  <c r="N114" i="53"/>
  <c r="O114" i="53"/>
  <c r="P114" i="53"/>
  <c r="Q114" i="53"/>
  <c r="R114" i="53"/>
  <c r="S114" i="53"/>
  <c r="T114" i="53"/>
  <c r="U114" i="53"/>
  <c r="V114" i="53"/>
  <c r="W114" i="53"/>
  <c r="X114" i="53"/>
  <c r="Y114" i="53"/>
  <c r="Z114" i="53"/>
  <c r="F115" i="53"/>
  <c r="G115" i="53"/>
  <c r="H115" i="53"/>
  <c r="I115" i="53"/>
  <c r="J115" i="53"/>
  <c r="K115" i="53"/>
  <c r="L115" i="53"/>
  <c r="M115" i="53"/>
  <c r="N115" i="53"/>
  <c r="O115" i="53"/>
  <c r="P115" i="53"/>
  <c r="Q115" i="53"/>
  <c r="R115" i="53"/>
  <c r="S115" i="53"/>
  <c r="T115" i="53"/>
  <c r="U115" i="53"/>
  <c r="V115" i="53"/>
  <c r="W115" i="53"/>
  <c r="X115" i="53"/>
  <c r="Y115" i="53"/>
  <c r="Z115" i="53"/>
  <c r="F132" i="53"/>
  <c r="G132" i="53"/>
  <c r="H132" i="53"/>
  <c r="I132" i="53"/>
  <c r="J132" i="53"/>
  <c r="K132" i="53"/>
  <c r="L132" i="53"/>
  <c r="M132" i="53"/>
  <c r="N132" i="53"/>
  <c r="O132" i="53"/>
  <c r="P132" i="53"/>
  <c r="Q132" i="53"/>
  <c r="R132" i="53"/>
  <c r="S132" i="53"/>
  <c r="T132" i="53"/>
  <c r="U132" i="53"/>
  <c r="V132" i="53"/>
  <c r="W132" i="53"/>
  <c r="X132" i="53"/>
  <c r="Y132" i="53"/>
  <c r="Z132" i="53"/>
  <c r="F133" i="53"/>
  <c r="G133" i="53"/>
  <c r="H133" i="53"/>
  <c r="I133" i="53"/>
  <c r="J133" i="53"/>
  <c r="K133" i="53"/>
  <c r="L133" i="53"/>
  <c r="M133" i="53"/>
  <c r="N133" i="53"/>
  <c r="O133" i="53"/>
  <c r="P133" i="53"/>
  <c r="Q133" i="53"/>
  <c r="R133" i="53"/>
  <c r="S133" i="53"/>
  <c r="T133" i="53"/>
  <c r="U133" i="53"/>
  <c r="V133" i="53"/>
  <c r="W133" i="53"/>
  <c r="X133" i="53"/>
  <c r="Y133" i="53"/>
  <c r="Z133" i="53"/>
  <c r="F135" i="53"/>
  <c r="G135" i="53"/>
  <c r="H135" i="53"/>
  <c r="I135" i="53"/>
  <c r="J135" i="53"/>
  <c r="K135" i="53"/>
  <c r="L135" i="53"/>
  <c r="M135" i="53"/>
  <c r="N135" i="53"/>
  <c r="O135" i="53"/>
  <c r="P135" i="53"/>
  <c r="Q135" i="53"/>
  <c r="R135" i="53"/>
  <c r="S135" i="53"/>
  <c r="T135" i="53"/>
  <c r="U135" i="53"/>
  <c r="V135" i="53"/>
  <c r="W135" i="53"/>
  <c r="X135" i="53"/>
  <c r="Y135" i="53"/>
  <c r="Z135" i="53"/>
  <c r="F136" i="53"/>
  <c r="G136" i="53"/>
  <c r="H136" i="53"/>
  <c r="I136" i="53"/>
  <c r="J136" i="53"/>
  <c r="K136" i="53"/>
  <c r="L136" i="53"/>
  <c r="M136" i="53"/>
  <c r="N136" i="53"/>
  <c r="O136" i="53"/>
  <c r="P136" i="53"/>
  <c r="Q136" i="53"/>
  <c r="R136" i="53"/>
  <c r="S136" i="53"/>
  <c r="T136" i="53"/>
  <c r="U136" i="53"/>
  <c r="V136" i="53"/>
  <c r="W136" i="53"/>
  <c r="X136" i="53"/>
  <c r="Y136" i="53"/>
  <c r="Z136" i="53"/>
  <c r="F137" i="53"/>
  <c r="G137" i="53"/>
  <c r="H137" i="53"/>
  <c r="I137" i="53"/>
  <c r="J137" i="53"/>
  <c r="K137" i="53"/>
  <c r="L137" i="53"/>
  <c r="M137" i="53"/>
  <c r="N137" i="53"/>
  <c r="O137" i="53"/>
  <c r="P137" i="53"/>
  <c r="Q137" i="53"/>
  <c r="R137" i="53"/>
  <c r="S137" i="53"/>
  <c r="T137" i="53"/>
  <c r="U137" i="53"/>
  <c r="V137" i="53"/>
  <c r="W137" i="53"/>
  <c r="X137" i="53"/>
  <c r="Y137" i="53"/>
  <c r="Z137" i="53"/>
  <c r="F139" i="53"/>
  <c r="G139" i="53"/>
  <c r="H139" i="53"/>
  <c r="I139" i="53"/>
  <c r="J139" i="53"/>
  <c r="K139" i="53"/>
  <c r="L139" i="53"/>
  <c r="M139" i="53"/>
  <c r="N139" i="53"/>
  <c r="O139" i="53"/>
  <c r="P139" i="53"/>
  <c r="Q139" i="53"/>
  <c r="R139" i="53"/>
  <c r="S139" i="53"/>
  <c r="T139" i="53"/>
  <c r="U139" i="53"/>
  <c r="V139" i="53"/>
  <c r="W139" i="53"/>
  <c r="X139" i="53"/>
  <c r="Y139" i="53"/>
  <c r="Z139" i="53"/>
  <c r="G142" i="53"/>
  <c r="H142" i="53"/>
  <c r="I142" i="53"/>
  <c r="J142" i="53"/>
  <c r="K142" i="53"/>
  <c r="L142" i="53"/>
  <c r="M142" i="53"/>
  <c r="N142" i="53"/>
  <c r="O142" i="53"/>
  <c r="P142" i="53"/>
  <c r="Q142" i="53"/>
  <c r="R142" i="53"/>
  <c r="S142" i="53"/>
  <c r="T142" i="53"/>
  <c r="U142" i="53"/>
  <c r="V142" i="53"/>
  <c r="W142" i="53"/>
  <c r="X142" i="53"/>
  <c r="Y142" i="53"/>
  <c r="Z142" i="53"/>
  <c r="I143" i="53"/>
  <c r="F144" i="53"/>
  <c r="G144" i="53"/>
  <c r="H144" i="53"/>
  <c r="I144" i="53"/>
  <c r="J144" i="53"/>
  <c r="K144" i="53"/>
  <c r="L144" i="53"/>
  <c r="M144" i="53"/>
  <c r="N144" i="53"/>
  <c r="O144" i="53"/>
  <c r="P144" i="53"/>
  <c r="Q144" i="53"/>
  <c r="R144" i="53"/>
  <c r="S144" i="53"/>
  <c r="T144" i="53"/>
  <c r="U144" i="53"/>
  <c r="V144" i="53"/>
  <c r="W144" i="53"/>
  <c r="X144" i="53"/>
  <c r="Y144" i="53"/>
  <c r="Z144" i="53"/>
  <c r="F145" i="53"/>
  <c r="G145" i="53"/>
  <c r="H145" i="53"/>
  <c r="I145" i="53"/>
  <c r="J145" i="53"/>
  <c r="K145" i="53"/>
  <c r="L145" i="53"/>
  <c r="M145" i="53"/>
  <c r="N145" i="53"/>
  <c r="O145" i="53"/>
  <c r="P145" i="53"/>
  <c r="Q145" i="53"/>
  <c r="R145" i="53"/>
  <c r="S145" i="53"/>
  <c r="T145" i="53"/>
  <c r="U145" i="53"/>
  <c r="V145" i="53"/>
  <c r="W145" i="53"/>
  <c r="X145" i="53"/>
  <c r="Y145" i="53"/>
  <c r="Z145" i="53"/>
  <c r="F147" i="53"/>
  <c r="G147" i="53"/>
  <c r="H147" i="53"/>
  <c r="I147" i="53"/>
  <c r="J147" i="53"/>
  <c r="K147" i="53"/>
  <c r="L147" i="53"/>
  <c r="M147" i="53"/>
  <c r="N147" i="53"/>
  <c r="O147" i="53"/>
  <c r="P147" i="53"/>
  <c r="Q147" i="53"/>
  <c r="R147" i="53"/>
  <c r="S147" i="53"/>
  <c r="T147" i="53"/>
  <c r="U147" i="53"/>
  <c r="V147" i="53"/>
  <c r="W147" i="53"/>
  <c r="X147" i="53"/>
  <c r="Y147" i="53"/>
  <c r="Z147" i="53"/>
  <c r="F148" i="53"/>
  <c r="G148" i="53"/>
  <c r="H148" i="53"/>
  <c r="I148" i="53"/>
  <c r="J148" i="53"/>
  <c r="K148" i="53"/>
  <c r="L148" i="53"/>
  <c r="M148" i="53"/>
  <c r="N148" i="53"/>
  <c r="O148" i="53"/>
  <c r="P148" i="53"/>
  <c r="Q148" i="53"/>
  <c r="R148" i="53"/>
  <c r="S148" i="53"/>
  <c r="T148" i="53"/>
  <c r="U148" i="53"/>
  <c r="V148" i="53"/>
  <c r="W148" i="53"/>
  <c r="X148" i="53"/>
  <c r="Y148" i="53"/>
  <c r="Z148" i="53"/>
  <c r="F149" i="53"/>
  <c r="G149" i="53"/>
  <c r="H149" i="53"/>
  <c r="I149" i="53"/>
  <c r="J149" i="53"/>
  <c r="K149" i="53"/>
  <c r="L149" i="53"/>
  <c r="M149" i="53"/>
  <c r="N149" i="53"/>
  <c r="O149" i="53"/>
  <c r="P149" i="53"/>
  <c r="Q149" i="53"/>
  <c r="R149" i="53"/>
  <c r="S149" i="53"/>
  <c r="T149" i="53"/>
  <c r="U149" i="53"/>
  <c r="V149" i="53"/>
  <c r="W149" i="53"/>
  <c r="X149" i="53"/>
  <c r="Y149" i="53"/>
  <c r="Z149" i="53"/>
  <c r="I151" i="53"/>
  <c r="F153" i="53"/>
  <c r="G153" i="53"/>
  <c r="H153" i="53"/>
  <c r="I153" i="53"/>
  <c r="J153" i="53"/>
  <c r="K153" i="53"/>
  <c r="L153" i="53"/>
  <c r="M153" i="53"/>
  <c r="N153" i="53"/>
  <c r="O153" i="53"/>
  <c r="P153" i="53"/>
  <c r="Q153" i="53"/>
  <c r="R153" i="53"/>
  <c r="S153" i="53"/>
  <c r="T153" i="53"/>
  <c r="U153" i="53"/>
  <c r="V153" i="53"/>
  <c r="W153" i="53"/>
  <c r="X153" i="53"/>
  <c r="Y153" i="53"/>
  <c r="Z153" i="53"/>
  <c r="L156" i="53"/>
  <c r="I157" i="53"/>
  <c r="L158" i="53"/>
  <c r="L159" i="53"/>
  <c r="I160" i="53"/>
  <c r="L160" i="53"/>
  <c r="F163" i="53"/>
  <c r="G163" i="53"/>
  <c r="H163" i="53"/>
  <c r="I163" i="53"/>
  <c r="J163" i="53"/>
  <c r="K163" i="53"/>
  <c r="L163" i="53"/>
  <c r="D198" i="53"/>
  <c r="F198" i="53"/>
  <c r="G198" i="53"/>
  <c r="H198" i="53"/>
  <c r="I198" i="53"/>
  <c r="J198" i="53"/>
  <c r="K198" i="53"/>
  <c r="L198" i="53"/>
  <c r="M198" i="53"/>
  <c r="N198" i="53"/>
  <c r="O198" i="53"/>
  <c r="P198" i="53"/>
  <c r="Q198" i="53"/>
  <c r="R198" i="53"/>
  <c r="S198" i="53"/>
  <c r="T198" i="53"/>
  <c r="U198" i="53"/>
  <c r="V198" i="53"/>
  <c r="W198" i="53"/>
  <c r="X198" i="53"/>
  <c r="Y198" i="53"/>
  <c r="Z198" i="53"/>
  <c r="F200" i="53"/>
  <c r="G200" i="53"/>
  <c r="H200" i="53"/>
  <c r="I200" i="53"/>
  <c r="J200" i="53"/>
  <c r="K200" i="53"/>
  <c r="L200" i="53"/>
  <c r="M200" i="53"/>
  <c r="N200" i="53"/>
  <c r="O200" i="53"/>
  <c r="P200" i="53"/>
  <c r="Q200" i="53"/>
  <c r="R200" i="53"/>
  <c r="S200" i="53"/>
  <c r="T200" i="53"/>
  <c r="U200" i="53"/>
  <c r="V200" i="53"/>
  <c r="W200" i="53"/>
  <c r="X200" i="53"/>
  <c r="Y200" i="53"/>
  <c r="Z200" i="53"/>
  <c r="F203" i="53"/>
  <c r="G203" i="53"/>
  <c r="H203" i="53"/>
  <c r="I203" i="53"/>
  <c r="J203" i="53"/>
  <c r="K203" i="53"/>
  <c r="L203" i="53"/>
  <c r="M203" i="53"/>
  <c r="N203" i="53"/>
  <c r="O203" i="53"/>
  <c r="P203" i="53"/>
  <c r="Q203" i="53"/>
  <c r="R203" i="53"/>
  <c r="S203" i="53"/>
  <c r="T203" i="53"/>
  <c r="U203" i="53"/>
  <c r="V203" i="53"/>
  <c r="W203" i="53"/>
  <c r="X203" i="53"/>
  <c r="Y203" i="53"/>
  <c r="Z203" i="53"/>
  <c r="F205" i="53"/>
  <c r="G205" i="53"/>
  <c r="H205" i="53"/>
  <c r="I205" i="53"/>
  <c r="J205" i="53"/>
  <c r="K205" i="53"/>
  <c r="L205" i="53"/>
  <c r="M205" i="53"/>
  <c r="N205" i="53"/>
  <c r="O205" i="53"/>
  <c r="P205" i="53"/>
  <c r="Q205" i="53"/>
  <c r="R205" i="53"/>
  <c r="S205" i="53"/>
  <c r="T205" i="53"/>
  <c r="U205" i="53"/>
  <c r="V205" i="53"/>
  <c r="W205" i="53"/>
  <c r="X205" i="53"/>
  <c r="Y205" i="53"/>
  <c r="Z205" i="53"/>
  <c r="F209" i="53"/>
  <c r="G209" i="53"/>
  <c r="H209" i="53"/>
  <c r="I209" i="53"/>
  <c r="J209" i="53"/>
  <c r="K209" i="53"/>
  <c r="L209" i="53"/>
  <c r="M209" i="53"/>
  <c r="N209" i="53"/>
  <c r="O209" i="53"/>
  <c r="P209" i="53"/>
  <c r="Q209" i="53"/>
  <c r="R209" i="53"/>
  <c r="S209" i="53"/>
  <c r="T209" i="53"/>
  <c r="U209" i="53"/>
  <c r="V209" i="53"/>
  <c r="W209" i="53"/>
  <c r="X209" i="53"/>
  <c r="Y209" i="53"/>
  <c r="Z209" i="53"/>
  <c r="F210" i="53"/>
  <c r="G210" i="53"/>
  <c r="H210" i="53"/>
  <c r="I210" i="53"/>
  <c r="J210" i="53"/>
  <c r="K210" i="53"/>
  <c r="L210" i="53"/>
  <c r="M210" i="53"/>
  <c r="N210" i="53"/>
  <c r="O210" i="53"/>
  <c r="P210" i="53"/>
  <c r="Q210" i="53"/>
  <c r="R210" i="53"/>
  <c r="S210" i="53"/>
  <c r="T210" i="53"/>
  <c r="U210" i="53"/>
  <c r="V210" i="53"/>
  <c r="W210" i="53"/>
  <c r="X210" i="53"/>
  <c r="Y210" i="53"/>
  <c r="Z210" i="53"/>
  <c r="F211" i="53"/>
  <c r="G211" i="53"/>
  <c r="H211" i="53"/>
  <c r="I211" i="53"/>
  <c r="J211" i="53"/>
  <c r="K211" i="53"/>
  <c r="L211" i="53"/>
  <c r="M211" i="53"/>
  <c r="N211" i="53"/>
  <c r="O211" i="53"/>
  <c r="P211" i="53"/>
  <c r="Q211" i="53"/>
  <c r="R211" i="53"/>
  <c r="S211" i="53"/>
  <c r="T211" i="53"/>
  <c r="U211" i="53"/>
  <c r="V211" i="53"/>
  <c r="W211" i="53"/>
  <c r="X211" i="53"/>
  <c r="Y211" i="53"/>
  <c r="Z211" i="53"/>
  <c r="J214" i="53"/>
  <c r="K214" i="53"/>
  <c r="L214" i="53"/>
  <c r="M214" i="53"/>
  <c r="N214" i="53"/>
  <c r="O214" i="53"/>
  <c r="P214" i="53"/>
  <c r="Q214" i="53"/>
  <c r="R214" i="53"/>
  <c r="S214" i="53"/>
  <c r="T214" i="53"/>
  <c r="U214" i="53"/>
  <c r="V214" i="53"/>
  <c r="W214" i="53"/>
  <c r="X214" i="53"/>
  <c r="Y214" i="53"/>
  <c r="Z214" i="53"/>
  <c r="I215" i="53"/>
  <c r="I217" i="53"/>
  <c r="J217" i="53"/>
  <c r="K217" i="53"/>
  <c r="L217" i="53"/>
  <c r="M217" i="53"/>
  <c r="N217" i="53"/>
  <c r="O217" i="53"/>
  <c r="P217" i="53"/>
  <c r="Q217" i="53"/>
  <c r="R217" i="53"/>
  <c r="S217" i="53"/>
  <c r="T217" i="53"/>
  <c r="U217" i="53"/>
  <c r="V217" i="53"/>
  <c r="W217" i="53"/>
  <c r="X217" i="53"/>
  <c r="Y217" i="53"/>
  <c r="Z217" i="53"/>
  <c r="I219" i="53"/>
  <c r="J219" i="53"/>
  <c r="K219" i="53"/>
  <c r="L219" i="53"/>
  <c r="M219" i="53"/>
  <c r="N219" i="53"/>
  <c r="O219" i="53"/>
  <c r="P219" i="53"/>
  <c r="Q219" i="53"/>
  <c r="R219" i="53"/>
  <c r="S219" i="53"/>
  <c r="T219" i="53"/>
  <c r="U219" i="53"/>
  <c r="V219" i="53"/>
  <c r="W219" i="53"/>
  <c r="X219" i="53"/>
  <c r="Y219" i="53"/>
  <c r="Z219" i="53"/>
  <c r="I220" i="53"/>
  <c r="J220" i="53"/>
  <c r="K220" i="53"/>
  <c r="L220" i="53"/>
  <c r="M220" i="53"/>
  <c r="N220" i="53"/>
  <c r="O220" i="53"/>
  <c r="P220" i="53"/>
  <c r="Q220" i="53"/>
  <c r="R220" i="53"/>
  <c r="S220" i="53"/>
  <c r="T220" i="53"/>
  <c r="U220" i="53"/>
  <c r="V220" i="53"/>
  <c r="W220" i="53"/>
  <c r="X220" i="53"/>
  <c r="Y220" i="53"/>
  <c r="Z220" i="53"/>
  <c r="F221" i="53"/>
  <c r="G221" i="53"/>
  <c r="H221" i="53"/>
  <c r="I221" i="53"/>
  <c r="J221" i="53"/>
  <c r="K221" i="53"/>
  <c r="L221" i="53"/>
  <c r="M221" i="53"/>
  <c r="N221" i="53"/>
  <c r="O221" i="53"/>
  <c r="P221" i="53"/>
  <c r="Q221" i="53"/>
  <c r="R221" i="53"/>
  <c r="S221" i="53"/>
  <c r="T221" i="53"/>
  <c r="U221" i="53"/>
  <c r="V221" i="53"/>
  <c r="W221" i="53"/>
  <c r="X221" i="53"/>
  <c r="Y221" i="53"/>
  <c r="Z221" i="53"/>
  <c r="I223" i="53"/>
  <c r="F225" i="53"/>
  <c r="G225" i="53"/>
  <c r="H225" i="53"/>
  <c r="I225" i="53"/>
  <c r="J225" i="53"/>
  <c r="K225" i="53"/>
  <c r="L225" i="53"/>
  <c r="M225" i="53"/>
  <c r="N225" i="53"/>
  <c r="O225" i="53"/>
  <c r="P225" i="53"/>
  <c r="Q225" i="53"/>
  <c r="R225" i="53"/>
  <c r="S225" i="53"/>
  <c r="T225" i="53"/>
  <c r="U225" i="53"/>
  <c r="V225" i="53"/>
  <c r="W225" i="53"/>
  <c r="X225" i="53"/>
  <c r="Y225" i="53"/>
  <c r="Z225" i="53"/>
  <c r="L228" i="53"/>
  <c r="L229" i="53"/>
  <c r="L230" i="53"/>
  <c r="L231" i="53"/>
  <c r="F233" i="53"/>
  <c r="G233" i="53"/>
  <c r="H233" i="53"/>
  <c r="I233" i="53"/>
  <c r="J233" i="53"/>
  <c r="K233" i="53"/>
  <c r="L233" i="53"/>
  <c r="F247" i="53"/>
  <c r="G247" i="53"/>
  <c r="H247" i="53"/>
  <c r="I247" i="53"/>
  <c r="J247" i="53"/>
  <c r="K247" i="53"/>
  <c r="L247" i="53"/>
  <c r="M247" i="53"/>
  <c r="N247" i="53"/>
  <c r="O247" i="53"/>
  <c r="P247" i="53"/>
  <c r="Q247" i="53"/>
  <c r="R247" i="53"/>
  <c r="S247" i="53"/>
  <c r="T247" i="53"/>
  <c r="U247" i="53"/>
  <c r="V247" i="53"/>
  <c r="W247" i="53"/>
  <c r="X247" i="53"/>
  <c r="Y247" i="53"/>
  <c r="Z247" i="53"/>
  <c r="F248" i="53"/>
  <c r="G248" i="53"/>
  <c r="H248" i="53"/>
  <c r="I248" i="53"/>
  <c r="J248" i="53"/>
  <c r="K248" i="53"/>
  <c r="L248" i="53"/>
  <c r="M248" i="53"/>
  <c r="N248" i="53"/>
  <c r="O248" i="53"/>
  <c r="P248" i="53"/>
  <c r="Q248" i="53"/>
  <c r="R248" i="53"/>
  <c r="S248" i="53"/>
  <c r="T248" i="53"/>
  <c r="U248" i="53"/>
  <c r="V248" i="53"/>
  <c r="W248" i="53"/>
  <c r="X248" i="53"/>
  <c r="Y248" i="53"/>
  <c r="Z248" i="53"/>
  <c r="F251" i="53"/>
  <c r="G251" i="53"/>
  <c r="H251" i="53"/>
  <c r="I251" i="53"/>
  <c r="J251" i="53"/>
  <c r="K251" i="53"/>
  <c r="L251" i="53"/>
  <c r="M251" i="53"/>
  <c r="N251" i="53"/>
  <c r="O251" i="53"/>
  <c r="P251" i="53"/>
  <c r="Q251" i="53"/>
  <c r="R251" i="53"/>
  <c r="S251" i="53"/>
  <c r="T251" i="53"/>
  <c r="U251" i="53"/>
  <c r="V251" i="53"/>
  <c r="W251" i="53"/>
  <c r="X251" i="53"/>
  <c r="Y251" i="53"/>
  <c r="Z251" i="53"/>
  <c r="F252" i="53"/>
  <c r="G252" i="53"/>
  <c r="H252" i="53"/>
  <c r="I252" i="53"/>
  <c r="J252" i="53"/>
  <c r="K252" i="53"/>
  <c r="L252" i="53"/>
  <c r="M252" i="53"/>
  <c r="N252" i="53"/>
  <c r="O252" i="53"/>
  <c r="P252" i="53"/>
  <c r="Q252" i="53"/>
  <c r="R252" i="53"/>
  <c r="S252" i="53"/>
  <c r="T252" i="53"/>
  <c r="U252" i="53"/>
  <c r="V252" i="53"/>
  <c r="W252" i="53"/>
  <c r="X252" i="53"/>
  <c r="Y252" i="53"/>
  <c r="Z252" i="53"/>
  <c r="F254" i="53"/>
  <c r="G254" i="53"/>
  <c r="H254" i="53"/>
  <c r="I254" i="53"/>
  <c r="J254" i="53"/>
  <c r="K254" i="53"/>
  <c r="L254" i="53"/>
  <c r="M254" i="53"/>
  <c r="N254" i="53"/>
  <c r="O254" i="53"/>
  <c r="P254" i="53"/>
  <c r="Q254" i="53"/>
  <c r="R254" i="53"/>
  <c r="S254" i="53"/>
  <c r="T254" i="53"/>
  <c r="U254" i="53"/>
  <c r="V254" i="53"/>
  <c r="W254" i="53"/>
  <c r="X254" i="53"/>
  <c r="Y254" i="53"/>
  <c r="Z254" i="53"/>
  <c r="F255" i="53"/>
  <c r="G255" i="53"/>
  <c r="H255" i="53"/>
  <c r="I255" i="53"/>
  <c r="J255" i="53"/>
  <c r="K255" i="53"/>
  <c r="L255" i="53"/>
  <c r="M255" i="53"/>
  <c r="N255" i="53"/>
  <c r="O255" i="53"/>
  <c r="P255" i="53"/>
  <c r="Q255" i="53"/>
  <c r="R255" i="53"/>
  <c r="S255" i="53"/>
  <c r="T255" i="53"/>
  <c r="U255" i="53"/>
  <c r="V255" i="53"/>
  <c r="W255" i="53"/>
  <c r="X255" i="53"/>
  <c r="Y255" i="53"/>
  <c r="Z255" i="53"/>
  <c r="F256" i="53"/>
  <c r="G256" i="53"/>
  <c r="H256" i="53"/>
  <c r="I256" i="53"/>
  <c r="J256" i="53"/>
  <c r="K256" i="53"/>
  <c r="L256" i="53"/>
  <c r="M256" i="53"/>
  <c r="N256" i="53"/>
  <c r="O256" i="53"/>
  <c r="P256" i="53"/>
  <c r="Q256" i="53"/>
  <c r="R256" i="53"/>
  <c r="S256" i="53"/>
  <c r="T256" i="53"/>
  <c r="U256" i="53"/>
  <c r="V256" i="53"/>
  <c r="W256" i="53"/>
  <c r="X256" i="53"/>
  <c r="Y256" i="53"/>
  <c r="Z256" i="53"/>
  <c r="J259" i="53"/>
  <c r="K259" i="53"/>
  <c r="L259" i="53"/>
  <c r="M259" i="53"/>
  <c r="N259" i="53"/>
  <c r="O259" i="53"/>
  <c r="P259" i="53"/>
  <c r="Q259" i="53"/>
  <c r="R259" i="53"/>
  <c r="S259" i="53"/>
  <c r="T259" i="53"/>
  <c r="U259" i="53"/>
  <c r="V259" i="53"/>
  <c r="W259" i="53"/>
  <c r="X259" i="53"/>
  <c r="Y259" i="53"/>
  <c r="Z259" i="53"/>
  <c r="I260" i="53"/>
  <c r="I262" i="53"/>
  <c r="J262" i="53"/>
  <c r="K262" i="53"/>
  <c r="L262" i="53"/>
  <c r="M262" i="53"/>
  <c r="N262" i="53"/>
  <c r="O262" i="53"/>
  <c r="P262" i="53"/>
  <c r="Q262" i="53"/>
  <c r="R262" i="53"/>
  <c r="S262" i="53"/>
  <c r="T262" i="53"/>
  <c r="U262" i="53"/>
  <c r="V262" i="53"/>
  <c r="W262" i="53"/>
  <c r="X262" i="53"/>
  <c r="Y262" i="53"/>
  <c r="Z262" i="53"/>
  <c r="I264" i="53"/>
  <c r="J264" i="53"/>
  <c r="K264" i="53"/>
  <c r="L264" i="53"/>
  <c r="M264" i="53"/>
  <c r="N264" i="53"/>
  <c r="O264" i="53"/>
  <c r="P264" i="53"/>
  <c r="Q264" i="53"/>
  <c r="R264" i="53"/>
  <c r="S264" i="53"/>
  <c r="T264" i="53"/>
  <c r="U264" i="53"/>
  <c r="V264" i="53"/>
  <c r="W264" i="53"/>
  <c r="X264" i="53"/>
  <c r="Y264" i="53"/>
  <c r="Z264" i="53"/>
  <c r="I265" i="53"/>
  <c r="J265" i="53"/>
  <c r="K265" i="53"/>
  <c r="L265" i="53"/>
  <c r="M265" i="53"/>
  <c r="N265" i="53"/>
  <c r="O265" i="53"/>
  <c r="P265" i="53"/>
  <c r="Q265" i="53"/>
  <c r="R265" i="53"/>
  <c r="S265" i="53"/>
  <c r="T265" i="53"/>
  <c r="U265" i="53"/>
  <c r="V265" i="53"/>
  <c r="W265" i="53"/>
  <c r="X265" i="53"/>
  <c r="Y265" i="53"/>
  <c r="Z265" i="53"/>
  <c r="F266" i="53"/>
  <c r="G266" i="53"/>
  <c r="H266" i="53"/>
  <c r="I266" i="53"/>
  <c r="J266" i="53"/>
  <c r="K266" i="53"/>
  <c r="L266" i="53"/>
  <c r="M266" i="53"/>
  <c r="N266" i="53"/>
  <c r="O266" i="53"/>
  <c r="P266" i="53"/>
  <c r="Q266" i="53"/>
  <c r="R266" i="53"/>
  <c r="S266" i="53"/>
  <c r="T266" i="53"/>
  <c r="U266" i="53"/>
  <c r="V266" i="53"/>
  <c r="W266" i="53"/>
  <c r="X266" i="53"/>
  <c r="Y266" i="53"/>
  <c r="Z266" i="53"/>
  <c r="I268" i="53"/>
  <c r="F270" i="53"/>
  <c r="G270" i="53"/>
  <c r="H270" i="53"/>
  <c r="I270" i="53"/>
  <c r="J270" i="53"/>
  <c r="K270" i="53"/>
  <c r="L270" i="53"/>
  <c r="M270" i="53"/>
  <c r="N270" i="53"/>
  <c r="O270" i="53"/>
  <c r="P270" i="53"/>
  <c r="Q270" i="53"/>
  <c r="R270" i="53"/>
  <c r="S270" i="53"/>
  <c r="T270" i="53"/>
  <c r="U270" i="53"/>
  <c r="V270" i="53"/>
  <c r="W270" i="53"/>
  <c r="X270" i="53"/>
  <c r="Y270" i="53"/>
  <c r="Z270" i="53"/>
  <c r="L273" i="53"/>
  <c r="L274" i="53"/>
  <c r="L275" i="53"/>
  <c r="L276" i="53"/>
  <c r="F278" i="53"/>
  <c r="G278" i="53"/>
  <c r="H278" i="53"/>
  <c r="I278" i="53"/>
  <c r="J278" i="53"/>
  <c r="K278" i="53"/>
  <c r="L278" i="53"/>
  <c r="F280" i="53"/>
  <c r="G280" i="53"/>
  <c r="H280" i="53"/>
  <c r="I280" i="53"/>
  <c r="J280" i="53"/>
  <c r="K280" i="53"/>
  <c r="L280" i="53"/>
  <c r="F282" i="53"/>
  <c r="G282" i="53"/>
  <c r="H282" i="53"/>
  <c r="I282" i="53"/>
  <c r="J282" i="53"/>
  <c r="K282" i="53"/>
  <c r="L282" i="53"/>
  <c r="M282" i="53"/>
  <c r="N282" i="53"/>
  <c r="O282" i="53"/>
  <c r="P282" i="53"/>
  <c r="Q282" i="53"/>
  <c r="R282" i="53"/>
  <c r="S282" i="53"/>
  <c r="T282" i="53"/>
  <c r="U282" i="53"/>
  <c r="V282" i="53"/>
  <c r="W282" i="53"/>
  <c r="X282" i="53"/>
  <c r="Y282" i="53"/>
  <c r="Z282" i="53"/>
  <c r="F283" i="53"/>
  <c r="G283" i="53"/>
  <c r="H283" i="53"/>
  <c r="I283" i="53"/>
  <c r="J283" i="53"/>
  <c r="K283" i="53"/>
  <c r="L283" i="53"/>
  <c r="M283" i="53"/>
  <c r="N283" i="53"/>
  <c r="O283" i="53"/>
  <c r="P283" i="53"/>
  <c r="Q283" i="53"/>
  <c r="R283" i="53"/>
  <c r="S283" i="53"/>
  <c r="T283" i="53"/>
  <c r="U283" i="53"/>
  <c r="V283" i="53"/>
  <c r="W283" i="53"/>
  <c r="X283" i="53"/>
  <c r="Y283" i="53"/>
  <c r="Z283" i="53"/>
  <c r="D291" i="53"/>
  <c r="F291" i="53"/>
  <c r="G291" i="53"/>
  <c r="H291" i="53"/>
  <c r="D292" i="53"/>
  <c r="G292" i="53"/>
  <c r="H292" i="53"/>
  <c r="D294" i="53"/>
  <c r="F294" i="53"/>
  <c r="G294" i="53"/>
  <c r="H294" i="53"/>
  <c r="I294" i="53"/>
  <c r="J294" i="53"/>
  <c r="D295" i="53"/>
  <c r="F295" i="53"/>
  <c r="G295" i="53"/>
  <c r="H295" i="53"/>
  <c r="I295" i="53"/>
  <c r="J295" i="53"/>
  <c r="D298" i="53"/>
  <c r="F298" i="53"/>
  <c r="G298" i="53"/>
  <c r="H298" i="53"/>
  <c r="I298" i="53"/>
  <c r="J298" i="53"/>
  <c r="K298" i="53"/>
  <c r="L298" i="53"/>
  <c r="M298" i="53"/>
  <c r="N298" i="53"/>
  <c r="O298" i="53"/>
  <c r="P298" i="53"/>
  <c r="Q298" i="53"/>
  <c r="R298" i="53"/>
  <c r="S298" i="53"/>
  <c r="T298" i="53"/>
  <c r="U298" i="53"/>
  <c r="V298" i="53"/>
  <c r="W298" i="53"/>
  <c r="X298" i="53"/>
  <c r="Y298" i="53"/>
  <c r="Z298" i="53"/>
  <c r="D299" i="53"/>
  <c r="F299" i="53"/>
  <c r="G299" i="53"/>
  <c r="H299" i="53"/>
  <c r="I299" i="53"/>
  <c r="J299" i="53"/>
  <c r="K299" i="53"/>
  <c r="L299" i="53"/>
  <c r="M299" i="53"/>
  <c r="N299" i="53"/>
  <c r="O299" i="53"/>
  <c r="P299" i="53"/>
  <c r="Q299" i="53"/>
  <c r="R299" i="53"/>
  <c r="S299" i="53"/>
  <c r="T299" i="53"/>
  <c r="U299" i="53"/>
  <c r="V299" i="53"/>
  <c r="W299" i="53"/>
  <c r="X299" i="53"/>
  <c r="Y299" i="53"/>
  <c r="Z299" i="53"/>
  <c r="D300" i="53"/>
  <c r="F300" i="53"/>
  <c r="G300" i="53"/>
  <c r="H300" i="53"/>
  <c r="I300" i="53"/>
  <c r="J300" i="53"/>
  <c r="K300" i="53"/>
  <c r="L300" i="53"/>
  <c r="M300" i="53"/>
  <c r="N300" i="53"/>
  <c r="O300" i="53"/>
  <c r="P300" i="53"/>
  <c r="Q300" i="53"/>
  <c r="R300" i="53"/>
  <c r="S300" i="53"/>
  <c r="T300" i="53"/>
  <c r="U300" i="53"/>
  <c r="V300" i="53"/>
  <c r="W300" i="53"/>
  <c r="X300" i="53"/>
  <c r="Y300" i="53"/>
  <c r="Z300" i="53"/>
  <c r="D301" i="53"/>
  <c r="F301" i="53"/>
  <c r="G301" i="53"/>
  <c r="H301" i="53"/>
  <c r="I301" i="53"/>
  <c r="J301" i="53"/>
  <c r="K301" i="53"/>
  <c r="L301" i="53"/>
  <c r="M301" i="53"/>
  <c r="N301" i="53"/>
  <c r="O301" i="53"/>
  <c r="P301" i="53"/>
  <c r="Q301" i="53"/>
  <c r="R301" i="53"/>
  <c r="S301" i="53"/>
  <c r="T301" i="53"/>
  <c r="U301" i="53"/>
  <c r="V301" i="53"/>
  <c r="W301" i="53"/>
  <c r="X301" i="53"/>
  <c r="Y301" i="53"/>
  <c r="Z301" i="53"/>
  <c r="D302" i="53"/>
  <c r="F302" i="53"/>
  <c r="G302" i="53"/>
  <c r="H302" i="53"/>
  <c r="I302" i="53"/>
  <c r="J302" i="53"/>
  <c r="K302" i="53"/>
  <c r="L302" i="53"/>
  <c r="M302" i="53"/>
  <c r="N302" i="53"/>
  <c r="O302" i="53"/>
  <c r="P302" i="53"/>
  <c r="Q302" i="53"/>
  <c r="R302" i="53"/>
  <c r="S302" i="53"/>
  <c r="T302" i="53"/>
  <c r="U302" i="53"/>
  <c r="V302" i="53"/>
  <c r="W302" i="53"/>
  <c r="X302" i="53"/>
  <c r="Y302" i="53"/>
  <c r="Z302" i="53"/>
  <c r="D303" i="53"/>
  <c r="F303" i="53"/>
  <c r="G303" i="53"/>
  <c r="H303" i="53"/>
  <c r="I303" i="53"/>
  <c r="J303" i="53"/>
  <c r="K303" i="53"/>
  <c r="L303" i="53"/>
  <c r="M303" i="53"/>
  <c r="N303" i="53"/>
  <c r="O303" i="53"/>
  <c r="P303" i="53"/>
  <c r="Q303" i="53"/>
  <c r="R303" i="53"/>
  <c r="S303" i="53"/>
  <c r="T303" i="53"/>
  <c r="U303" i="53"/>
  <c r="V303" i="53"/>
  <c r="W303" i="53"/>
  <c r="X303" i="53"/>
  <c r="Y303" i="53"/>
  <c r="Z303" i="53"/>
  <c r="D304" i="53"/>
  <c r="F304" i="53"/>
  <c r="G304" i="53"/>
  <c r="H304" i="53"/>
  <c r="I304" i="53"/>
  <c r="J304" i="53"/>
  <c r="K304" i="53"/>
  <c r="L304" i="53"/>
  <c r="M304" i="53"/>
  <c r="N304" i="53"/>
  <c r="O304" i="53"/>
  <c r="P304" i="53"/>
  <c r="Q304" i="53"/>
  <c r="R304" i="53"/>
  <c r="S304" i="53"/>
  <c r="T304" i="53"/>
  <c r="U304" i="53"/>
  <c r="V304" i="53"/>
  <c r="W304" i="53"/>
  <c r="X304" i="53"/>
  <c r="Y304" i="53"/>
  <c r="Z304" i="53"/>
  <c r="D305" i="53"/>
  <c r="F305" i="53"/>
  <c r="G305" i="53"/>
  <c r="H305" i="53"/>
  <c r="I305" i="53"/>
  <c r="J305" i="53"/>
  <c r="K305" i="53"/>
  <c r="L305" i="53"/>
  <c r="M305" i="53"/>
  <c r="N305" i="53"/>
  <c r="O305" i="53"/>
  <c r="P305" i="53"/>
  <c r="Q305" i="53"/>
  <c r="R305" i="53"/>
  <c r="S305" i="53"/>
  <c r="T305" i="53"/>
  <c r="U305" i="53"/>
  <c r="V305" i="53"/>
  <c r="W305" i="53"/>
  <c r="X305" i="53"/>
  <c r="Y305" i="53"/>
  <c r="Z305" i="53"/>
  <c r="D307" i="53"/>
  <c r="F307" i="53"/>
  <c r="G307" i="53"/>
  <c r="H307" i="53"/>
  <c r="I307" i="53"/>
  <c r="J307" i="53"/>
  <c r="K307" i="53"/>
  <c r="L307" i="53"/>
  <c r="M307" i="53"/>
  <c r="N307" i="53"/>
  <c r="O307" i="53"/>
  <c r="P307" i="53"/>
  <c r="Q307" i="53"/>
  <c r="R307" i="53"/>
  <c r="S307" i="53"/>
  <c r="T307" i="53"/>
  <c r="U307" i="53"/>
  <c r="V307" i="53"/>
  <c r="W307" i="53"/>
  <c r="X307" i="53"/>
  <c r="Y307" i="53"/>
  <c r="Z307" i="53"/>
  <c r="D310" i="53"/>
  <c r="F310" i="53"/>
  <c r="G310" i="53"/>
  <c r="H310" i="53"/>
  <c r="I310" i="53"/>
  <c r="J310" i="53"/>
  <c r="K310" i="53"/>
  <c r="L310" i="53"/>
  <c r="M310" i="53"/>
  <c r="N310" i="53"/>
  <c r="O310" i="53"/>
  <c r="P310" i="53"/>
  <c r="Q310" i="53"/>
  <c r="R310" i="53"/>
  <c r="S310" i="53"/>
  <c r="T310" i="53"/>
  <c r="U310" i="53"/>
  <c r="V310" i="53"/>
  <c r="W310" i="53"/>
  <c r="X310" i="53"/>
  <c r="Y310" i="53"/>
  <c r="Z310" i="53"/>
  <c r="D311" i="53"/>
  <c r="F311" i="53"/>
  <c r="G311" i="53"/>
  <c r="H311" i="53"/>
  <c r="I311" i="53"/>
  <c r="J311" i="53"/>
  <c r="K311" i="53"/>
  <c r="L311" i="53"/>
  <c r="D312" i="53"/>
  <c r="F312" i="53"/>
  <c r="G312" i="53"/>
  <c r="H312" i="53"/>
  <c r="I312" i="53"/>
  <c r="J312" i="53"/>
  <c r="K312" i="53"/>
  <c r="L312" i="53"/>
  <c r="M312" i="53"/>
  <c r="N312" i="53"/>
  <c r="O312" i="53"/>
  <c r="P312" i="53"/>
  <c r="Q312" i="53"/>
  <c r="R312" i="53"/>
  <c r="S312" i="53"/>
  <c r="T312" i="53"/>
  <c r="U312" i="53"/>
  <c r="V312" i="53"/>
  <c r="W312" i="53"/>
  <c r="X312" i="53"/>
  <c r="Y312" i="53"/>
  <c r="Z312" i="53"/>
  <c r="C314" i="53"/>
  <c r="C315" i="53"/>
  <c r="C316" i="53"/>
  <c r="F321" i="53"/>
  <c r="G321" i="53"/>
  <c r="H321" i="53"/>
  <c r="I321" i="53"/>
  <c r="J321" i="53"/>
  <c r="K321" i="53"/>
  <c r="L321" i="53"/>
  <c r="M321" i="53"/>
  <c r="N321" i="53"/>
  <c r="O321" i="53"/>
  <c r="P321" i="53"/>
  <c r="Q321" i="53"/>
  <c r="R321" i="53"/>
  <c r="S321" i="53"/>
  <c r="T321" i="53"/>
  <c r="U321" i="53"/>
  <c r="V321" i="53"/>
  <c r="W321" i="53"/>
  <c r="X321" i="53"/>
  <c r="Y321" i="53"/>
  <c r="Z321" i="53"/>
  <c r="F322" i="53"/>
  <c r="G322" i="53"/>
  <c r="H322" i="53"/>
  <c r="I322" i="53"/>
  <c r="J322" i="53"/>
  <c r="K322" i="53"/>
  <c r="L322" i="53"/>
  <c r="M322" i="53"/>
  <c r="N322" i="53"/>
  <c r="O322" i="53"/>
  <c r="P322" i="53"/>
  <c r="Q322" i="53"/>
  <c r="R322" i="53"/>
  <c r="S322" i="53"/>
  <c r="T322" i="53"/>
  <c r="U322" i="53"/>
  <c r="V322" i="53"/>
  <c r="W322" i="53"/>
  <c r="X322" i="53"/>
  <c r="Y322" i="53"/>
  <c r="Z322" i="53"/>
  <c r="F323" i="53"/>
  <c r="G323" i="53"/>
  <c r="H323" i="53"/>
  <c r="I323" i="53"/>
  <c r="J323" i="53"/>
  <c r="K323" i="53"/>
  <c r="L323" i="53"/>
  <c r="M323" i="53"/>
  <c r="N323" i="53"/>
  <c r="O323" i="53"/>
  <c r="P323" i="53"/>
  <c r="Q323" i="53"/>
  <c r="R323" i="53"/>
  <c r="S323" i="53"/>
  <c r="T323" i="53"/>
  <c r="U323" i="53"/>
  <c r="V323" i="53"/>
  <c r="W323" i="53"/>
  <c r="X323" i="53"/>
  <c r="Y323" i="53"/>
  <c r="Z323" i="53"/>
  <c r="F324" i="53"/>
  <c r="G324" i="53"/>
  <c r="H324" i="53"/>
  <c r="I324" i="53"/>
  <c r="J324" i="53"/>
  <c r="K324" i="53"/>
  <c r="L324" i="53"/>
  <c r="M324" i="53"/>
  <c r="N324" i="53"/>
  <c r="O324" i="53"/>
  <c r="P324" i="53"/>
  <c r="Q324" i="53"/>
  <c r="R324" i="53"/>
  <c r="S324" i="53"/>
  <c r="T324" i="53"/>
  <c r="U324" i="53"/>
  <c r="V324" i="53"/>
  <c r="W324" i="53"/>
  <c r="X324" i="53"/>
  <c r="Y324" i="53"/>
  <c r="Z324" i="53"/>
  <c r="L327" i="53"/>
  <c r="L328" i="53"/>
  <c r="L329" i="53"/>
  <c r="D335" i="53"/>
  <c r="F335" i="53"/>
  <c r="G335" i="53"/>
  <c r="H335" i="53"/>
  <c r="D338" i="53"/>
  <c r="F338" i="53"/>
  <c r="G338" i="53"/>
  <c r="H338" i="53"/>
  <c r="I338" i="53"/>
  <c r="J338" i="53"/>
  <c r="D339" i="53"/>
  <c r="F339" i="53"/>
  <c r="G339" i="53"/>
  <c r="H339" i="53"/>
  <c r="I339" i="53"/>
  <c r="J339" i="53"/>
  <c r="D342" i="53"/>
  <c r="F342" i="53"/>
  <c r="G342" i="53"/>
  <c r="H342" i="53"/>
  <c r="I342" i="53"/>
  <c r="J342" i="53"/>
  <c r="K342" i="53"/>
  <c r="L342" i="53"/>
  <c r="M342" i="53"/>
  <c r="N342" i="53"/>
  <c r="O342" i="53"/>
  <c r="P342" i="53"/>
  <c r="Q342" i="53"/>
  <c r="R342" i="53"/>
  <c r="S342" i="53"/>
  <c r="T342" i="53"/>
  <c r="U342" i="53"/>
  <c r="V342" i="53"/>
  <c r="W342" i="53"/>
  <c r="X342" i="53"/>
  <c r="Y342" i="53"/>
  <c r="Z342" i="53"/>
  <c r="D343" i="53"/>
  <c r="F343" i="53"/>
  <c r="G343" i="53"/>
  <c r="H343" i="53"/>
  <c r="I343" i="53"/>
  <c r="J343" i="53"/>
  <c r="K343" i="53"/>
  <c r="L343" i="53"/>
  <c r="M343" i="53"/>
  <c r="N343" i="53"/>
  <c r="O343" i="53"/>
  <c r="P343" i="53"/>
  <c r="Q343" i="53"/>
  <c r="R343" i="53"/>
  <c r="S343" i="53"/>
  <c r="T343" i="53"/>
  <c r="U343" i="53"/>
  <c r="V343" i="53"/>
  <c r="W343" i="53"/>
  <c r="X343" i="53"/>
  <c r="Y343" i="53"/>
  <c r="Z343" i="53"/>
  <c r="D344" i="53"/>
  <c r="F344" i="53"/>
  <c r="G344" i="53"/>
  <c r="H344" i="53"/>
  <c r="I344" i="53"/>
  <c r="J344" i="53"/>
  <c r="K344" i="53"/>
  <c r="L344" i="53"/>
  <c r="M344" i="53"/>
  <c r="N344" i="53"/>
  <c r="O344" i="53"/>
  <c r="P344" i="53"/>
  <c r="Q344" i="53"/>
  <c r="R344" i="53"/>
  <c r="S344" i="53"/>
  <c r="T344" i="53"/>
  <c r="U344" i="53"/>
  <c r="V344" i="53"/>
  <c r="W344" i="53"/>
  <c r="X344" i="53"/>
  <c r="Y344" i="53"/>
  <c r="Z344" i="53"/>
  <c r="D345" i="53"/>
  <c r="F345" i="53"/>
  <c r="G345" i="53"/>
  <c r="H345" i="53"/>
  <c r="I345" i="53"/>
  <c r="J345" i="53"/>
  <c r="K345" i="53"/>
  <c r="L345" i="53"/>
  <c r="M345" i="53"/>
  <c r="N345" i="53"/>
  <c r="O345" i="53"/>
  <c r="P345" i="53"/>
  <c r="Q345" i="53"/>
  <c r="R345" i="53"/>
  <c r="S345" i="53"/>
  <c r="T345" i="53"/>
  <c r="U345" i="53"/>
  <c r="V345" i="53"/>
  <c r="W345" i="53"/>
  <c r="X345" i="53"/>
  <c r="Y345" i="53"/>
  <c r="Z345" i="53"/>
  <c r="D346" i="53"/>
  <c r="F346" i="53"/>
  <c r="G346" i="53"/>
  <c r="H346" i="53"/>
  <c r="I346" i="53"/>
  <c r="J346" i="53"/>
  <c r="K346" i="53"/>
  <c r="L346" i="53"/>
  <c r="M346" i="53"/>
  <c r="N346" i="53"/>
  <c r="O346" i="53"/>
  <c r="P346" i="53"/>
  <c r="Q346" i="53"/>
  <c r="R346" i="53"/>
  <c r="S346" i="53"/>
  <c r="T346" i="53"/>
  <c r="U346" i="53"/>
  <c r="V346" i="53"/>
  <c r="W346" i="53"/>
  <c r="X346" i="53"/>
  <c r="Y346" i="53"/>
  <c r="Z346" i="53"/>
  <c r="D348" i="53"/>
  <c r="F348" i="53"/>
  <c r="G348" i="53"/>
  <c r="H348" i="53"/>
  <c r="I348" i="53"/>
  <c r="J348" i="53"/>
  <c r="K348" i="53"/>
  <c r="L348" i="53"/>
  <c r="M348" i="53"/>
  <c r="N348" i="53"/>
  <c r="O348" i="53"/>
  <c r="P348" i="53"/>
  <c r="Q348" i="53"/>
  <c r="R348" i="53"/>
  <c r="S348" i="53"/>
  <c r="T348" i="53"/>
  <c r="U348" i="53"/>
  <c r="V348" i="53"/>
  <c r="W348" i="53"/>
  <c r="X348" i="53"/>
  <c r="Y348" i="53"/>
  <c r="Z348" i="53"/>
  <c r="D349" i="53"/>
  <c r="F349" i="53"/>
  <c r="G349" i="53"/>
  <c r="H349" i="53"/>
  <c r="I349" i="53"/>
  <c r="J349" i="53"/>
  <c r="K349" i="53"/>
  <c r="L349" i="53"/>
  <c r="M349" i="53"/>
  <c r="N349" i="53"/>
  <c r="O349" i="53"/>
  <c r="P349" i="53"/>
  <c r="Q349" i="53"/>
  <c r="R349" i="53"/>
  <c r="S349" i="53"/>
  <c r="T349" i="53"/>
  <c r="U349" i="53"/>
  <c r="V349" i="53"/>
  <c r="W349" i="53"/>
  <c r="X349" i="53"/>
  <c r="Y349" i="53"/>
  <c r="Z349" i="53"/>
  <c r="D352" i="53"/>
  <c r="F352" i="53"/>
  <c r="G352" i="53"/>
  <c r="H352" i="53"/>
  <c r="I352" i="53"/>
  <c r="J352" i="53"/>
  <c r="K352" i="53"/>
  <c r="L352" i="53"/>
  <c r="M352" i="53"/>
  <c r="N352" i="53"/>
  <c r="O352" i="53"/>
  <c r="P352" i="53"/>
  <c r="Q352" i="53"/>
  <c r="R352" i="53"/>
  <c r="S352" i="53"/>
  <c r="T352" i="53"/>
  <c r="U352" i="53"/>
  <c r="V352" i="53"/>
  <c r="W352" i="53"/>
  <c r="X352" i="53"/>
  <c r="Y352" i="53"/>
  <c r="Z352" i="53"/>
  <c r="D353" i="53"/>
  <c r="F353" i="53"/>
  <c r="G353" i="53"/>
  <c r="H353" i="53"/>
  <c r="I353" i="53"/>
  <c r="J353" i="53"/>
  <c r="K353" i="53"/>
  <c r="L353" i="53"/>
  <c r="D354" i="53"/>
  <c r="F354" i="53"/>
  <c r="G354" i="53"/>
  <c r="H354" i="53"/>
  <c r="I354" i="53"/>
  <c r="J354" i="53"/>
  <c r="K354" i="53"/>
  <c r="L354" i="53"/>
  <c r="M354" i="53"/>
  <c r="N354" i="53"/>
  <c r="O354" i="53"/>
  <c r="P354" i="53"/>
  <c r="Q354" i="53"/>
  <c r="R354" i="53"/>
  <c r="S354" i="53"/>
  <c r="T354" i="53"/>
  <c r="U354" i="53"/>
  <c r="V354" i="53"/>
  <c r="W354" i="53"/>
  <c r="X354" i="53"/>
  <c r="Y354" i="53"/>
  <c r="Z354" i="53"/>
  <c r="C356" i="53"/>
  <c r="C357" i="53"/>
  <c r="C358" i="53"/>
  <c r="F363" i="53"/>
  <c r="G363" i="53"/>
  <c r="H363" i="53"/>
  <c r="I363" i="53"/>
  <c r="J363" i="53"/>
  <c r="K363" i="53"/>
  <c r="L363" i="53"/>
  <c r="M363" i="53"/>
  <c r="N363" i="53"/>
  <c r="O363" i="53"/>
  <c r="P363" i="53"/>
  <c r="Q363" i="53"/>
  <c r="R363" i="53"/>
  <c r="S363" i="53"/>
  <c r="T363" i="53"/>
  <c r="U363" i="53"/>
  <c r="V363" i="53"/>
  <c r="W363" i="53"/>
  <c r="X363" i="53"/>
  <c r="Y363" i="53"/>
  <c r="Z363" i="53"/>
  <c r="F366" i="53"/>
  <c r="G366" i="53"/>
  <c r="H366" i="53"/>
  <c r="I366" i="53"/>
  <c r="J366" i="53"/>
  <c r="K366" i="53"/>
  <c r="L366" i="53"/>
  <c r="F367" i="53"/>
  <c r="G367" i="53"/>
  <c r="H367" i="53"/>
  <c r="I367" i="53"/>
  <c r="J367" i="53"/>
  <c r="K367" i="53"/>
  <c r="L367" i="53"/>
  <c r="L368" i="53"/>
  <c r="L369" i="53"/>
  <c r="D370" i="53"/>
  <c r="F370" i="53"/>
  <c r="G370" i="53"/>
  <c r="H370" i="53"/>
  <c r="I370" i="53"/>
  <c r="J370" i="53"/>
  <c r="K370" i="53"/>
  <c r="L370" i="53"/>
  <c r="M370" i="53"/>
  <c r="N370" i="53"/>
  <c r="O370" i="53"/>
  <c r="P370" i="53"/>
  <c r="Q370" i="53"/>
  <c r="R370" i="53"/>
  <c r="S370" i="53"/>
  <c r="T370" i="53"/>
  <c r="U370" i="53"/>
  <c r="V370" i="53"/>
  <c r="W370" i="53"/>
  <c r="X370" i="53"/>
  <c r="Y370" i="53"/>
  <c r="Z370" i="53"/>
  <c r="D372" i="53"/>
  <c r="F375" i="53"/>
  <c r="G375" i="53"/>
  <c r="H375" i="53"/>
  <c r="I375" i="53"/>
  <c r="J375" i="53"/>
  <c r="K375" i="53"/>
  <c r="L375" i="53"/>
  <c r="M375" i="53"/>
  <c r="N375" i="53"/>
  <c r="O375" i="53"/>
  <c r="P375" i="53"/>
  <c r="Q375" i="53"/>
  <c r="R375" i="53"/>
  <c r="S375" i="53"/>
  <c r="T375" i="53"/>
  <c r="U375" i="53"/>
  <c r="V375" i="53"/>
  <c r="W375" i="53"/>
  <c r="X375" i="53"/>
  <c r="Y375" i="53"/>
  <c r="Z375" i="53"/>
  <c r="F376" i="53"/>
  <c r="G376" i="53"/>
  <c r="H376" i="53"/>
  <c r="I376" i="53"/>
  <c r="J376" i="53"/>
  <c r="K376" i="53"/>
  <c r="L376" i="53"/>
  <c r="M376" i="53"/>
  <c r="N376" i="53"/>
  <c r="O376" i="53"/>
  <c r="P376" i="53"/>
  <c r="Q376" i="53"/>
  <c r="R376" i="53"/>
  <c r="S376" i="53"/>
  <c r="T376" i="53"/>
  <c r="U376" i="53"/>
  <c r="V376" i="53"/>
  <c r="W376" i="53"/>
  <c r="X376" i="53"/>
  <c r="Y376" i="53"/>
  <c r="Z376" i="53"/>
  <c r="H377" i="53"/>
  <c r="H378" i="53"/>
  <c r="F379" i="53"/>
  <c r="G379" i="53"/>
  <c r="H379" i="53"/>
  <c r="I379" i="53"/>
  <c r="J379" i="53"/>
  <c r="K379" i="53"/>
  <c r="L379" i="53"/>
  <c r="F380" i="53"/>
  <c r="G380" i="53"/>
  <c r="H380" i="53"/>
  <c r="I380" i="53"/>
  <c r="J380" i="53"/>
  <c r="K380" i="53"/>
  <c r="L380" i="53"/>
  <c r="L381" i="53"/>
  <c r="L382" i="53"/>
  <c r="D383" i="53"/>
  <c r="F383" i="53"/>
  <c r="G383" i="53"/>
  <c r="H383" i="53"/>
  <c r="I383" i="53"/>
  <c r="J383" i="53"/>
  <c r="K383" i="53"/>
  <c r="L383" i="53"/>
  <c r="M383" i="53"/>
  <c r="N383" i="53"/>
  <c r="O383" i="53"/>
  <c r="P383" i="53"/>
  <c r="Q383" i="53"/>
  <c r="R383" i="53"/>
  <c r="S383" i="53"/>
  <c r="T383" i="53"/>
  <c r="U383" i="53"/>
  <c r="V383" i="53"/>
  <c r="W383" i="53"/>
  <c r="X383" i="53"/>
  <c r="Y383" i="53"/>
  <c r="Z383" i="53"/>
  <c r="D385" i="53"/>
  <c r="D386" i="53"/>
  <c r="K388" i="53"/>
  <c r="L388" i="53"/>
  <c r="D391" i="53"/>
  <c r="G391" i="53"/>
  <c r="H391" i="53"/>
  <c r="I391" i="53"/>
  <c r="J391" i="53"/>
  <c r="K391" i="53"/>
  <c r="L391" i="53"/>
  <c r="M391" i="53"/>
  <c r="N391" i="53"/>
  <c r="O391" i="53"/>
  <c r="P391" i="53"/>
  <c r="Q391" i="53"/>
  <c r="R391" i="53"/>
  <c r="S391" i="53"/>
  <c r="T391" i="53"/>
  <c r="U391" i="53"/>
  <c r="V391" i="53"/>
  <c r="W391" i="53"/>
  <c r="X391" i="53"/>
  <c r="Y391" i="53"/>
  <c r="Z391" i="53"/>
  <c r="D392" i="53"/>
  <c r="F392" i="53"/>
  <c r="G392" i="53"/>
  <c r="H392" i="53"/>
  <c r="I392" i="53"/>
  <c r="J392" i="53"/>
  <c r="K392" i="53"/>
  <c r="L392" i="53"/>
  <c r="M392" i="53"/>
  <c r="N392" i="53"/>
  <c r="O392" i="53"/>
  <c r="P392" i="53"/>
  <c r="Q392" i="53"/>
  <c r="R392" i="53"/>
  <c r="S392" i="53"/>
  <c r="T392" i="53"/>
  <c r="U392" i="53"/>
  <c r="V392" i="53"/>
  <c r="W392" i="53"/>
  <c r="X392" i="53"/>
  <c r="Y392" i="53"/>
  <c r="Z392" i="53"/>
  <c r="D393" i="53"/>
  <c r="F393" i="53"/>
  <c r="G393" i="53"/>
  <c r="H393" i="53"/>
  <c r="I393" i="53"/>
  <c r="J393" i="53"/>
  <c r="K393" i="53"/>
  <c r="L393" i="53"/>
  <c r="D394" i="53"/>
  <c r="J394" i="53"/>
  <c r="K394" i="53"/>
  <c r="L394" i="53"/>
  <c r="D395" i="53"/>
  <c r="F395" i="53"/>
  <c r="G395" i="53"/>
  <c r="H395" i="53"/>
  <c r="I395" i="53"/>
  <c r="J395" i="53"/>
  <c r="K395" i="53"/>
  <c r="L395" i="53"/>
  <c r="D396" i="53"/>
  <c r="L396" i="53"/>
  <c r="D397" i="53"/>
  <c r="L397" i="53"/>
  <c r="D398" i="53"/>
  <c r="F398" i="53"/>
  <c r="G398" i="53"/>
  <c r="H398" i="53"/>
  <c r="I398" i="53"/>
  <c r="J398" i="53"/>
  <c r="K398" i="53"/>
  <c r="L398" i="53"/>
  <c r="M398" i="53"/>
  <c r="N398" i="53"/>
  <c r="O398" i="53"/>
  <c r="P398" i="53"/>
  <c r="Q398" i="53"/>
  <c r="R398" i="53"/>
  <c r="S398" i="53"/>
  <c r="T398" i="53"/>
  <c r="U398" i="53"/>
  <c r="V398" i="53"/>
  <c r="W398" i="53"/>
  <c r="X398" i="53"/>
  <c r="Y398" i="53"/>
  <c r="Z398" i="53"/>
  <c r="F403" i="53"/>
  <c r="G403" i="53"/>
  <c r="H403" i="53"/>
  <c r="I403" i="53"/>
  <c r="J403" i="53"/>
  <c r="K403" i="53"/>
  <c r="L403" i="53"/>
  <c r="M403" i="53"/>
  <c r="N403" i="53"/>
  <c r="O403" i="53"/>
  <c r="P403" i="53"/>
  <c r="Q403" i="53"/>
  <c r="R403" i="53"/>
  <c r="S403" i="53"/>
  <c r="T403" i="53"/>
  <c r="U403" i="53"/>
  <c r="V403" i="53"/>
  <c r="W403" i="53"/>
  <c r="X403" i="53"/>
  <c r="Y403" i="53"/>
  <c r="Z403" i="53"/>
  <c r="F406" i="53"/>
  <c r="G406" i="53"/>
  <c r="H406" i="53"/>
  <c r="I406" i="53"/>
  <c r="J406" i="53"/>
  <c r="K406" i="53"/>
  <c r="L406" i="53"/>
  <c r="F407" i="53"/>
  <c r="G407" i="53"/>
  <c r="H407" i="53"/>
  <c r="I407" i="53"/>
  <c r="J407" i="53"/>
  <c r="K407" i="53"/>
  <c r="L407" i="53"/>
  <c r="I408" i="53"/>
  <c r="L408" i="53"/>
  <c r="L409" i="53"/>
  <c r="D410" i="53"/>
  <c r="F410" i="53"/>
  <c r="G410" i="53"/>
  <c r="H410" i="53"/>
  <c r="I410" i="53"/>
  <c r="J410" i="53"/>
  <c r="K410" i="53"/>
  <c r="L410" i="53"/>
  <c r="M410" i="53"/>
  <c r="N410" i="53"/>
  <c r="O410" i="53"/>
  <c r="P410" i="53"/>
  <c r="Q410" i="53"/>
  <c r="R410" i="53"/>
  <c r="S410" i="53"/>
  <c r="T410" i="53"/>
  <c r="U410" i="53"/>
  <c r="V410" i="53"/>
  <c r="W410" i="53"/>
  <c r="X410" i="53"/>
  <c r="Y410" i="53"/>
  <c r="Z410" i="53"/>
  <c r="F412" i="53"/>
  <c r="F415" i="53"/>
  <c r="G415" i="53"/>
  <c r="H415" i="53"/>
  <c r="I415" i="53"/>
  <c r="J415" i="53"/>
  <c r="K415" i="53"/>
  <c r="L415" i="53"/>
  <c r="M415" i="53"/>
  <c r="N415" i="53"/>
  <c r="O415" i="53"/>
  <c r="P415" i="53"/>
  <c r="Q415" i="53"/>
  <c r="R415" i="53"/>
  <c r="S415" i="53"/>
  <c r="T415" i="53"/>
  <c r="U415" i="53"/>
  <c r="V415" i="53"/>
  <c r="W415" i="53"/>
  <c r="X415" i="53"/>
  <c r="Y415" i="53"/>
  <c r="Z415" i="53"/>
  <c r="F416" i="53"/>
  <c r="G416" i="53"/>
  <c r="H416" i="53"/>
  <c r="I416" i="53"/>
  <c r="J416" i="53"/>
  <c r="K416" i="53"/>
  <c r="L416" i="53"/>
  <c r="M416" i="53"/>
  <c r="N416" i="53"/>
  <c r="O416" i="53"/>
  <c r="P416" i="53"/>
  <c r="Q416" i="53"/>
  <c r="R416" i="53"/>
  <c r="S416" i="53"/>
  <c r="T416" i="53"/>
  <c r="U416" i="53"/>
  <c r="V416" i="53"/>
  <c r="W416" i="53"/>
  <c r="X416" i="53"/>
  <c r="Y416" i="53"/>
  <c r="Z416" i="53"/>
  <c r="H417" i="53"/>
  <c r="H418" i="53"/>
  <c r="F419" i="53"/>
  <c r="G419" i="53"/>
  <c r="H419" i="53"/>
  <c r="I419" i="53"/>
  <c r="J419" i="53"/>
  <c r="K419" i="53"/>
  <c r="L419" i="53"/>
  <c r="F420" i="53"/>
  <c r="G420" i="53"/>
  <c r="H420" i="53"/>
  <c r="I420" i="53"/>
  <c r="J420" i="53"/>
  <c r="K420" i="53"/>
  <c r="L420" i="53"/>
  <c r="I421" i="53"/>
  <c r="L421" i="53"/>
  <c r="L422" i="53"/>
  <c r="D423" i="53"/>
  <c r="F423" i="53"/>
  <c r="G423" i="53"/>
  <c r="H423" i="53"/>
  <c r="I423" i="53"/>
  <c r="J423" i="53"/>
  <c r="K423" i="53"/>
  <c r="L423" i="53"/>
  <c r="M423" i="53"/>
  <c r="N423" i="53"/>
  <c r="O423" i="53"/>
  <c r="P423" i="53"/>
  <c r="Q423" i="53"/>
  <c r="R423" i="53"/>
  <c r="S423" i="53"/>
  <c r="T423" i="53"/>
  <c r="U423" i="53"/>
  <c r="V423" i="53"/>
  <c r="W423" i="53"/>
  <c r="X423" i="53"/>
  <c r="Y423" i="53"/>
  <c r="Z423" i="53"/>
  <c r="F425" i="53"/>
  <c r="F426" i="53"/>
  <c r="K428" i="53"/>
  <c r="L428" i="53"/>
  <c r="D431" i="53"/>
  <c r="G431" i="53"/>
  <c r="H431" i="53"/>
  <c r="I431" i="53"/>
  <c r="J431" i="53"/>
  <c r="K431" i="53"/>
  <c r="L431" i="53"/>
  <c r="M431" i="53"/>
  <c r="N431" i="53"/>
  <c r="O431" i="53"/>
  <c r="P431" i="53"/>
  <c r="Q431" i="53"/>
  <c r="R431" i="53"/>
  <c r="S431" i="53"/>
  <c r="T431" i="53"/>
  <c r="U431" i="53"/>
  <c r="V431" i="53"/>
  <c r="W431" i="53"/>
  <c r="X431" i="53"/>
  <c r="Y431" i="53"/>
  <c r="Z431" i="53"/>
  <c r="D432" i="53"/>
  <c r="F432" i="53"/>
  <c r="G432" i="53"/>
  <c r="H432" i="53"/>
  <c r="I432" i="53"/>
  <c r="J432" i="53"/>
  <c r="K432" i="53"/>
  <c r="L432" i="53"/>
  <c r="M432" i="53"/>
  <c r="N432" i="53"/>
  <c r="O432" i="53"/>
  <c r="P432" i="53"/>
  <c r="Q432" i="53"/>
  <c r="R432" i="53"/>
  <c r="S432" i="53"/>
  <c r="T432" i="53"/>
  <c r="U432" i="53"/>
  <c r="V432" i="53"/>
  <c r="W432" i="53"/>
  <c r="X432" i="53"/>
  <c r="Y432" i="53"/>
  <c r="Z432" i="53"/>
  <c r="D433" i="53"/>
  <c r="F433" i="53"/>
  <c r="G433" i="53"/>
  <c r="H433" i="53"/>
  <c r="I433" i="53"/>
  <c r="J433" i="53"/>
  <c r="K433" i="53"/>
  <c r="L433" i="53"/>
  <c r="D434" i="53"/>
  <c r="J434" i="53"/>
  <c r="K434" i="53"/>
  <c r="L434" i="53"/>
  <c r="D435" i="53"/>
  <c r="F435" i="53"/>
  <c r="G435" i="53"/>
  <c r="H435" i="53"/>
  <c r="I435" i="53"/>
  <c r="J435" i="53"/>
  <c r="K435" i="53"/>
  <c r="L435" i="53"/>
  <c r="D436" i="53"/>
  <c r="I436" i="53"/>
  <c r="L436" i="53"/>
  <c r="D437" i="53"/>
  <c r="L437" i="53"/>
  <c r="D438" i="53"/>
  <c r="F438" i="53"/>
  <c r="G438" i="53"/>
  <c r="H438" i="53"/>
  <c r="I438" i="53"/>
  <c r="J438" i="53"/>
  <c r="K438" i="53"/>
  <c r="L438" i="53"/>
  <c r="M438" i="53"/>
  <c r="N438" i="53"/>
  <c r="O438" i="53"/>
  <c r="P438" i="53"/>
  <c r="Q438" i="53"/>
  <c r="R438" i="53"/>
  <c r="S438" i="53"/>
  <c r="T438" i="53"/>
  <c r="U438" i="53"/>
  <c r="V438" i="53"/>
  <c r="W438" i="53"/>
  <c r="X438" i="53"/>
  <c r="Y438" i="53"/>
  <c r="Z438" i="53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U10" i="47"/>
  <c r="V10" i="47"/>
  <c r="W10" i="47"/>
  <c r="X10" i="47"/>
  <c r="Y10" i="47"/>
  <c r="Z10" i="47"/>
  <c r="AA10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U11" i="47"/>
  <c r="V11" i="47"/>
  <c r="W11" i="47"/>
  <c r="X11" i="47"/>
  <c r="Y11" i="47"/>
  <c r="Z11" i="47"/>
  <c r="AA11" i="47"/>
  <c r="F12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3" i="47"/>
  <c r="V23" i="47"/>
  <c r="W23" i="47"/>
  <c r="X23" i="47"/>
  <c r="Y23" i="47"/>
  <c r="Z23" i="47"/>
  <c r="AA23" i="47"/>
  <c r="G24" i="47"/>
  <c r="H24" i="47"/>
  <c r="I24" i="47"/>
  <c r="J24" i="47"/>
  <c r="K24" i="47"/>
  <c r="L24" i="47"/>
  <c r="M24" i="47"/>
  <c r="N24" i="47"/>
  <c r="O24" i="47"/>
  <c r="P24" i="47"/>
  <c r="Q24" i="47"/>
  <c r="R24" i="47"/>
  <c r="S24" i="47"/>
  <c r="T24" i="47"/>
  <c r="U24" i="47"/>
  <c r="V24" i="47"/>
  <c r="W24" i="47"/>
  <c r="X24" i="47"/>
  <c r="Y24" i="47"/>
  <c r="Z24" i="47"/>
  <c r="AA24" i="47"/>
  <c r="F34" i="47"/>
  <c r="G34" i="47"/>
  <c r="H34" i="47"/>
  <c r="I34" i="47"/>
  <c r="J34" i="47"/>
  <c r="K34" i="47"/>
  <c r="L34" i="47"/>
  <c r="M34" i="47"/>
  <c r="N34" i="47"/>
  <c r="O34" i="47"/>
  <c r="P34" i="47"/>
  <c r="Q34" i="47"/>
  <c r="G35" i="47"/>
  <c r="H35" i="47"/>
  <c r="I35" i="47"/>
  <c r="J35" i="47"/>
  <c r="K35" i="47"/>
  <c r="L35" i="47"/>
  <c r="M35" i="47"/>
  <c r="N35" i="47"/>
  <c r="O35" i="47"/>
  <c r="P35" i="47"/>
  <c r="Q35" i="47"/>
  <c r="F36" i="47"/>
  <c r="F45" i="47"/>
  <c r="G45" i="47"/>
  <c r="H45" i="47"/>
  <c r="I45" i="47"/>
  <c r="J45" i="47"/>
  <c r="K45" i="47"/>
  <c r="L45" i="47"/>
  <c r="M45" i="47"/>
  <c r="N45" i="47"/>
  <c r="O45" i="47"/>
  <c r="P45" i="47"/>
  <c r="G46" i="47"/>
  <c r="H46" i="47"/>
  <c r="I46" i="47"/>
  <c r="J46" i="47"/>
  <c r="K46" i="47"/>
  <c r="L46" i="47"/>
  <c r="M46" i="47"/>
  <c r="N46" i="47"/>
  <c r="O46" i="47"/>
  <c r="P46" i="47"/>
  <c r="F47" i="47"/>
  <c r="F3" i="32"/>
  <c r="G3" i="32"/>
  <c r="H3" i="32"/>
  <c r="I3" i="32"/>
  <c r="J3" i="32"/>
  <c r="F4" i="32"/>
  <c r="G4" i="32"/>
  <c r="H4" i="32"/>
  <c r="I4" i="32"/>
  <c r="J4" i="32"/>
  <c r="F10" i="32"/>
  <c r="G10" i="32"/>
  <c r="H10" i="32"/>
  <c r="I10" i="32"/>
  <c r="J10" i="32"/>
  <c r="F13" i="32"/>
  <c r="G13" i="32"/>
  <c r="H13" i="32"/>
  <c r="I13" i="32"/>
  <c r="J13" i="32"/>
  <c r="F14" i="32"/>
  <c r="G14" i="32"/>
  <c r="H14" i="32"/>
  <c r="I14" i="32"/>
  <c r="J14" i="32"/>
  <c r="F17" i="32"/>
  <c r="G17" i="32"/>
  <c r="H17" i="32"/>
  <c r="I17" i="32"/>
  <c r="J17" i="32"/>
  <c r="P17" i="32"/>
  <c r="Q17" i="32"/>
  <c r="R17" i="32"/>
  <c r="S17" i="32"/>
  <c r="T17" i="32"/>
  <c r="F18" i="32"/>
  <c r="G18" i="32"/>
  <c r="H18" i="32"/>
  <c r="I18" i="32"/>
  <c r="J18" i="32"/>
  <c r="P18" i="32"/>
  <c r="Q18" i="32"/>
  <c r="R18" i="32"/>
  <c r="S18" i="32"/>
  <c r="T18" i="32"/>
  <c r="P19" i="32"/>
  <c r="Q19" i="32"/>
  <c r="R19" i="32"/>
  <c r="S19" i="32"/>
  <c r="T19" i="32"/>
  <c r="P20" i="32"/>
  <c r="Q20" i="32"/>
  <c r="R20" i="32"/>
  <c r="S20" i="32"/>
  <c r="T20" i="32"/>
  <c r="F23" i="32"/>
  <c r="G23" i="32"/>
  <c r="H23" i="32"/>
  <c r="I23" i="32"/>
  <c r="J23" i="32"/>
  <c r="P25" i="32"/>
  <c r="Q25" i="32"/>
  <c r="R25" i="32"/>
  <c r="S25" i="32"/>
  <c r="T25" i="32"/>
  <c r="F26" i="32"/>
  <c r="G26" i="32"/>
  <c r="H26" i="32"/>
  <c r="I26" i="32"/>
  <c r="J26" i="32"/>
  <c r="P26" i="32"/>
  <c r="Q26" i="32"/>
  <c r="R26" i="32"/>
  <c r="S26" i="32"/>
  <c r="T26" i="32"/>
  <c r="F32" i="32"/>
  <c r="G32" i="32"/>
  <c r="H32" i="32"/>
  <c r="I32" i="32"/>
  <c r="J32" i="32"/>
  <c r="P32" i="32"/>
  <c r="Q32" i="32"/>
  <c r="R32" i="32"/>
  <c r="S32" i="32"/>
  <c r="T32" i="32"/>
  <c r="F33" i="32"/>
  <c r="G33" i="32"/>
  <c r="H33" i="32"/>
  <c r="I33" i="32"/>
  <c r="J33" i="32"/>
  <c r="P33" i="32"/>
  <c r="Q33" i="32"/>
  <c r="R33" i="32"/>
  <c r="S33" i="32"/>
  <c r="T33" i="32"/>
  <c r="F35" i="32"/>
  <c r="G35" i="32"/>
  <c r="H35" i="32"/>
  <c r="I35" i="32"/>
  <c r="J35" i="32"/>
  <c r="P35" i="32"/>
  <c r="Q35" i="32"/>
  <c r="R35" i="32"/>
  <c r="S35" i="32"/>
  <c r="T35" i="32"/>
  <c r="F36" i="32"/>
  <c r="G36" i="32"/>
  <c r="H36" i="32"/>
  <c r="I36" i="32"/>
  <c r="J36" i="32"/>
  <c r="P36" i="32"/>
  <c r="Q36" i="32"/>
  <c r="R36" i="32"/>
  <c r="S36" i="32"/>
  <c r="T36" i="32"/>
  <c r="F42" i="32"/>
  <c r="G42" i="32"/>
  <c r="H42" i="32"/>
  <c r="I42" i="32"/>
  <c r="J42" i="32"/>
  <c r="F43" i="32"/>
  <c r="G43" i="32"/>
  <c r="H43" i="32"/>
  <c r="I43" i="32"/>
  <c r="J43" i="32"/>
  <c r="F45" i="32"/>
  <c r="G45" i="32"/>
  <c r="H45" i="32"/>
  <c r="I45" i="32"/>
  <c r="J45" i="32"/>
  <c r="F46" i="32"/>
  <c r="G46" i="32"/>
  <c r="H46" i="32"/>
  <c r="I46" i="32"/>
  <c r="J46" i="32"/>
  <c r="W51" i="32"/>
  <c r="X51" i="32"/>
  <c r="Y51" i="32"/>
  <c r="Z51" i="32"/>
  <c r="AB51" i="32"/>
  <c r="AC51" i="32"/>
  <c r="AD51" i="32"/>
  <c r="AE51" i="32"/>
  <c r="AB52" i="32"/>
  <c r="AC52" i="32"/>
  <c r="AD52" i="32"/>
  <c r="AE52" i="32"/>
  <c r="AB53" i="32"/>
  <c r="AC53" i="32"/>
  <c r="AD53" i="32"/>
  <c r="AE53" i="32"/>
  <c r="W54" i="32"/>
  <c r="X54" i="32"/>
  <c r="Y54" i="32"/>
  <c r="Z54" i="32"/>
  <c r="AB54" i="32"/>
  <c r="AC54" i="32"/>
  <c r="AD54" i="32"/>
  <c r="AE54" i="32"/>
  <c r="AH54" i="32"/>
  <c r="AI54" i="32"/>
  <c r="AJ54" i="32"/>
  <c r="AK54" i="32"/>
  <c r="AH55" i="32"/>
  <c r="AI55" i="32"/>
  <c r="AJ55" i="32"/>
  <c r="AK55" i="32"/>
  <c r="AH57" i="32"/>
  <c r="AI57" i="32"/>
  <c r="AJ57" i="32"/>
  <c r="AK57" i="32"/>
  <c r="W58" i="32"/>
  <c r="X58" i="32"/>
  <c r="Y58" i="32"/>
  <c r="Z58" i="32"/>
  <c r="AB58" i="32"/>
  <c r="AC58" i="32"/>
  <c r="AD58" i="32"/>
  <c r="AE58" i="32"/>
  <c r="W59" i="32"/>
  <c r="X59" i="32"/>
  <c r="Y59" i="32"/>
  <c r="Z59" i="32"/>
  <c r="AB59" i="32"/>
  <c r="AC59" i="32"/>
  <c r="AD59" i="32"/>
  <c r="AE59" i="32"/>
  <c r="AH59" i="32"/>
  <c r="AI59" i="32"/>
  <c r="AJ59" i="32"/>
  <c r="AK59" i="32"/>
  <c r="O7" i="48"/>
  <c r="P7" i="48"/>
  <c r="R7" i="48"/>
  <c r="T7" i="48"/>
  <c r="O8" i="48"/>
  <c r="P8" i="48"/>
  <c r="R8" i="48"/>
  <c r="T8" i="48"/>
  <c r="O9" i="48"/>
  <c r="P9" i="48"/>
  <c r="R9" i="48"/>
  <c r="T9" i="48"/>
  <c r="O10" i="48"/>
  <c r="P10" i="48"/>
  <c r="R10" i="48"/>
  <c r="T10" i="48"/>
  <c r="O12" i="48"/>
  <c r="P12" i="48"/>
  <c r="R12" i="48"/>
  <c r="T12" i="48"/>
  <c r="O13" i="48"/>
  <c r="P13" i="48"/>
  <c r="R13" i="48"/>
  <c r="T13" i="48"/>
  <c r="O14" i="48"/>
  <c r="P14" i="48"/>
  <c r="R14" i="48"/>
  <c r="T14" i="48"/>
  <c r="O15" i="48"/>
  <c r="P15" i="48"/>
  <c r="R15" i="48"/>
  <c r="T15" i="48"/>
  <c r="P21" i="48"/>
  <c r="R21" i="48"/>
  <c r="T21" i="48"/>
  <c r="P22" i="48"/>
  <c r="R22" i="48"/>
  <c r="T22" i="48"/>
  <c r="P24" i="48"/>
  <c r="R24" i="48"/>
  <c r="T24" i="48"/>
  <c r="P26" i="48"/>
  <c r="R26" i="48"/>
  <c r="T26" i="48"/>
  <c r="P30" i="48"/>
  <c r="R30" i="48"/>
  <c r="T30" i="48"/>
  <c r="P31" i="48"/>
  <c r="R31" i="48"/>
  <c r="T31" i="48"/>
  <c r="P33" i="48"/>
  <c r="R33" i="48"/>
  <c r="T33" i="48"/>
  <c r="P35" i="48"/>
  <c r="R35" i="48"/>
  <c r="T35" i="48"/>
  <c r="P39" i="48"/>
  <c r="R39" i="48"/>
  <c r="T39" i="48"/>
  <c r="P40" i="48"/>
  <c r="R40" i="48"/>
  <c r="T40" i="48"/>
  <c r="P42" i="48"/>
  <c r="R42" i="48"/>
  <c r="T42" i="48"/>
  <c r="P44" i="48"/>
  <c r="R44" i="48"/>
  <c r="T44" i="48"/>
  <c r="P46" i="48"/>
  <c r="R46" i="48"/>
  <c r="T46" i="48"/>
  <c r="P47" i="48"/>
  <c r="R47" i="48"/>
  <c r="T47" i="48"/>
  <c r="P48" i="48"/>
  <c r="R48" i="48"/>
  <c r="T48" i="48"/>
  <c r="O54" i="48"/>
  <c r="P54" i="48"/>
  <c r="Q54" i="48"/>
  <c r="R54" i="48"/>
  <c r="S54" i="48"/>
  <c r="T54" i="48"/>
  <c r="U54" i="48"/>
  <c r="O55" i="48"/>
  <c r="P55" i="48"/>
  <c r="R55" i="48"/>
  <c r="T55" i="48"/>
  <c r="O57" i="48"/>
  <c r="Q57" i="48"/>
  <c r="S57" i="48"/>
  <c r="U57" i="48"/>
  <c r="O58" i="48"/>
  <c r="Q58" i="48"/>
  <c r="S58" i="48"/>
  <c r="U58" i="48"/>
  <c r="O59" i="48"/>
  <c r="Q59" i="48"/>
  <c r="S59" i="48"/>
  <c r="U59" i="48"/>
  <c r="O60" i="48"/>
  <c r="P60" i="48"/>
  <c r="Q60" i="48"/>
  <c r="R60" i="48"/>
  <c r="S60" i="48"/>
  <c r="T60" i="48"/>
  <c r="U60" i="48"/>
  <c r="O61" i="48"/>
  <c r="Q61" i="48"/>
  <c r="S61" i="48"/>
  <c r="U61" i="48"/>
  <c r="O62" i="48"/>
  <c r="Q62" i="48"/>
  <c r="S62" i="48"/>
  <c r="U62" i="48"/>
  <c r="O63" i="48"/>
  <c r="P63" i="48"/>
  <c r="Q63" i="48"/>
  <c r="R63" i="48"/>
  <c r="S63" i="48"/>
  <c r="T63" i="48"/>
  <c r="U63" i="48"/>
  <c r="O64" i="48"/>
  <c r="P64" i="48"/>
  <c r="R64" i="48"/>
  <c r="T64" i="48"/>
  <c r="O68" i="48"/>
  <c r="P68" i="48"/>
  <c r="Q68" i="48"/>
  <c r="R68" i="48"/>
  <c r="S68" i="48"/>
  <c r="T68" i="48"/>
  <c r="U68" i="48"/>
  <c r="O69" i="48"/>
  <c r="P69" i="48"/>
  <c r="Q69" i="48"/>
  <c r="R69" i="48"/>
  <c r="S69" i="48"/>
  <c r="T69" i="48"/>
  <c r="U69" i="48"/>
  <c r="O70" i="48"/>
  <c r="Q70" i="48"/>
  <c r="S70" i="48"/>
  <c r="U70" i="48"/>
  <c r="O71" i="48"/>
  <c r="Q71" i="48"/>
  <c r="S71" i="48"/>
  <c r="U71" i="48"/>
  <c r="O72" i="48"/>
  <c r="Q72" i="48"/>
  <c r="S72" i="48"/>
  <c r="U72" i="48"/>
  <c r="O73" i="48"/>
  <c r="Q73" i="48"/>
  <c r="S73" i="48"/>
  <c r="U73" i="48"/>
  <c r="O74" i="48"/>
  <c r="P74" i="48"/>
  <c r="Q74" i="48"/>
  <c r="R74" i="48"/>
  <c r="S74" i="48"/>
  <c r="T74" i="48"/>
  <c r="U74" i="48"/>
  <c r="O75" i="48"/>
  <c r="P75" i="48"/>
  <c r="R75" i="48"/>
  <c r="T75" i="48"/>
  <c r="O78" i="48"/>
  <c r="Q78" i="48"/>
  <c r="S78" i="48"/>
  <c r="U78" i="48"/>
  <c r="O79" i="48"/>
  <c r="Q79" i="48"/>
  <c r="S79" i="48"/>
  <c r="U79" i="48"/>
  <c r="O80" i="48"/>
  <c r="Q80" i="48"/>
  <c r="S80" i="48"/>
  <c r="U80" i="48"/>
  <c r="O81" i="48"/>
  <c r="P81" i="48"/>
  <c r="Q81" i="48"/>
  <c r="R81" i="48"/>
  <c r="S81" i="48"/>
  <c r="T81" i="48"/>
  <c r="U81" i="48"/>
  <c r="O82" i="48"/>
  <c r="P82" i="48"/>
  <c r="Q82" i="48"/>
  <c r="R82" i="48"/>
  <c r="S82" i="48"/>
  <c r="T82" i="48"/>
  <c r="U82" i="48"/>
  <c r="O83" i="48"/>
  <c r="Q83" i="48"/>
  <c r="S83" i="48"/>
  <c r="U83" i="48"/>
  <c r="O84" i="48"/>
  <c r="P84" i="48"/>
  <c r="Q84" i="48"/>
  <c r="R84" i="48"/>
  <c r="S84" i="48"/>
  <c r="T84" i="48"/>
  <c r="U84" i="48"/>
  <c r="O85" i="48"/>
  <c r="P85" i="48"/>
  <c r="R85" i="48"/>
  <c r="T85" i="48"/>
  <c r="O89" i="48"/>
  <c r="P89" i="48"/>
  <c r="Q89" i="48"/>
  <c r="R89" i="48"/>
  <c r="S89" i="48"/>
  <c r="T89" i="48"/>
  <c r="U89" i="48"/>
  <c r="O90" i="48"/>
  <c r="P90" i="48"/>
  <c r="Q90" i="48"/>
  <c r="R90" i="48"/>
  <c r="S90" i="48"/>
  <c r="T90" i="48"/>
  <c r="U90" i="48"/>
  <c r="O91" i="48"/>
  <c r="P91" i="48"/>
  <c r="Q91" i="48"/>
  <c r="R91" i="48"/>
  <c r="S91" i="48"/>
  <c r="T91" i="48"/>
  <c r="U91" i="48"/>
  <c r="O92" i="48"/>
  <c r="P92" i="48"/>
  <c r="Q92" i="48"/>
  <c r="R92" i="48"/>
  <c r="S92" i="48"/>
  <c r="T92" i="48"/>
  <c r="U92" i="48"/>
  <c r="O93" i="48"/>
  <c r="Q93" i="48"/>
  <c r="S93" i="48"/>
  <c r="U93" i="48"/>
  <c r="O94" i="48"/>
  <c r="Q94" i="48"/>
  <c r="S94" i="48"/>
  <c r="U94" i="48"/>
  <c r="O95" i="48"/>
  <c r="Q95" i="48"/>
  <c r="S95" i="48"/>
  <c r="U95" i="48"/>
  <c r="O96" i="48"/>
  <c r="P96" i="48"/>
  <c r="Q96" i="48"/>
  <c r="R96" i="48"/>
  <c r="S96" i="48"/>
  <c r="T96" i="48"/>
  <c r="U96" i="48"/>
  <c r="O97" i="48"/>
  <c r="P97" i="48"/>
  <c r="R97" i="48"/>
  <c r="T97" i="48"/>
  <c r="O100" i="48"/>
  <c r="Q100" i="48"/>
  <c r="S100" i="48"/>
  <c r="U100" i="48"/>
  <c r="O101" i="48"/>
  <c r="Q101" i="48"/>
  <c r="S101" i="48"/>
  <c r="U101" i="48"/>
  <c r="O102" i="48"/>
  <c r="Q102" i="48"/>
  <c r="S102" i="48"/>
  <c r="U102" i="48"/>
  <c r="O103" i="48"/>
  <c r="P103" i="48"/>
  <c r="Q103" i="48"/>
  <c r="R103" i="48"/>
  <c r="S103" i="48"/>
  <c r="T103" i="48"/>
  <c r="U103" i="48"/>
  <c r="O104" i="48"/>
  <c r="P104" i="48"/>
  <c r="Q104" i="48"/>
  <c r="R104" i="48"/>
  <c r="S104" i="48"/>
  <c r="T104" i="48"/>
  <c r="U104" i="48"/>
  <c r="O105" i="48"/>
  <c r="Q105" i="48"/>
  <c r="S105" i="48"/>
  <c r="U105" i="48"/>
  <c r="O106" i="48"/>
  <c r="P106" i="48"/>
  <c r="Q106" i="48"/>
  <c r="R106" i="48"/>
  <c r="S106" i="48"/>
  <c r="T106" i="48"/>
  <c r="U106" i="48"/>
  <c r="O107" i="48"/>
  <c r="P107" i="48"/>
  <c r="R107" i="48"/>
  <c r="T107" i="48"/>
  <c r="K9" i="35"/>
  <c r="AA9" i="35"/>
  <c r="AP9" i="35"/>
  <c r="F13" i="35"/>
  <c r="H13" i="35"/>
  <c r="J13" i="35"/>
  <c r="M13" i="35"/>
  <c r="N13" i="35"/>
  <c r="O13" i="35"/>
  <c r="P13" i="35"/>
  <c r="V13" i="35"/>
  <c r="X13" i="35"/>
  <c r="Z13" i="35"/>
  <c r="AC13" i="35"/>
  <c r="AD13" i="35"/>
  <c r="AE13" i="35"/>
  <c r="AF13" i="35"/>
  <c r="AK13" i="35"/>
  <c r="AM13" i="35"/>
  <c r="AO13" i="35"/>
  <c r="AR13" i="35"/>
  <c r="AS13" i="35"/>
  <c r="AT13" i="35"/>
  <c r="AU13" i="35"/>
  <c r="F14" i="35"/>
  <c r="H14" i="35"/>
  <c r="J14" i="35"/>
  <c r="M14" i="35"/>
  <c r="N14" i="35"/>
  <c r="O14" i="35"/>
  <c r="P14" i="35"/>
  <c r="V14" i="35"/>
  <c r="X14" i="35"/>
  <c r="Z14" i="35"/>
  <c r="AC14" i="35"/>
  <c r="AD14" i="35"/>
  <c r="AE14" i="35"/>
  <c r="AF14" i="35"/>
  <c r="AK14" i="35"/>
  <c r="AM14" i="35"/>
  <c r="AO14" i="35"/>
  <c r="AR14" i="35"/>
  <c r="AS14" i="35"/>
  <c r="AT14" i="35"/>
  <c r="AU14" i="35"/>
  <c r="F15" i="35"/>
  <c r="H15" i="35"/>
  <c r="J15" i="35"/>
  <c r="M15" i="35"/>
  <c r="N15" i="35"/>
  <c r="O15" i="35"/>
  <c r="P15" i="35"/>
  <c r="V15" i="35"/>
  <c r="X15" i="35"/>
  <c r="Z15" i="35"/>
  <c r="AC15" i="35"/>
  <c r="AD15" i="35"/>
  <c r="AE15" i="35"/>
  <c r="AF15" i="35"/>
  <c r="AK15" i="35"/>
  <c r="AM15" i="35"/>
  <c r="AO15" i="35"/>
  <c r="AR15" i="35"/>
  <c r="AS15" i="35"/>
  <c r="AT15" i="35"/>
  <c r="AU15" i="35"/>
  <c r="F16" i="35"/>
  <c r="H16" i="35"/>
  <c r="J16" i="35"/>
  <c r="M16" i="35"/>
  <c r="N16" i="35"/>
  <c r="O16" i="35"/>
  <c r="P16" i="35"/>
  <c r="V16" i="35"/>
  <c r="X16" i="35"/>
  <c r="Z16" i="35"/>
  <c r="AC16" i="35"/>
  <c r="AD16" i="35"/>
  <c r="AE16" i="35"/>
  <c r="AF16" i="35"/>
  <c r="AK16" i="35"/>
  <c r="AM16" i="35"/>
  <c r="AO16" i="35"/>
  <c r="AR16" i="35"/>
  <c r="AS16" i="35"/>
  <c r="AT16" i="35"/>
  <c r="AU16" i="35"/>
  <c r="F17" i="35"/>
  <c r="H17" i="35"/>
  <c r="J17" i="35"/>
  <c r="M17" i="35"/>
  <c r="N17" i="35"/>
  <c r="O17" i="35"/>
  <c r="P17" i="35"/>
  <c r="V17" i="35"/>
  <c r="X17" i="35"/>
  <c r="Z17" i="35"/>
  <c r="AC17" i="35"/>
  <c r="AD17" i="35"/>
  <c r="AE17" i="35"/>
  <c r="AF17" i="35"/>
  <c r="AK17" i="35"/>
  <c r="AM17" i="35"/>
  <c r="AO17" i="35"/>
  <c r="AR17" i="35"/>
  <c r="AS17" i="35"/>
  <c r="AT17" i="35"/>
  <c r="AU17" i="35"/>
  <c r="F18" i="35"/>
  <c r="H18" i="35"/>
  <c r="J18" i="35"/>
  <c r="M18" i="35"/>
  <c r="N18" i="35"/>
  <c r="O18" i="35"/>
  <c r="P18" i="35"/>
  <c r="V18" i="35"/>
  <c r="X18" i="35"/>
  <c r="Z18" i="35"/>
  <c r="AC18" i="35"/>
  <c r="AD18" i="35"/>
  <c r="AE18" i="35"/>
  <c r="AF18" i="35"/>
  <c r="AK18" i="35"/>
  <c r="AM18" i="35"/>
  <c r="AO18" i="35"/>
  <c r="AR18" i="35"/>
  <c r="AS18" i="35"/>
  <c r="AT18" i="35"/>
  <c r="AU18" i="35"/>
  <c r="F19" i="35"/>
  <c r="H19" i="35"/>
  <c r="J19" i="35"/>
  <c r="M19" i="35"/>
  <c r="N19" i="35"/>
  <c r="O19" i="35"/>
  <c r="P19" i="35"/>
  <c r="V19" i="35"/>
  <c r="X19" i="35"/>
  <c r="Z19" i="35"/>
  <c r="AC19" i="35"/>
  <c r="AD19" i="35"/>
  <c r="AE19" i="35"/>
  <c r="AF19" i="35"/>
  <c r="AK19" i="35"/>
  <c r="AM19" i="35"/>
  <c r="AO19" i="35"/>
  <c r="AR19" i="35"/>
  <c r="AS19" i="35"/>
  <c r="AT19" i="35"/>
  <c r="AU19" i="35"/>
  <c r="F20" i="35"/>
  <c r="H20" i="35"/>
  <c r="J20" i="35"/>
  <c r="M20" i="35"/>
  <c r="N20" i="35"/>
  <c r="O20" i="35"/>
  <c r="P20" i="35"/>
  <c r="V20" i="35"/>
  <c r="X20" i="35"/>
  <c r="Z20" i="35"/>
  <c r="AC20" i="35"/>
  <c r="AD20" i="35"/>
  <c r="AE20" i="35"/>
  <c r="AF20" i="35"/>
  <c r="AK20" i="35"/>
  <c r="AM20" i="35"/>
  <c r="AO20" i="35"/>
  <c r="AR20" i="35"/>
  <c r="AS20" i="35"/>
  <c r="AT20" i="35"/>
  <c r="AU20" i="35"/>
  <c r="F21" i="35"/>
  <c r="H21" i="35"/>
  <c r="J21" i="35"/>
  <c r="M21" i="35"/>
  <c r="N21" i="35"/>
  <c r="O21" i="35"/>
  <c r="P21" i="35"/>
  <c r="V21" i="35"/>
  <c r="X21" i="35"/>
  <c r="Z21" i="35"/>
  <c r="AC21" i="35"/>
  <c r="AD21" i="35"/>
  <c r="AE21" i="35"/>
  <c r="AF21" i="35"/>
  <c r="AK21" i="35"/>
  <c r="AM21" i="35"/>
  <c r="AO21" i="35"/>
  <c r="AR21" i="35"/>
  <c r="AS21" i="35"/>
  <c r="AT21" i="35"/>
  <c r="AU21" i="35"/>
  <c r="F22" i="35"/>
  <c r="H22" i="35"/>
  <c r="J22" i="35"/>
  <c r="M22" i="35"/>
  <c r="N22" i="35"/>
  <c r="O22" i="35"/>
  <c r="P22" i="35"/>
  <c r="V22" i="35"/>
  <c r="X22" i="35"/>
  <c r="Z22" i="35"/>
  <c r="AC22" i="35"/>
  <c r="AD22" i="35"/>
  <c r="AE22" i="35"/>
  <c r="AF22" i="35"/>
  <c r="AK22" i="35"/>
  <c r="AM22" i="35"/>
  <c r="AO22" i="35"/>
  <c r="AR22" i="35"/>
  <c r="AS22" i="35"/>
  <c r="AT22" i="35"/>
  <c r="AU22" i="35"/>
  <c r="F23" i="35"/>
  <c r="H23" i="35"/>
  <c r="J23" i="35"/>
  <c r="M23" i="35"/>
  <c r="N23" i="35"/>
  <c r="O23" i="35"/>
  <c r="P23" i="35"/>
  <c r="V23" i="35"/>
  <c r="X23" i="35"/>
  <c r="Z23" i="35"/>
  <c r="AC23" i="35"/>
  <c r="AD23" i="35"/>
  <c r="AE23" i="35"/>
  <c r="AF23" i="35"/>
  <c r="AK23" i="35"/>
  <c r="AM23" i="35"/>
  <c r="AO23" i="35"/>
  <c r="AR23" i="35"/>
  <c r="AS23" i="35"/>
  <c r="AT23" i="35"/>
  <c r="AU23" i="35"/>
  <c r="F24" i="35"/>
  <c r="H24" i="35"/>
  <c r="J24" i="35"/>
  <c r="M24" i="35"/>
  <c r="N24" i="35"/>
  <c r="O24" i="35"/>
  <c r="P24" i="35"/>
  <c r="V24" i="35"/>
  <c r="X24" i="35"/>
  <c r="Z24" i="35"/>
  <c r="AC24" i="35"/>
  <c r="AD24" i="35"/>
  <c r="AE24" i="35"/>
  <c r="AF24" i="35"/>
  <c r="AK24" i="35"/>
  <c r="AM24" i="35"/>
  <c r="AO24" i="35"/>
  <c r="AR24" i="35"/>
  <c r="AS24" i="35"/>
  <c r="AT24" i="35"/>
  <c r="AU24" i="35"/>
  <c r="F25" i="35"/>
  <c r="H25" i="35"/>
  <c r="J25" i="35"/>
  <c r="M25" i="35"/>
  <c r="N25" i="35"/>
  <c r="O25" i="35"/>
  <c r="P25" i="35"/>
  <c r="V25" i="35"/>
  <c r="X25" i="35"/>
  <c r="Z25" i="35"/>
  <c r="AC25" i="35"/>
  <c r="AD25" i="35"/>
  <c r="AE25" i="35"/>
  <c r="AF25" i="35"/>
  <c r="AK25" i="35"/>
  <c r="AM25" i="35"/>
  <c r="AO25" i="35"/>
  <c r="AR25" i="35"/>
  <c r="AS25" i="35"/>
  <c r="AT25" i="35"/>
  <c r="AU25" i="35"/>
  <c r="F26" i="35"/>
  <c r="H26" i="35"/>
  <c r="J26" i="35"/>
  <c r="M26" i="35"/>
  <c r="N26" i="35"/>
  <c r="O26" i="35"/>
  <c r="P26" i="35"/>
  <c r="V26" i="35"/>
  <c r="X26" i="35"/>
  <c r="Z26" i="35"/>
  <c r="AC26" i="35"/>
  <c r="AD26" i="35"/>
  <c r="AE26" i="35"/>
  <c r="AF26" i="35"/>
  <c r="AK26" i="35"/>
  <c r="AM26" i="35"/>
  <c r="AO26" i="35"/>
  <c r="AR26" i="35"/>
  <c r="AS26" i="35"/>
  <c r="AT26" i="35"/>
  <c r="AU26" i="35"/>
  <c r="F27" i="35"/>
  <c r="H27" i="35"/>
  <c r="J27" i="35"/>
  <c r="M27" i="35"/>
  <c r="N27" i="35"/>
  <c r="O27" i="35"/>
  <c r="P27" i="35"/>
  <c r="V27" i="35"/>
  <c r="X27" i="35"/>
  <c r="Z27" i="35"/>
  <c r="AC27" i="35"/>
  <c r="AD27" i="35"/>
  <c r="AE27" i="35"/>
  <c r="AF27" i="35"/>
  <c r="AK27" i="35"/>
  <c r="AM27" i="35"/>
  <c r="AO27" i="35"/>
  <c r="AR27" i="35"/>
  <c r="AS27" i="35"/>
  <c r="AT27" i="35"/>
  <c r="AU27" i="35"/>
  <c r="F28" i="35"/>
  <c r="H28" i="35"/>
  <c r="J28" i="35"/>
  <c r="M28" i="35"/>
  <c r="N28" i="35"/>
  <c r="O28" i="35"/>
  <c r="P28" i="35"/>
  <c r="V28" i="35"/>
  <c r="X28" i="35"/>
  <c r="Z28" i="35"/>
  <c r="AC28" i="35"/>
  <c r="AD28" i="35"/>
  <c r="AE28" i="35"/>
  <c r="AF28" i="35"/>
  <c r="AK28" i="35"/>
  <c r="AM28" i="35"/>
  <c r="AO28" i="35"/>
  <c r="AR28" i="35"/>
  <c r="AS28" i="35"/>
  <c r="AT28" i="35"/>
  <c r="AU28" i="35"/>
  <c r="F29" i="35"/>
  <c r="H29" i="35"/>
  <c r="J29" i="35"/>
  <c r="M29" i="35"/>
  <c r="N29" i="35"/>
  <c r="O29" i="35"/>
  <c r="P29" i="35"/>
  <c r="V29" i="35"/>
  <c r="X29" i="35"/>
  <c r="Z29" i="35"/>
  <c r="AC29" i="35"/>
  <c r="AD29" i="35"/>
  <c r="AE29" i="35"/>
  <c r="AF29" i="35"/>
  <c r="AK29" i="35"/>
  <c r="AM29" i="35"/>
  <c r="AO29" i="35"/>
  <c r="AR29" i="35"/>
  <c r="AS29" i="35"/>
  <c r="AT29" i="35"/>
  <c r="AU29" i="35"/>
  <c r="F30" i="35"/>
  <c r="H30" i="35"/>
  <c r="J30" i="35"/>
  <c r="M30" i="35"/>
  <c r="N30" i="35"/>
  <c r="O30" i="35"/>
  <c r="P30" i="35"/>
  <c r="V30" i="35"/>
  <c r="X30" i="35"/>
  <c r="Z30" i="35"/>
  <c r="AC30" i="35"/>
  <c r="AD30" i="35"/>
  <c r="AE30" i="35"/>
  <c r="AF30" i="35"/>
  <c r="AK30" i="35"/>
  <c r="AM30" i="35"/>
  <c r="AO30" i="35"/>
  <c r="AR30" i="35"/>
  <c r="AS30" i="35"/>
  <c r="AT30" i="35"/>
  <c r="AU30" i="35"/>
  <c r="F31" i="35"/>
  <c r="H31" i="35"/>
  <c r="J31" i="35"/>
  <c r="M31" i="35"/>
  <c r="N31" i="35"/>
  <c r="O31" i="35"/>
  <c r="P31" i="35"/>
  <c r="V31" i="35"/>
  <c r="X31" i="35"/>
  <c r="Z31" i="35"/>
  <c r="AC31" i="35"/>
  <c r="AD31" i="35"/>
  <c r="AE31" i="35"/>
  <c r="AF31" i="35"/>
  <c r="AK31" i="35"/>
  <c r="AM31" i="35"/>
  <c r="AO31" i="35"/>
  <c r="AR31" i="35"/>
  <c r="AS31" i="35"/>
  <c r="AT31" i="35"/>
  <c r="AU31" i="35"/>
  <c r="F32" i="35"/>
  <c r="H32" i="35"/>
  <c r="J32" i="35"/>
  <c r="M32" i="35"/>
  <c r="N32" i="35"/>
  <c r="O32" i="35"/>
  <c r="P32" i="35"/>
  <c r="V32" i="35"/>
  <c r="X32" i="35"/>
  <c r="Z32" i="35"/>
  <c r="AC32" i="35"/>
  <c r="AD32" i="35"/>
  <c r="AE32" i="35"/>
  <c r="AF32" i="35"/>
  <c r="AK32" i="35"/>
  <c r="AM32" i="35"/>
  <c r="AO32" i="35"/>
  <c r="AR32" i="35"/>
  <c r="AS32" i="35"/>
  <c r="AT32" i="35"/>
  <c r="AU32" i="35"/>
  <c r="F33" i="35"/>
  <c r="H33" i="35"/>
  <c r="J33" i="35"/>
  <c r="M33" i="35"/>
  <c r="N33" i="35"/>
  <c r="O33" i="35"/>
  <c r="P33" i="35"/>
  <c r="V33" i="35"/>
  <c r="X33" i="35"/>
  <c r="Z33" i="35"/>
  <c r="AC33" i="35"/>
  <c r="AD33" i="35"/>
  <c r="AE33" i="35"/>
  <c r="AF33" i="35"/>
  <c r="AK33" i="35"/>
  <c r="AM33" i="35"/>
  <c r="AO33" i="35"/>
  <c r="AR33" i="35"/>
  <c r="AS33" i="35"/>
  <c r="AT33" i="35"/>
  <c r="AU33" i="35"/>
  <c r="F34" i="35"/>
  <c r="H34" i="35"/>
  <c r="J34" i="35"/>
  <c r="M34" i="35"/>
  <c r="N34" i="35"/>
  <c r="O34" i="35"/>
  <c r="P34" i="35"/>
  <c r="V34" i="35"/>
  <c r="X34" i="35"/>
  <c r="Z34" i="35"/>
  <c r="AC34" i="35"/>
  <c r="AD34" i="35"/>
  <c r="AE34" i="35"/>
  <c r="AF34" i="35"/>
  <c r="AK34" i="35"/>
  <c r="AM34" i="35"/>
  <c r="AO34" i="35"/>
  <c r="AR34" i="35"/>
  <c r="AS34" i="35"/>
  <c r="AT34" i="35"/>
  <c r="AU34" i="35"/>
  <c r="F35" i="35"/>
  <c r="H35" i="35"/>
  <c r="J35" i="35"/>
  <c r="M35" i="35"/>
  <c r="N35" i="35"/>
  <c r="O35" i="35"/>
  <c r="P35" i="35"/>
  <c r="V35" i="35"/>
  <c r="X35" i="35"/>
  <c r="Z35" i="35"/>
  <c r="AC35" i="35"/>
  <c r="AD35" i="35"/>
  <c r="AE35" i="35"/>
  <c r="AF35" i="35"/>
  <c r="AK35" i="35"/>
  <c r="AM35" i="35"/>
  <c r="AO35" i="35"/>
  <c r="AR35" i="35"/>
  <c r="AS35" i="35"/>
  <c r="AT35" i="35"/>
  <c r="AU35" i="35"/>
  <c r="F36" i="35"/>
  <c r="H36" i="35"/>
  <c r="J36" i="35"/>
  <c r="M36" i="35"/>
  <c r="N36" i="35"/>
  <c r="O36" i="35"/>
  <c r="P36" i="35"/>
  <c r="V36" i="35"/>
  <c r="X36" i="35"/>
  <c r="Z36" i="35"/>
  <c r="AC36" i="35"/>
  <c r="AD36" i="35"/>
  <c r="AE36" i="35"/>
  <c r="AF36" i="35"/>
  <c r="AK36" i="35"/>
  <c r="AM36" i="35"/>
  <c r="AO36" i="35"/>
  <c r="AR36" i="35"/>
  <c r="AS36" i="35"/>
  <c r="AT36" i="35"/>
  <c r="AU36" i="35"/>
  <c r="F37" i="35"/>
  <c r="H37" i="35"/>
  <c r="J37" i="35"/>
  <c r="M37" i="35"/>
  <c r="N37" i="35"/>
  <c r="O37" i="35"/>
  <c r="P37" i="35"/>
  <c r="V37" i="35"/>
  <c r="X37" i="35"/>
  <c r="Z37" i="35"/>
  <c r="AC37" i="35"/>
  <c r="AD37" i="35"/>
  <c r="AE37" i="35"/>
  <c r="AF37" i="35"/>
  <c r="AK37" i="35"/>
  <c r="AM37" i="35"/>
  <c r="AO37" i="35"/>
  <c r="AR37" i="35"/>
  <c r="AS37" i="35"/>
  <c r="AT37" i="35"/>
  <c r="AU37" i="35"/>
  <c r="F38" i="35"/>
  <c r="H38" i="35"/>
  <c r="J38" i="35"/>
  <c r="M38" i="35"/>
  <c r="N38" i="35"/>
  <c r="O38" i="35"/>
  <c r="P38" i="35"/>
  <c r="V38" i="35"/>
  <c r="X38" i="35"/>
  <c r="Z38" i="35"/>
  <c r="AC38" i="35"/>
  <c r="AD38" i="35"/>
  <c r="AE38" i="35"/>
  <c r="AF38" i="35"/>
  <c r="AK38" i="35"/>
  <c r="AM38" i="35"/>
  <c r="AO38" i="35"/>
  <c r="AR38" i="35"/>
  <c r="AS38" i="35"/>
  <c r="AT38" i="35"/>
  <c r="AU38" i="35"/>
  <c r="F39" i="35"/>
  <c r="H39" i="35"/>
  <c r="J39" i="35"/>
  <c r="M39" i="35"/>
  <c r="N39" i="35"/>
  <c r="O39" i="35"/>
  <c r="P39" i="35"/>
  <c r="V39" i="35"/>
  <c r="X39" i="35"/>
  <c r="Z39" i="35"/>
  <c r="AC39" i="35"/>
  <c r="AD39" i="35"/>
  <c r="AE39" i="35"/>
  <c r="AF39" i="35"/>
  <c r="AK39" i="35"/>
  <c r="AM39" i="35"/>
  <c r="AO39" i="35"/>
  <c r="AR39" i="35"/>
  <c r="AS39" i="35"/>
  <c r="AT39" i="35"/>
  <c r="AU39" i="35"/>
  <c r="F40" i="35"/>
  <c r="H40" i="35"/>
  <c r="J40" i="35"/>
  <c r="M40" i="35"/>
  <c r="N40" i="35"/>
  <c r="O40" i="35"/>
  <c r="P40" i="35"/>
  <c r="V40" i="35"/>
  <c r="X40" i="35"/>
  <c r="Z40" i="35"/>
  <c r="AC40" i="35"/>
  <c r="AD40" i="35"/>
  <c r="AE40" i="35"/>
  <c r="AF40" i="35"/>
  <c r="AK40" i="35"/>
  <c r="AM40" i="35"/>
  <c r="AO40" i="35"/>
  <c r="AR40" i="35"/>
  <c r="AS40" i="35"/>
  <c r="AT40" i="35"/>
  <c r="AU40" i="35"/>
  <c r="F41" i="35"/>
  <c r="H41" i="35"/>
  <c r="J41" i="35"/>
  <c r="M41" i="35"/>
  <c r="N41" i="35"/>
  <c r="O41" i="35"/>
  <c r="P41" i="35"/>
  <c r="V41" i="35"/>
  <c r="X41" i="35"/>
  <c r="Z41" i="35"/>
  <c r="AC41" i="35"/>
  <c r="AD41" i="35"/>
  <c r="AE41" i="35"/>
  <c r="AF41" i="35"/>
  <c r="AK41" i="35"/>
  <c r="AM41" i="35"/>
  <c r="AO41" i="35"/>
  <c r="AR41" i="35"/>
  <c r="AS41" i="35"/>
  <c r="AT41" i="35"/>
  <c r="AU41" i="35"/>
  <c r="F42" i="35"/>
  <c r="H42" i="35"/>
  <c r="J42" i="35"/>
  <c r="M42" i="35"/>
  <c r="N42" i="35"/>
  <c r="O42" i="35"/>
  <c r="P42" i="35"/>
  <c r="V42" i="35"/>
  <c r="X42" i="35"/>
  <c r="Z42" i="35"/>
  <c r="AC42" i="35"/>
  <c r="AD42" i="35"/>
  <c r="AE42" i="35"/>
  <c r="AF42" i="35"/>
  <c r="AK42" i="35"/>
  <c r="AM42" i="35"/>
  <c r="AO42" i="35"/>
  <c r="AR42" i="35"/>
  <c r="AS42" i="35"/>
  <c r="AT42" i="35"/>
  <c r="AU42" i="35"/>
  <c r="F43" i="35"/>
  <c r="H43" i="35"/>
  <c r="J43" i="35"/>
  <c r="M43" i="35"/>
  <c r="N43" i="35"/>
  <c r="O43" i="35"/>
  <c r="P43" i="35"/>
  <c r="V43" i="35"/>
  <c r="X43" i="35"/>
  <c r="Z43" i="35"/>
  <c r="AC43" i="35"/>
  <c r="AD43" i="35"/>
  <c r="AE43" i="35"/>
  <c r="AF43" i="35"/>
  <c r="AK43" i="35"/>
  <c r="AM43" i="35"/>
  <c r="AO43" i="35"/>
  <c r="AR43" i="35"/>
  <c r="AS43" i="35"/>
  <c r="AT43" i="35"/>
  <c r="AU43" i="35"/>
  <c r="F44" i="35"/>
  <c r="H44" i="35"/>
  <c r="J44" i="35"/>
  <c r="M44" i="35"/>
  <c r="N44" i="35"/>
  <c r="O44" i="35"/>
  <c r="P44" i="35"/>
  <c r="V44" i="35"/>
  <c r="X44" i="35"/>
  <c r="Z44" i="35"/>
  <c r="AC44" i="35"/>
  <c r="AD44" i="35"/>
  <c r="AE44" i="35"/>
  <c r="AF44" i="35"/>
  <c r="AK44" i="35"/>
  <c r="AM44" i="35"/>
  <c r="AO44" i="35"/>
  <c r="AR44" i="35"/>
  <c r="AS44" i="35"/>
  <c r="AT44" i="35"/>
  <c r="AU44" i="35"/>
  <c r="F45" i="35"/>
  <c r="H45" i="35"/>
  <c r="J45" i="35"/>
  <c r="M45" i="35"/>
  <c r="N45" i="35"/>
  <c r="O45" i="35"/>
  <c r="P45" i="35"/>
  <c r="V45" i="35"/>
  <c r="X45" i="35"/>
  <c r="Z45" i="35"/>
  <c r="AC45" i="35"/>
  <c r="AD45" i="35"/>
  <c r="AE45" i="35"/>
  <c r="AF45" i="35"/>
  <c r="AK45" i="35"/>
  <c r="AM45" i="35"/>
  <c r="AO45" i="35"/>
  <c r="AR45" i="35"/>
  <c r="AS45" i="35"/>
  <c r="AT45" i="35"/>
  <c r="AU45" i="35"/>
  <c r="O46" i="35"/>
  <c r="AE46" i="35"/>
  <c r="AT46" i="35"/>
  <c r="O47" i="35"/>
  <c r="AE47" i="35"/>
  <c r="AT47" i="35"/>
</calcChain>
</file>

<file path=xl/sharedStrings.xml><?xml version="1.0" encoding="utf-8"?>
<sst xmlns="http://schemas.openxmlformats.org/spreadsheetml/2006/main" count="4306" uniqueCount="1043">
  <si>
    <t xml:space="preserve">Net Operating Income </t>
  </si>
  <si>
    <t>Total Net Operating Income</t>
  </si>
  <si>
    <t>Development Costs</t>
  </si>
  <si>
    <t>Total Development Costs</t>
  </si>
  <si>
    <t>Annual Cash Flow</t>
  </si>
  <si>
    <t>Net Operating Income</t>
  </si>
  <si>
    <t>Project Buildout by Development Units</t>
  </si>
  <si>
    <t>Inflation Factor</t>
  </si>
  <si>
    <t>Infrastructure Costs</t>
  </si>
  <si>
    <t>Expenses</t>
  </si>
  <si>
    <t>Net Present Value</t>
  </si>
  <si>
    <t>Total Costs of Sale</t>
  </si>
  <si>
    <t>Total Buildout</t>
  </si>
  <si>
    <t>(units)</t>
  </si>
  <si>
    <t>(s.f.)</t>
  </si>
  <si>
    <t>(rooms)</t>
  </si>
  <si>
    <t>(spaces)</t>
  </si>
  <si>
    <t>Total</t>
  </si>
  <si>
    <t>Year-by-Year Cumulative Absorption</t>
  </si>
  <si>
    <t>Other</t>
  </si>
  <si>
    <t>Total Costs</t>
  </si>
  <si>
    <t>Phase I</t>
  </si>
  <si>
    <t>1. Summary Pro Forma</t>
  </si>
  <si>
    <t>2. Multiyear Development Program</t>
  </si>
  <si>
    <t>Office/Commercial</t>
  </si>
  <si>
    <t>Retail</t>
  </si>
  <si>
    <t>Hotel</t>
  </si>
  <si>
    <t>Structured Parking</t>
  </si>
  <si>
    <t>Surface Parking</t>
  </si>
  <si>
    <t>Equity</t>
  </si>
  <si>
    <t>Affordable</t>
  </si>
  <si>
    <t>Debt Service</t>
  </si>
  <si>
    <t>3. Unit Development and Infrastructure Costs</t>
  </si>
  <si>
    <t>4. Equity and Financing Sources</t>
  </si>
  <si>
    <t>Amount</t>
  </si>
  <si>
    <t>Equity Sources (total)</t>
  </si>
  <si>
    <t>Financing Sources (total)</t>
  </si>
  <si>
    <t>Unit Cost</t>
  </si>
  <si>
    <t>Utilities</t>
  </si>
  <si>
    <t>Landscaping</t>
  </si>
  <si>
    <t>Other Hardscaping (not incl. surf. pkg.)</t>
  </si>
  <si>
    <t>Public</t>
  </si>
  <si>
    <t>Total Infrastructure</t>
  </si>
  <si>
    <t>Private</t>
  </si>
  <si>
    <t>Roads</t>
  </si>
  <si>
    <t xml:space="preserve">Total Asset Value </t>
  </si>
  <si>
    <t>Projected Site Value (end of Year 10)</t>
  </si>
  <si>
    <t>Land Acquisition</t>
  </si>
  <si>
    <t>Underground Parking</t>
  </si>
  <si>
    <t>Total Income</t>
  </si>
  <si>
    <t>Demolition</t>
  </si>
  <si>
    <t>Remediation</t>
  </si>
  <si>
    <t>Development Fees</t>
  </si>
  <si>
    <t>Acquisition Taxes and Fees</t>
  </si>
  <si>
    <t>2019-2020</t>
  </si>
  <si>
    <t>Exit Assumptions</t>
  </si>
  <si>
    <t>PSF</t>
  </si>
  <si>
    <t>Hard Costs</t>
  </si>
  <si>
    <t>Soft Costs</t>
  </si>
  <si>
    <t>Insurance</t>
  </si>
  <si>
    <t>Developer Fee</t>
  </si>
  <si>
    <t>Acquisition Costs</t>
  </si>
  <si>
    <t>Decking</t>
  </si>
  <si>
    <t>Global</t>
  </si>
  <si>
    <t>Acquisition</t>
  </si>
  <si>
    <t>Site Acquisition Price</t>
  </si>
  <si>
    <t>Acquisition Subtotal</t>
  </si>
  <si>
    <t>Hard Costs Subtotal</t>
  </si>
  <si>
    <t>Architectural &amp; Engineering</t>
  </si>
  <si>
    <t>Permits</t>
  </si>
  <si>
    <t>Environmental/Geotechnical</t>
  </si>
  <si>
    <t>Bank Legal</t>
  </si>
  <si>
    <t>Developer Legal</t>
  </si>
  <si>
    <t>Marketing</t>
  </si>
  <si>
    <t>Title &amp; Survey</t>
  </si>
  <si>
    <t>Construction Monitoring &amp; Testing</t>
  </si>
  <si>
    <t>Construction Inspections</t>
  </si>
  <si>
    <t>LEED Certification Fee</t>
  </si>
  <si>
    <t>Soft Cost Contingency</t>
  </si>
  <si>
    <t>Soft Costs Subtotal</t>
  </si>
  <si>
    <t>Financing Costs</t>
  </si>
  <si>
    <t>Construction Senior Loan Origination Fee</t>
  </si>
  <si>
    <t>Financing Costs Subtotal</t>
  </si>
  <si>
    <t>Reserves</t>
  </si>
  <si>
    <t>Capitalized Operating Reserve</t>
  </si>
  <si>
    <t>Lease-Up Reserve</t>
  </si>
  <si>
    <t>Reserves Subtotal</t>
  </si>
  <si>
    <t>Developer Fee Subtotal</t>
  </si>
  <si>
    <t>Accounting</t>
  </si>
  <si>
    <t>Overall Percentage</t>
  </si>
  <si>
    <t>Gross Square Footage</t>
  </si>
  <si>
    <t>Appraisal</t>
  </si>
  <si>
    <t>Predevelopment Sources</t>
  </si>
  <si>
    <t>Predevelopment Uses</t>
  </si>
  <si>
    <t>Construction Sources</t>
  </si>
  <si>
    <t>Construction Uses</t>
  </si>
  <si>
    <t>Total Sources</t>
  </si>
  <si>
    <t>Total Uses</t>
  </si>
  <si>
    <t>TIF Loan</t>
  </si>
  <si>
    <t>LIHTC Equity</t>
  </si>
  <si>
    <t>NMTC Equity</t>
  </si>
  <si>
    <t>Senior Permanent Loan</t>
  </si>
  <si>
    <t>Permanent Sources</t>
  </si>
  <si>
    <t>Permanent Uses</t>
  </si>
  <si>
    <t>Timing Assumptions</t>
  </si>
  <si>
    <t>Predevelopment Closing</t>
  </si>
  <si>
    <t>Predevelopment Period</t>
  </si>
  <si>
    <t>Construction Closing</t>
  </si>
  <si>
    <t>Construction Period</t>
  </si>
  <si>
    <t>Construction Completion</t>
  </si>
  <si>
    <t>Lease-up Period</t>
  </si>
  <si>
    <t>Stabilization</t>
  </si>
  <si>
    <t>Partnership Hold Period</t>
  </si>
  <si>
    <t>Project Sale</t>
  </si>
  <si>
    <t>Operating Assumptions</t>
  </si>
  <si>
    <t>Studio Units</t>
  </si>
  <si>
    <t>Vacancy</t>
  </si>
  <si>
    <t>Average Size</t>
  </si>
  <si>
    <t>Affordable Residential Vacancy</t>
  </si>
  <si>
    <t>Rent PSF</t>
  </si>
  <si>
    <t>Market Rate Residential Vacancy</t>
  </si>
  <si>
    <t>Rent PU</t>
  </si>
  <si>
    <t>Retail Vacancy</t>
  </si>
  <si>
    <t>1-BR Units</t>
  </si>
  <si>
    <t>Community Facility Vacancy</t>
  </si>
  <si>
    <t>Office Vacancy</t>
  </si>
  <si>
    <t>Rent Growth</t>
  </si>
  <si>
    <t>2-BR Units</t>
  </si>
  <si>
    <t>Affordable Residential Growth</t>
  </si>
  <si>
    <t>Retail Growth</t>
  </si>
  <si>
    <t>every…</t>
  </si>
  <si>
    <t>3-BR Units</t>
  </si>
  <si>
    <t>Community Facility Growth</t>
  </si>
  <si>
    <t>Office Growth</t>
  </si>
  <si>
    <t>Total RSF</t>
  </si>
  <si>
    <t>Total Units</t>
  </si>
  <si>
    <t>Retail Reimbursement</t>
  </si>
  <si>
    <t>Blended Rent PSF</t>
  </si>
  <si>
    <t>Community Facility Reimbursement</t>
  </si>
  <si>
    <t>Blended Rent PU</t>
  </si>
  <si>
    <t>Office Reimbursement</t>
  </si>
  <si>
    <t>Affordable Residential</t>
  </si>
  <si>
    <t>Market Rate Residential</t>
  </si>
  <si>
    <t>Hotel Operating Expenses</t>
  </si>
  <si>
    <t>Departmental Expenses</t>
  </si>
  <si>
    <t>Community Facility</t>
  </si>
  <si>
    <t>Office</t>
  </si>
  <si>
    <t>Cap Rate</t>
  </si>
  <si>
    <t>Hotel Mix</t>
  </si>
  <si>
    <t>Sale Costs</t>
  </si>
  <si>
    <t>Keys</t>
  </si>
  <si>
    <t>Financing</t>
  </si>
  <si>
    <t>RevPAR</t>
  </si>
  <si>
    <t>Occupancy</t>
  </si>
  <si>
    <t>LTC</t>
  </si>
  <si>
    <t>Rate</t>
  </si>
  <si>
    <t>Origination Fee</t>
  </si>
  <si>
    <t>Permanent Senior Bank Loan</t>
  </si>
  <si>
    <t>Total Keys</t>
  </si>
  <si>
    <t>Blended RevPAR PSF</t>
  </si>
  <si>
    <t>F&amp;B</t>
  </si>
  <si>
    <t>Per Occupied Room Night</t>
  </si>
  <si>
    <t>Amortization</t>
  </si>
  <si>
    <t>Annual per Key</t>
  </si>
  <si>
    <t>EB-5 Loan</t>
  </si>
  <si>
    <t>Miscellaneous</t>
  </si>
  <si>
    <t>Retail Mix</t>
  </si>
  <si>
    <t>IO</t>
  </si>
  <si>
    <t>Square Footage</t>
  </si>
  <si>
    <t>Annual Rent</t>
  </si>
  <si>
    <t>9% Credit Allocation / Affordable Unit</t>
  </si>
  <si>
    <t>Total Allocation</t>
  </si>
  <si>
    <t>Pricing</t>
  </si>
  <si>
    <t>Allocation</t>
  </si>
  <si>
    <t>Credits</t>
  </si>
  <si>
    <t>Annual Retail Rent</t>
  </si>
  <si>
    <t>Community Facility Mix</t>
  </si>
  <si>
    <t>Annual Community Facility Rent</t>
  </si>
  <si>
    <t>Office Mix</t>
  </si>
  <si>
    <t>Annual Office Rent</t>
  </si>
  <si>
    <t>Conference Space</t>
  </si>
  <si>
    <t>DSCR</t>
  </si>
  <si>
    <t>LTV</t>
  </si>
  <si>
    <t>Millage Rate</t>
  </si>
  <si>
    <t>TIF Loan Origination Fee</t>
  </si>
  <si>
    <t>Average Utilization</t>
  </si>
  <si>
    <t>All-in Rate</t>
  </si>
  <si>
    <t>Date</t>
  </si>
  <si>
    <t>Project Value</t>
  </si>
  <si>
    <t>Starting Value</t>
  </si>
  <si>
    <t>Every</t>
  </si>
  <si>
    <t>Assessment Rate</t>
  </si>
  <si>
    <t>Assessed Value</t>
  </si>
  <si>
    <t>Incremental Taxes</t>
  </si>
  <si>
    <t>School Percentage</t>
  </si>
  <si>
    <t>Available for Debt Service</t>
  </si>
  <si>
    <t>Minimum DSCR</t>
  </si>
  <si>
    <t>Maximum Debt Service</t>
  </si>
  <si>
    <t>Maximum Loan Size</t>
  </si>
  <si>
    <t>TIF Year</t>
  </si>
  <si>
    <t>Minimum Debt Service</t>
  </si>
  <si>
    <t>Completion Date</t>
  </si>
  <si>
    <t>I</t>
  </si>
  <si>
    <t>Closing Date</t>
  </si>
  <si>
    <t>Annual F&amp;B Revenue</t>
  </si>
  <si>
    <t>Annual Conference Revenue</t>
  </si>
  <si>
    <t>Annual Revenue PSF</t>
  </si>
  <si>
    <t>Guests / Event</t>
  </si>
  <si>
    <t>Revenue / Guest</t>
  </si>
  <si>
    <t>Parking Mix</t>
  </si>
  <si>
    <t>Structural Parking</t>
  </si>
  <si>
    <t>Annual Parking Rent</t>
  </si>
  <si>
    <t>Structural Parking - Revenue</t>
  </si>
  <si>
    <t>Structural Parking - Non-Revenue</t>
  </si>
  <si>
    <t>Surface Parking - Revenue</t>
  </si>
  <si>
    <t>Surface Parking - Non-Revenue</t>
  </si>
  <si>
    <t>Spaces</t>
  </si>
  <si>
    <t>SF / Space</t>
  </si>
  <si>
    <t>Monthly Rent / Space</t>
  </si>
  <si>
    <t>Parking Vacancy</t>
  </si>
  <si>
    <t>Parking Growth</t>
  </si>
  <si>
    <t>Parking</t>
  </si>
  <si>
    <t>Development Mix</t>
  </si>
  <si>
    <t>Square Footages</t>
  </si>
  <si>
    <t>GSF</t>
  </si>
  <si>
    <t>NSF</t>
  </si>
  <si>
    <t>Total NSF</t>
  </si>
  <si>
    <t>Total GSF</t>
  </si>
  <si>
    <t>Total RSF - Structural</t>
  </si>
  <si>
    <t>Total RSF - Surface</t>
  </si>
  <si>
    <t>Units</t>
  </si>
  <si>
    <t>LIBOR Forecast (Construction)</t>
  </si>
  <si>
    <t>Total Development Budget</t>
  </si>
  <si>
    <t>Light Industrial Mix</t>
  </si>
  <si>
    <t>Annual Industrial Rent</t>
  </si>
  <si>
    <t>Industrial</t>
  </si>
  <si>
    <t>CAM + Expense Reimbursement Rate</t>
  </si>
  <si>
    <t>Industrial Vacancy</t>
  </si>
  <si>
    <t>Industrial Growth</t>
  </si>
  <si>
    <t>Industrial Reimbursement</t>
  </si>
  <si>
    <t>II</t>
  </si>
  <si>
    <t>III</t>
  </si>
  <si>
    <t>Phase</t>
  </si>
  <si>
    <t>Gross Revenue</t>
  </si>
  <si>
    <t>Less: Vacancy</t>
  </si>
  <si>
    <t>Space Leased</t>
  </si>
  <si>
    <t>Total On-Line Space EOP</t>
  </si>
  <si>
    <t>Total On-Line Units</t>
  </si>
  <si>
    <t>NOI</t>
  </si>
  <si>
    <t>Total Expenses</t>
  </si>
  <si>
    <t>Expense Growth</t>
  </si>
  <si>
    <t>Revenue Growth Factor</t>
  </si>
  <si>
    <t>Expense Growth Factor</t>
  </si>
  <si>
    <t>Net Revenue</t>
  </si>
  <si>
    <t>Operating Margin</t>
  </si>
  <si>
    <t>Yield-to-Cost</t>
  </si>
  <si>
    <t>TIF Loan Capitalized Interest</t>
  </si>
  <si>
    <t>Construction Senior Loan Capitalized Interest</t>
  </si>
  <si>
    <t>Year from Completion</t>
  </si>
  <si>
    <t>Expense / CAM Reimbursement</t>
  </si>
  <si>
    <t>Tax-Exempt Industrial Revenue Bond Loan</t>
  </si>
  <si>
    <t>IRB Loan</t>
  </si>
  <si>
    <t>Loan Sizing</t>
  </si>
  <si>
    <t>Permanent Bank Loan</t>
  </si>
  <si>
    <t>Affordable NOI</t>
  </si>
  <si>
    <t>Affordable Value</t>
  </si>
  <si>
    <t>Market Resi NOI</t>
  </si>
  <si>
    <t>Market Resi Value</t>
  </si>
  <si>
    <t>Retail Value</t>
  </si>
  <si>
    <t>Community Facility Value</t>
  </si>
  <si>
    <t>Office Value</t>
  </si>
  <si>
    <t>Parking Value</t>
  </si>
  <si>
    <t>LTV Constraint Max. Proceeds</t>
  </si>
  <si>
    <t>Retail NOI</t>
  </si>
  <si>
    <t>Community Facility NOI</t>
  </si>
  <si>
    <t>Office NOI</t>
  </si>
  <si>
    <t>Parking NOI</t>
  </si>
  <si>
    <t>DSCR Constraint Max. Proceeds</t>
  </si>
  <si>
    <t>Year from Stabilization</t>
  </si>
  <si>
    <t>Max Annual Payment</t>
  </si>
  <si>
    <t>Room Expenses</t>
  </si>
  <si>
    <t>Undistributed Expenses</t>
  </si>
  <si>
    <t>G&amp;A</t>
  </si>
  <si>
    <t>Telecom</t>
  </si>
  <si>
    <t>Franchise Fees</t>
  </si>
  <si>
    <t>Utility Costs</t>
  </si>
  <si>
    <t>Maintenance</t>
  </si>
  <si>
    <t>Management Fees</t>
  </si>
  <si>
    <t>FF&amp;E Reserve</t>
  </si>
  <si>
    <t>Departmental Expenses (% of Relevant Revenue)</t>
  </si>
  <si>
    <t>Undistributed Expenses (% of Total Revenue)</t>
  </si>
  <si>
    <t>Reserves (% of Total Revenue)</t>
  </si>
  <si>
    <t>Conference Space (% of Relevant Revenue)</t>
  </si>
  <si>
    <t>Ramp-Up</t>
  </si>
  <si>
    <t>Year 1 Occupancy</t>
  </si>
  <si>
    <t>Year 1 ADR</t>
  </si>
  <si>
    <t>Stabilized ADR</t>
  </si>
  <si>
    <t>Year 2 Occupancy</t>
  </si>
  <si>
    <t>Year 2 ADR</t>
  </si>
  <si>
    <t>Hotel Growth</t>
  </si>
  <si>
    <t>% Available</t>
  </si>
  <si>
    <t>% On-Line</t>
  </si>
  <si>
    <t>Total Room Revenue</t>
  </si>
  <si>
    <t>Base ADR</t>
  </si>
  <si>
    <t>Adjusted ADR</t>
  </si>
  <si>
    <t>Annual Hotel Revenue</t>
  </si>
  <si>
    <t>Total Available Rooms</t>
  </si>
  <si>
    <t>F&amp;B + Other Expenses</t>
  </si>
  <si>
    <t>F&amp;B and Miscellaneous Revenue</t>
  </si>
  <si>
    <t>Conference Space Revenue</t>
  </si>
  <si>
    <t>Growth Factor</t>
  </si>
  <si>
    <t>Total Hotel Operational Revenue</t>
  </si>
  <si>
    <t>Hotel EBITDA (before Reserves)</t>
  </si>
  <si>
    <t>Total Operating Expenses</t>
  </si>
  <si>
    <t>Hotel Cash Flow after Reserves</t>
  </si>
  <si>
    <t>Industrial Value</t>
  </si>
  <si>
    <t>Industrial NOI</t>
  </si>
  <si>
    <t>Maximum Projected Debt Service</t>
  </si>
  <si>
    <t>Total PILOT and Taxes</t>
  </si>
  <si>
    <t>Existing Taxes</t>
  </si>
  <si>
    <t>Total Stabilized Value</t>
  </si>
  <si>
    <r>
      <t>Total Stabilized NOI</t>
    </r>
    <r>
      <rPr>
        <vertAlign val="superscript"/>
        <sz val="12"/>
        <rFont val="Arial"/>
        <family val="2"/>
      </rPr>
      <t>1</t>
    </r>
  </si>
  <si>
    <t>1. Stabilized NOI incorporates hotel reserves (stabilized value is based on hotel EBITDA before reserves).</t>
  </si>
  <si>
    <t>% NOI</t>
  </si>
  <si>
    <t>% Value</t>
  </si>
  <si>
    <t>PILOT (including TIF) and Taxes</t>
  </si>
  <si>
    <t>City of Cincinnati Grant</t>
  </si>
  <si>
    <t>Total Value</t>
  </si>
  <si>
    <t>Food Hall</t>
  </si>
  <si>
    <t>Blended Exit Cap</t>
  </si>
  <si>
    <t>Senior Construction Loan</t>
  </si>
  <si>
    <t>Senior Loan Balance BOP</t>
  </si>
  <si>
    <t>Interest</t>
  </si>
  <si>
    <t>Senior Loan Balance EOP</t>
  </si>
  <si>
    <t>Cash Flow after Debt Service</t>
  </si>
  <si>
    <t>Exit</t>
  </si>
  <si>
    <t>Gross Sale Proceeds</t>
  </si>
  <si>
    <t>Less: Sale Costs</t>
  </si>
  <si>
    <t>Less: Outstanding Debt</t>
  </si>
  <si>
    <t>Net Sale Proceeds</t>
  </si>
  <si>
    <t>Total Cash Flow to Equity</t>
  </si>
  <si>
    <t>Total Debt Service</t>
  </si>
  <si>
    <t>Funding</t>
  </si>
  <si>
    <t>Capital Events</t>
  </si>
  <si>
    <t>Amenity Fees and Laundry</t>
  </si>
  <si>
    <t>Levered Development Costs</t>
  </si>
  <si>
    <t>Levered Development Costs and Cash Flows</t>
  </si>
  <si>
    <t>Draw Schedule</t>
  </si>
  <si>
    <t>Equity Cash Flows</t>
  </si>
  <si>
    <t>Equity Draws</t>
  </si>
  <si>
    <t>Cash to Equity</t>
  </si>
  <si>
    <t>Total Equity Cash Flows</t>
  </si>
  <si>
    <t>Total Loan Size</t>
  </si>
  <si>
    <t>PnL</t>
  </si>
  <si>
    <t>Equity Multiple</t>
  </si>
  <si>
    <t>Levered IRR</t>
  </si>
  <si>
    <t>Total Phase Cash Flows</t>
  </si>
  <si>
    <r>
      <t>Owner's Contingency</t>
    </r>
    <r>
      <rPr>
        <vertAlign val="superscript"/>
        <sz val="12"/>
        <color theme="1"/>
        <rFont val="Arial"/>
        <family val="2"/>
      </rPr>
      <t>1</t>
    </r>
  </si>
  <si>
    <t>1. Customary to exclude demolition from owner's contingency</t>
  </si>
  <si>
    <t>% before Closing</t>
  </si>
  <si>
    <t>Taxes During Construction</t>
  </si>
  <si>
    <t>Construction Loan</t>
  </si>
  <si>
    <t>Hard Costs (Demolition)</t>
  </si>
  <si>
    <t>Credit Pricing</t>
  </si>
  <si>
    <t>Expenditures during Construction (excluding Predevelopment)</t>
  </si>
  <si>
    <r>
      <t>Fully Loaded Cap Rate</t>
    </r>
    <r>
      <rPr>
        <vertAlign val="superscript"/>
        <sz val="12"/>
        <rFont val="Arial"/>
        <family val="2"/>
      </rPr>
      <t>1</t>
    </r>
  </si>
  <si>
    <t>1. Based on guidance from the Hamilton County Auditor for previous TIF bond issuances.</t>
  </si>
  <si>
    <t>Equity Returns</t>
  </si>
  <si>
    <t>Project (Unlevered) Returns</t>
  </si>
  <si>
    <r>
      <t>Plus: Refinance Proceeds</t>
    </r>
    <r>
      <rPr>
        <vertAlign val="superscript"/>
        <sz val="12"/>
        <rFont val="Arial"/>
        <family val="2"/>
      </rPr>
      <t>1</t>
    </r>
  </si>
  <si>
    <t>Total Cost less Subsidies</t>
  </si>
  <si>
    <t>Number of Events per Year</t>
  </si>
  <si>
    <t>Live Work Units</t>
  </si>
  <si>
    <t>Live-Work Units (4-BR)</t>
  </si>
  <si>
    <t>STEM Charter School</t>
  </si>
  <si>
    <t>Phase II</t>
  </si>
  <si>
    <t>Public Park Space</t>
  </si>
  <si>
    <t>Total Draws</t>
  </si>
  <si>
    <t>Phase III</t>
  </si>
  <si>
    <t>Amenity Fees</t>
  </si>
  <si>
    <t>Laundry-Amenity / MR Occ. Mo.</t>
  </si>
  <si>
    <t>Laundry-Amenity / Aff. Occ. Mo.</t>
  </si>
  <si>
    <t>Total Development Budget (excl Parking Hard Costs)</t>
  </si>
  <si>
    <t>Hard Cost PU</t>
  </si>
  <si>
    <t>TDC PU</t>
  </si>
  <si>
    <t>TDC PSF</t>
  </si>
  <si>
    <t>Cost Growth</t>
  </si>
  <si>
    <t>Years to Inflate</t>
  </si>
  <si>
    <t>Inflation</t>
  </si>
  <si>
    <t>Operating Expenses and Replacement Reserves</t>
  </si>
  <si>
    <t>Operating Expenses and Replacement Reserves PU (Annual)</t>
  </si>
  <si>
    <t>Unlevered Development Costs and Cash Flows</t>
  </si>
  <si>
    <t>Unlevered Development Costs</t>
  </si>
  <si>
    <t>Unlevered IRR</t>
  </si>
  <si>
    <t>Levered Cash Flows</t>
  </si>
  <si>
    <t>Total Levered Cash Flows</t>
  </si>
  <si>
    <t>Unlevered Cash Flows</t>
  </si>
  <si>
    <t>Total Unlevered Cash Flows</t>
  </si>
  <si>
    <t>Equity Investment</t>
  </si>
  <si>
    <t>Tax Basis</t>
  </si>
  <si>
    <t>Balance BOP</t>
  </si>
  <si>
    <t>Cash Flow to Equity</t>
  </si>
  <si>
    <t>Balance EOP</t>
  </si>
  <si>
    <t>Sale Value</t>
  </si>
  <si>
    <t>Opportunity Zones</t>
  </si>
  <si>
    <t>Marginal Tax Rate</t>
  </si>
  <si>
    <t>Post-Tax OZ Cash Flows</t>
  </si>
  <si>
    <t>Post-Tax Non-OZ Cash Flows</t>
  </si>
  <si>
    <t>Income Taxes</t>
  </si>
  <si>
    <t>Cash Flow</t>
  </si>
  <si>
    <t>Depreciation</t>
  </si>
  <si>
    <t>Unlevered Opportunity Zone Cash Flows</t>
  </si>
  <si>
    <t>Depreciable Life</t>
  </si>
  <si>
    <t>Depreciable % of costs</t>
  </si>
  <si>
    <t>Capital Gains</t>
  </si>
  <si>
    <t>Capital Gains Taxes</t>
  </si>
  <si>
    <t>Deferred Prior Capital Gains</t>
  </si>
  <si>
    <t>Payment of Prior Capital Gains</t>
  </si>
  <si>
    <t>Reduction of Prior Capital Gains</t>
  </si>
  <si>
    <t>Eligible Prior Capital Gains Reductions</t>
  </si>
  <si>
    <t>Post-Tax Non-OZ Unlevered IRR</t>
  </si>
  <si>
    <t>Post-Tax OZ Unlevered IRR</t>
  </si>
  <si>
    <t>"Gross-Up" Pre-Tax OZ Unlevered IRR</t>
  </si>
  <si>
    <t>Workforce Rental Housing</t>
  </si>
  <si>
    <t>Affordable Rental Housing</t>
  </si>
  <si>
    <t>Affordable For-Sale Housing</t>
  </si>
  <si>
    <t>Market-Rate For Sale Housing</t>
  </si>
  <si>
    <t>Market-Rate Rental Housing</t>
  </si>
  <si>
    <t>Sale</t>
  </si>
  <si>
    <t>Soft Costs and Reserves</t>
  </si>
  <si>
    <t>Less: Sales Cost</t>
  </si>
  <si>
    <t>Total Unlevered Development Costs</t>
  </si>
  <si>
    <t>Levered Net Cash Flow</t>
  </si>
  <si>
    <t>Levered IRR Before Taxes</t>
  </si>
  <si>
    <t>Unlevered IRR Before Taxes</t>
  </si>
  <si>
    <t>Capitalized Financing Costs</t>
  </si>
  <si>
    <t>TDC Net of Subsidies</t>
  </si>
  <si>
    <t>Public Subsidies</t>
  </si>
  <si>
    <t>Levered TDC Net of Subsidies</t>
  </si>
  <si>
    <t>Tax Credits &amp; TIF Subsidies</t>
  </si>
  <si>
    <t>Total Development Costs (net of Subsidies)</t>
  </si>
  <si>
    <t>Unlevered Net Cash Flow</t>
  </si>
  <si>
    <t>Total Loan Proceeds</t>
  </si>
  <si>
    <t>1. As the project is located in an Opportunity Zone, we expect an investor would evaluate the returns incorporating the post-tax benefit. For reference, therefore, we have provided the "pre-tax" equivalent IRR, or the IRR that would have to be achieved in the absence of Opportunity Zone benefits in order to achieve the same post-tax return.</t>
  </si>
  <si>
    <r>
      <t>Current Site Value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(start of Year 0)</t>
    </r>
  </si>
  <si>
    <t>2. We are proposing a discounted sale of City-owned parcels in exchange for the construction of specific public benefits, including public park space improvements and community facility space. Therefore, we have incorporated these "in-kind' acquisition costs as part of our current site value.</t>
  </si>
  <si>
    <t>Parcel</t>
  </si>
  <si>
    <t>Parcel B</t>
  </si>
  <si>
    <t>Parcel C</t>
  </si>
  <si>
    <t>Parcel D</t>
  </si>
  <si>
    <t>Parcel E</t>
  </si>
  <si>
    <t>Parcel F</t>
  </si>
  <si>
    <t>Parcel G</t>
  </si>
  <si>
    <t>Parcel H</t>
  </si>
  <si>
    <t>Parcel I</t>
  </si>
  <si>
    <t>Parcel J</t>
  </si>
  <si>
    <t>Parcel K</t>
  </si>
  <si>
    <t>Parcel M</t>
  </si>
  <si>
    <t>Parcel N</t>
  </si>
  <si>
    <t>Parcel O</t>
  </si>
  <si>
    <t>Parcel A1</t>
  </si>
  <si>
    <t>Parcel A2</t>
  </si>
  <si>
    <t>Parcel A3</t>
  </si>
  <si>
    <t>Parcel A4</t>
  </si>
  <si>
    <t>Podium Square Footage</t>
  </si>
  <si>
    <t>Tower Square Footage</t>
  </si>
  <si>
    <t>Parking Square Footage</t>
  </si>
  <si>
    <t>Gross Square Footages</t>
  </si>
  <si>
    <t>Net Square Footages</t>
  </si>
  <si>
    <t>Resi</t>
  </si>
  <si>
    <t>Efficiency</t>
  </si>
  <si>
    <t>Blend excl. Parking</t>
  </si>
  <si>
    <t>Check</t>
  </si>
  <si>
    <t>Traditional Retail</t>
  </si>
  <si>
    <t>Sports Museum and Community Sports Center</t>
  </si>
  <si>
    <t>Test Kitchen</t>
  </si>
  <si>
    <t>Conventional Office</t>
  </si>
  <si>
    <t>Studio</t>
  </si>
  <si>
    <t>1-BR</t>
  </si>
  <si>
    <t>2-BR</t>
  </si>
  <si>
    <t>3-BR</t>
  </si>
  <si>
    <t>Live-Work</t>
  </si>
  <si>
    <t>MR Resi</t>
  </si>
  <si>
    <t>Structural</t>
  </si>
  <si>
    <t>Surface</t>
  </si>
  <si>
    <t>Logistics Center</t>
  </si>
  <si>
    <t>Original Site</t>
  </si>
  <si>
    <t>Original Site or Developable</t>
  </si>
  <si>
    <t>Developable</t>
  </si>
  <si>
    <t>N/A</t>
  </si>
  <si>
    <t>Units Brought On-Line</t>
  </si>
  <si>
    <t>-</t>
  </si>
  <si>
    <r>
      <t>Project Buildout by Area</t>
    </r>
    <r>
      <rPr>
        <b/>
        <vertAlign val="superscript"/>
        <sz val="12"/>
        <rFont val="Arial"/>
        <family val="2"/>
      </rPr>
      <t>3</t>
    </r>
  </si>
  <si>
    <t xml:space="preserve">3. All buildout figures presented are for net rentable square feet. See the Parcel Breakdown or Assumptions tab for the buildout by gross square footage. </t>
  </si>
  <si>
    <t>Retail and Community Facility</t>
  </si>
  <si>
    <t>Unit Hard Cost</t>
  </si>
  <si>
    <t>Hard Cost PSF</t>
  </si>
  <si>
    <r>
      <t>Unit TDC</t>
    </r>
    <r>
      <rPr>
        <b/>
        <vertAlign val="superscript"/>
        <sz val="12"/>
        <rFont val="Arial"/>
        <family val="2"/>
      </rPr>
      <t>4</t>
    </r>
  </si>
  <si>
    <r>
      <t>TDC</t>
    </r>
    <r>
      <rPr>
        <b/>
        <vertAlign val="superscript"/>
        <sz val="12"/>
        <rFont val="Arial"/>
        <family val="2"/>
      </rPr>
      <t>4</t>
    </r>
  </si>
  <si>
    <t>Structured and Surface Parking</t>
  </si>
  <si>
    <t>Demolition (included in Hard Costs below)</t>
  </si>
  <si>
    <t>Total Debt Service and Origination Fees</t>
  </si>
  <si>
    <t>Perm Loan Debt Service, Repayment, &amp; Origination Fees</t>
  </si>
  <si>
    <t>Loan Funding and Refinancing</t>
  </si>
  <si>
    <t>Blended Perm Loan to Value Ratio (LVR)</t>
  </si>
  <si>
    <t>Construction Phase</t>
  </si>
  <si>
    <t>Permanent Phase</t>
  </si>
  <si>
    <t>Public Subsidies (total)</t>
  </si>
  <si>
    <t>Construction Loan / EB-5 Bridge</t>
  </si>
  <si>
    <t>EB-5 Senior Loan</t>
  </si>
  <si>
    <t>Industrial Revenue Bond Loan</t>
  </si>
  <si>
    <t>Infrastructure Budget - Itemized</t>
  </si>
  <si>
    <t>Source</t>
  </si>
  <si>
    <t>Public Landscape</t>
  </si>
  <si>
    <t>High End</t>
  </si>
  <si>
    <t>Low End</t>
  </si>
  <si>
    <t>Others</t>
  </si>
  <si>
    <t>Street</t>
  </si>
  <si>
    <t>New Streets</t>
  </si>
  <si>
    <t>Existing Road Upgrade</t>
  </si>
  <si>
    <t>High</t>
  </si>
  <si>
    <t>Medium</t>
  </si>
  <si>
    <t>Low</t>
  </si>
  <si>
    <t>New Transit Station</t>
  </si>
  <si>
    <t>Utilities Connection</t>
  </si>
  <si>
    <t xml:space="preserve">Storm Water </t>
  </si>
  <si>
    <t>Cisterns (Pumping Included)</t>
  </si>
  <si>
    <t xml:space="preserve">Storm Water and Gray Water Pipe </t>
  </si>
  <si>
    <t>Brownwater Living Machines</t>
  </si>
  <si>
    <t>Infrastructure Cost - Private</t>
  </si>
  <si>
    <t>Infrastructure Cost - Public</t>
  </si>
  <si>
    <t>Cost Per Unit</t>
  </si>
  <si>
    <t>SF</t>
  </si>
  <si>
    <t>Per site</t>
  </si>
  <si>
    <t>LF</t>
  </si>
  <si>
    <t>Decking Cost Analysis</t>
  </si>
  <si>
    <t>Site</t>
  </si>
  <si>
    <t>A1</t>
  </si>
  <si>
    <t>A2</t>
  </si>
  <si>
    <t>A3</t>
  </si>
  <si>
    <t>A4</t>
  </si>
  <si>
    <t>Size (sqft)</t>
  </si>
  <si>
    <t>Decking cost (per sqft)</t>
  </si>
  <si>
    <t>Pedestrian Foot Bridge</t>
  </si>
  <si>
    <t>Ventilation System</t>
  </si>
  <si>
    <t>Subtotal</t>
  </si>
  <si>
    <t>Structural Reinforcement</t>
  </si>
  <si>
    <t>Reinforced Area</t>
  </si>
  <si>
    <t>Depth of Caission (ft)</t>
  </si>
  <si>
    <t>Width of Caission (ft)</t>
  </si>
  <si>
    <t>Length of Structure Support (lf)</t>
  </si>
  <si>
    <t>Concrete, reinforced deep caission</t>
  </si>
  <si>
    <t xml:space="preserve">Brownwater Pipe </t>
  </si>
  <si>
    <t>Brownwater Pipe</t>
  </si>
  <si>
    <t>Public Realm Assumption</t>
  </si>
  <si>
    <t>Public Landscape &amp; Park</t>
  </si>
  <si>
    <t>Site Area</t>
  </si>
  <si>
    <t>B</t>
  </si>
  <si>
    <t>FT</t>
  </si>
  <si>
    <t>CF</t>
  </si>
  <si>
    <t>Stadium</t>
  </si>
  <si>
    <t>Cincinnati Bengals</t>
  </si>
  <si>
    <t>Cincinnati Reds</t>
  </si>
  <si>
    <t>Parcel #</t>
  </si>
  <si>
    <t>O</t>
  </si>
  <si>
    <t>H</t>
  </si>
  <si>
    <t>J</t>
  </si>
  <si>
    <t>% of total area</t>
  </si>
  <si>
    <t>Lease Start Date</t>
  </si>
  <si>
    <t>Lease Term</t>
  </si>
  <si>
    <t>Outstanding Lease (in 2019)</t>
  </si>
  <si>
    <t>Acquisition Cost</t>
  </si>
  <si>
    <t>Total Lease Payment</t>
  </si>
  <si>
    <t>M</t>
  </si>
  <si>
    <t>N</t>
  </si>
  <si>
    <t>O (Part)</t>
  </si>
  <si>
    <t>Address</t>
  </si>
  <si>
    <t>308 Vine Street Garage</t>
  </si>
  <si>
    <t>48 E 3rd St Garage</t>
  </si>
  <si>
    <t>150E Third Street</t>
  </si>
  <si>
    <t>Lot 1 Parking Garage</t>
  </si>
  <si>
    <t>Parking Space</t>
  </si>
  <si>
    <t>Type</t>
  </si>
  <si>
    <t>Parking Garage</t>
  </si>
  <si>
    <t>Vacancy (%)</t>
  </si>
  <si>
    <t>Operating Margin (%)</t>
  </si>
  <si>
    <t>Annualized NOI</t>
  </si>
  <si>
    <t>Cap rate</t>
  </si>
  <si>
    <t>K</t>
  </si>
  <si>
    <t>311 Elm St</t>
  </si>
  <si>
    <t>Dixie Terminal - South Tower</t>
  </si>
  <si>
    <t>Current Use</t>
  </si>
  <si>
    <t>Class B Office</t>
  </si>
  <si>
    <t>After Year 10</t>
  </si>
  <si>
    <t>Annual Lease Schedule</t>
  </si>
  <si>
    <t>TOTAL Lease Payment</t>
  </si>
  <si>
    <t>Acquisition - Stadium Lease</t>
  </si>
  <si>
    <t>Acquisition Cost - Summary</t>
  </si>
  <si>
    <t>1. Calculated based on overall cost estimate for 7 stations along Oasis Rail Line in Cincinnati.</t>
  </si>
  <si>
    <r>
      <t>New Transit Station</t>
    </r>
    <r>
      <rPr>
        <vertAlign val="superscript"/>
        <sz val="12"/>
        <color rgb="FF000000"/>
        <rFont val="Arial"/>
        <family val="2"/>
      </rPr>
      <t>1</t>
    </r>
  </si>
  <si>
    <t>Blended rent as % of listing</t>
  </si>
  <si>
    <t>Listed parking rate per mth</t>
  </si>
  <si>
    <t>Rentable Area (sqft)</t>
  </si>
  <si>
    <t>Purchase of Class B Parking Garages</t>
  </si>
  <si>
    <t>Purchase of Class B Office Buildings and Air Rights</t>
  </si>
  <si>
    <t>Decking and Additional Support</t>
  </si>
  <si>
    <t>Total Infrastructure and Acquisition Costs</t>
  </si>
  <si>
    <t>Operating Expenses and Replacement Reserves PSF</t>
  </si>
  <si>
    <t>Square Footage for Demolition</t>
  </si>
  <si>
    <t>Hard Cost Total</t>
  </si>
  <si>
    <t>PGSF</t>
  </si>
  <si>
    <t>Blended</t>
  </si>
  <si>
    <t>(-) Parking</t>
  </si>
  <si>
    <t>HTC Equity</t>
  </si>
  <si>
    <t>Historic Tax Credit Equity</t>
  </si>
  <si>
    <t>Low-Income Housing Tax Credit Equity</t>
  </si>
  <si>
    <t>Federal New Markets Tax Credit Equity</t>
  </si>
  <si>
    <t>Ohio State New Markets Tax Credit Equity</t>
  </si>
  <si>
    <t>Federal Low-Income Housing Tax Credit Equity</t>
  </si>
  <si>
    <t>Federal and State New Markets Tax Credit Equity</t>
  </si>
  <si>
    <t>Credit as % of Qualified Rehabilitation Expenditures (QREs)</t>
  </si>
  <si>
    <t>New Markets Tax Credit Equity</t>
  </si>
  <si>
    <t>Low-Income Housing Credit Equity</t>
  </si>
  <si>
    <t>QREs (Gut Rehab Hard Costs, Associated Developer Fee)</t>
  </si>
  <si>
    <t>Opportunity Zone Unlevered Pre-Tax IRR</t>
  </si>
  <si>
    <t>4. TDC includes pro-rated acquisition and infrastructure costs, hard costs, soft costs, financing costs, reserves, and developer fee.</t>
  </si>
  <si>
    <t>Opportunity Zone Fund Equity</t>
  </si>
  <si>
    <t>I - Full Service Hotel</t>
  </si>
  <si>
    <t>II - Limited-Service Hotel</t>
  </si>
  <si>
    <t>Sports Museum and Community Recreation Space</t>
  </si>
  <si>
    <t>Public Benefits</t>
  </si>
  <si>
    <t>Market Rate Equivalent Revenue</t>
  </si>
  <si>
    <t>Charter School Revenue</t>
  </si>
  <si>
    <t>Charter School Public Benefit Value</t>
  </si>
  <si>
    <t>NPV</t>
  </si>
  <si>
    <t>Test Kitchen Public Benefit Value</t>
  </si>
  <si>
    <t>Levered Opportunity Zone Cash Flows</t>
  </si>
  <si>
    <t>NOI less Interest</t>
  </si>
  <si>
    <t>Post-Tax OZ Levered IRR</t>
  </si>
  <si>
    <t>"Gross-Up" Pre-Tax OZ Levered IRR</t>
  </si>
  <si>
    <t>Sale Value and Refi (Return of Equity)</t>
  </si>
  <si>
    <t>Benefit of Income Tax Losses / (Gains)</t>
  </si>
  <si>
    <t>Sale and Refi Proceeds (Return of Equity)</t>
  </si>
  <si>
    <t>Cash Flow (Return on Equity)</t>
  </si>
  <si>
    <t>Post-Tax Non-OZ Levered IRR</t>
  </si>
  <si>
    <t>Post-Tax Levered OZ Cash Flows</t>
  </si>
  <si>
    <t>Post-Tax Levered Non-OZ Cash Flows</t>
  </si>
  <si>
    <t>Combined Pre-Tax Returns</t>
  </si>
  <si>
    <t>Combined Pre-Tax Equivalent Opportunity Zone Returns</t>
  </si>
  <si>
    <t>OZ Unlevered Post-Tax Cash Flows</t>
  </si>
  <si>
    <t>OZ Unlevered Post-Tax IRR</t>
  </si>
  <si>
    <t>Pre-Tax Equivalent IRR</t>
  </si>
  <si>
    <t>Total OZ Unlevered Post-Tax Cash Flows</t>
  </si>
  <si>
    <t>OZ Levered Post-Tax Cash Flows</t>
  </si>
  <si>
    <t>Cost</t>
  </si>
  <si>
    <t>Total Subsidies</t>
  </si>
  <si>
    <t>Exit Cap Rate</t>
  </si>
  <si>
    <t>Uses ($mm)</t>
  </si>
  <si>
    <t>Sources ($mm)</t>
  </si>
  <si>
    <t>Construction</t>
  </si>
  <si>
    <t>Senior Bank Loan</t>
  </si>
  <si>
    <t>Fund Equity</t>
  </si>
  <si>
    <t>Permanent</t>
  </si>
  <si>
    <t>Senior EB-5 Loan</t>
  </si>
  <si>
    <t>Senior IRB Loan</t>
  </si>
  <si>
    <t>Infrastructure</t>
  </si>
  <si>
    <t>Unlevered</t>
  </si>
  <si>
    <t>Levered</t>
  </si>
  <si>
    <t>Opportunity Zone Levered</t>
  </si>
  <si>
    <t>Public Parks</t>
  </si>
  <si>
    <t>Affordable Housing</t>
  </si>
  <si>
    <t>Public Benefit Space</t>
  </si>
  <si>
    <t>Sports Museum / Community Rec Center</t>
  </si>
  <si>
    <t>Affordable Housing Public Benefit Value</t>
  </si>
  <si>
    <t>Affordable Housing Revenue</t>
  </si>
  <si>
    <t>Discounted Rent at Charter School</t>
  </si>
  <si>
    <t>Discounted Rent at Test Kitchen</t>
  </si>
  <si>
    <t>Combined</t>
  </si>
  <si>
    <t>Return of Equity and Exposure</t>
  </si>
  <si>
    <t>Phase III Equity Fundings</t>
  </si>
  <si>
    <t>Phase III Return of / on Equity</t>
  </si>
  <si>
    <t>Combined Equity Fundings</t>
  </si>
  <si>
    <t>Combined Return of / on Equity</t>
  </si>
  <si>
    <t>Phase II Equity Fundings</t>
  </si>
  <si>
    <t>Phase II Return of / on Equity</t>
  </si>
  <si>
    <t>Phase I Equity Fundings</t>
  </si>
  <si>
    <t>Phase I Return of / on Equity</t>
  </si>
  <si>
    <t>Total Equity Exposure</t>
  </si>
  <si>
    <t>Project Timeline</t>
  </si>
  <si>
    <t>Financial Performance</t>
  </si>
  <si>
    <t>Development Mix - Residential Mix (Units)</t>
  </si>
  <si>
    <t>Avg Unit Size (sqft）</t>
  </si>
  <si>
    <t>Financing Assumption</t>
  </si>
  <si>
    <t>Maximum LTV</t>
  </si>
  <si>
    <t>Maximum Loan by LTV Test</t>
  </si>
  <si>
    <t>Maximum Loan by DSCR Test</t>
  </si>
  <si>
    <t>Development Mix - Commercial (sqft)</t>
  </si>
  <si>
    <t>Light Industrial</t>
  </si>
  <si>
    <t>Development Mix - Others</t>
  </si>
  <si>
    <t>Avg Unit Size (sqft)</t>
  </si>
  <si>
    <t>Hotel (Rooms)</t>
  </si>
  <si>
    <t>Sources &amp; Uses</t>
  </si>
  <si>
    <t>%</t>
  </si>
  <si>
    <t>Community Space (sqft)</t>
  </si>
  <si>
    <t>Predevelopment</t>
  </si>
  <si>
    <t>Sources</t>
  </si>
  <si>
    <t>Uses</t>
  </si>
  <si>
    <t>Parking (space)</t>
  </si>
  <si>
    <t>Market Rent Assumption - Residential</t>
  </si>
  <si>
    <t>Market Rent</t>
  </si>
  <si>
    <t>Rental Growth</t>
  </si>
  <si>
    <t>(%)</t>
  </si>
  <si>
    <t>（%）</t>
  </si>
  <si>
    <t>Market Rent Assumption - Commercial</t>
  </si>
  <si>
    <t>Lease Type</t>
  </si>
  <si>
    <t>Market Rent Assumption - Hotel</t>
  </si>
  <si>
    <t>Market Rent Assumption - Others</t>
  </si>
  <si>
    <t xml:space="preserve">Market Rent </t>
  </si>
  <si>
    <t>Per Unit</t>
  </si>
  <si>
    <t>Total Permanent Loan Amount</t>
  </si>
  <si>
    <t>Construction Loan Amount</t>
  </si>
  <si>
    <t>Projected Annual Debt Service</t>
  </si>
  <si>
    <t>Full Service Hotel</t>
  </si>
  <si>
    <t>Limited Service Hotel</t>
  </si>
  <si>
    <t>Boutique Hotel</t>
  </si>
  <si>
    <t>Full Service</t>
  </si>
  <si>
    <t>Limited Service</t>
  </si>
  <si>
    <t>Boutique</t>
  </si>
  <si>
    <t>III - Boutique Hotel</t>
  </si>
  <si>
    <t>NNN</t>
  </si>
  <si>
    <t>Mod. Gross</t>
  </si>
  <si>
    <t>OpEx Only</t>
  </si>
  <si>
    <t>Team Code: 192019</t>
  </si>
  <si>
    <t>Average Utilization (Draw)</t>
  </si>
  <si>
    <t>Full Build-Out</t>
  </si>
  <si>
    <t>Combined Breakdown by Asset Type</t>
  </si>
  <si>
    <t>Phase I Breakdown by Asset Type</t>
  </si>
  <si>
    <t>Yield-to-Cost after Subsidies</t>
  </si>
  <si>
    <t>IRR</t>
  </si>
  <si>
    <t>Levered IRR without Opportunity Zone</t>
  </si>
  <si>
    <t>Levered IRR with Opportunity Zone</t>
  </si>
  <si>
    <t>Phase II Breakdown by Asset Type</t>
  </si>
  <si>
    <t>Phase III Breakdown by Asset Type</t>
  </si>
  <si>
    <t xml:space="preserve"> </t>
  </si>
  <si>
    <t>Levered IRR after Opportunity Zone Benefit</t>
  </si>
  <si>
    <t>Levered IRR before Opportunity Zone Benefit</t>
  </si>
  <si>
    <t>Opportunity Zone Levered Pre-Tax IRR</t>
  </si>
  <si>
    <t>Rate (30 year am.)</t>
  </si>
  <si>
    <t>Rate (I/O)</t>
  </si>
  <si>
    <t>Senior Permanent Bank Loan</t>
  </si>
  <si>
    <t>Conventional Retail</t>
  </si>
  <si>
    <t>Supply Unchained Logistics Center</t>
  </si>
  <si>
    <t>Affordable Housing Units (50% AMI)</t>
  </si>
  <si>
    <t>LIHTC Affordable Unit Mix (50% AMI)</t>
  </si>
  <si>
    <t>Annual LIHTC Affordable Gross Rent</t>
  </si>
  <si>
    <r>
      <t>Levered IRR after Opportunity Zone Benefits</t>
    </r>
    <r>
      <rPr>
        <b/>
        <vertAlign val="superscript"/>
        <sz val="12"/>
        <rFont val="Arial"/>
        <family val="2"/>
      </rPr>
      <t>1</t>
    </r>
  </si>
  <si>
    <t>Space Absorbed</t>
  </si>
  <si>
    <t>Rooms Absorbed</t>
  </si>
  <si>
    <t>I,II,III</t>
  </si>
  <si>
    <t>A-G, I*</t>
  </si>
  <si>
    <t>* To acquire from the city and county at $1 acquisiton cost each phase</t>
  </si>
  <si>
    <t>Stabilized Mixed-Use Component NOI</t>
  </si>
  <si>
    <t>Estimated Mixed-Use Component Value</t>
  </si>
  <si>
    <t>Estimated Industrial Component Value</t>
  </si>
  <si>
    <t>Stabilized Industrial Component NOI</t>
  </si>
  <si>
    <t>Stabilized Hotel Component NOI</t>
  </si>
  <si>
    <t>Estimated Hotel Component Value</t>
  </si>
  <si>
    <t>Mixed-Use Component</t>
  </si>
  <si>
    <t>Hotel Component</t>
  </si>
  <si>
    <t>Industrial Component</t>
  </si>
  <si>
    <t>Mixed-Use Component NOI</t>
  </si>
  <si>
    <t>1. For simplicity, all refinance proceeds modelled as part of the mixed-income component.</t>
  </si>
  <si>
    <t>Total Hotel Component Revenue</t>
  </si>
  <si>
    <t>NMTC Allocation Raised Total ($mm)</t>
  </si>
  <si>
    <t>LIHTC Allocation Per Affordable Unit</t>
  </si>
  <si>
    <t>Base Case</t>
  </si>
  <si>
    <t>Levered Pre-Tax IRR</t>
  </si>
  <si>
    <t>Unlevered Pre-Tax IRR</t>
  </si>
  <si>
    <t>Opportunity Zone Pre-Tax Equivalent Levered IRR</t>
  </si>
  <si>
    <t>Combined Equity Multiple</t>
  </si>
  <si>
    <t>Office Rents PSF</t>
  </si>
  <si>
    <t>Office Exit Cap Rate</t>
  </si>
  <si>
    <t>Mixed-Use Component Pro Forma ($mm)</t>
  </si>
  <si>
    <t>Phase I Pro Forma</t>
  </si>
  <si>
    <t>Total On-Line SF</t>
  </si>
  <si>
    <t>Senior Loan Balance</t>
  </si>
  <si>
    <t>Permanent Debt Service</t>
  </si>
  <si>
    <t>Refinance Proceeds</t>
  </si>
  <si>
    <t>Total Mixed-Use Component Cash Flow</t>
  </si>
  <si>
    <t>Conference Space Expenses</t>
  </si>
  <si>
    <t>Phase II Pro Forma</t>
  </si>
  <si>
    <t>Total Hotel Component Cash Flows</t>
  </si>
  <si>
    <t>Total Industrial Component Cash Flows</t>
  </si>
  <si>
    <t>Industrial Component NOI</t>
  </si>
  <si>
    <t>Phase III Pro Forma</t>
  </si>
  <si>
    <t>Industrial Rents PSF</t>
  </si>
  <si>
    <t>Industrial Exit Cap Rate</t>
  </si>
  <si>
    <t>Market Rate Resi Exit Cap Rate</t>
  </si>
  <si>
    <t>Mixed-Use Component Value</t>
  </si>
  <si>
    <t>Hotel Component Value</t>
  </si>
  <si>
    <t>Max Permanent Bank Loan Proceeds</t>
  </si>
  <si>
    <t>Max EB-5 Loan Proceeds</t>
  </si>
  <si>
    <t>Max IRB Loan Proceeds</t>
  </si>
  <si>
    <t>Public Benefit Expenditures</t>
  </si>
  <si>
    <t>Value of Discounted Rent at Charter School</t>
  </si>
  <si>
    <t>Value of Discounted Rent at Test Kitchen</t>
  </si>
  <si>
    <t>Value of Discounted Rent in Affordable Units</t>
  </si>
  <si>
    <t>Public Benefit Expenditures (con't)</t>
  </si>
  <si>
    <t>Public Expenditures</t>
  </si>
  <si>
    <t>% of Total Street Improvements Capital Budget</t>
  </si>
  <si>
    <t>2018-2023</t>
  </si>
  <si>
    <r>
      <t>Cincinnati Total Street Rehabilitation Capital Budget</t>
    </r>
    <r>
      <rPr>
        <vertAlign val="superscript"/>
        <sz val="12"/>
        <color theme="1"/>
        <rFont val="Arial"/>
        <family val="2"/>
      </rPr>
      <t>1</t>
    </r>
  </si>
  <si>
    <r>
      <t>Cincinnati Total Park Infrastructure Capital Budget</t>
    </r>
    <r>
      <rPr>
        <vertAlign val="superscript"/>
        <sz val="12"/>
        <color theme="1"/>
        <rFont val="Arial"/>
        <family val="2"/>
      </rPr>
      <t>1</t>
    </r>
  </si>
  <si>
    <t>% of Total Parks and Recreation Infrastructure Capital Budget</t>
  </si>
  <si>
    <t>Aquatics</t>
  </si>
  <si>
    <t>Athletics</t>
  </si>
  <si>
    <t>Outdoor</t>
  </si>
  <si>
    <t>Compliance</t>
  </si>
  <si>
    <t>2018-2019</t>
  </si>
  <si>
    <t>2020-2023</t>
  </si>
  <si>
    <t>Street Rehab</t>
  </si>
  <si>
    <t>Parks</t>
  </si>
  <si>
    <t>Rec Facilities</t>
  </si>
  <si>
    <r>
      <t>Cincinnati Total Recreation Capital Budget</t>
    </r>
    <r>
      <rPr>
        <vertAlign val="superscript"/>
        <sz val="12"/>
        <color theme="1"/>
        <rFont val="Arial"/>
        <family val="2"/>
      </rPr>
      <t>1</t>
    </r>
  </si>
  <si>
    <t>Total % of Relevant Capital Budget Line Items</t>
  </si>
  <si>
    <t>1. Cincinnati presents aggregated estimates for 2020-2023. Above figures are pro-rated on a straight line basis for each year. 2024 estimates (italicized) assume that 2023 figures continue to be allocated.</t>
  </si>
  <si>
    <t>CincyStitch - Estimated Public Expenditure on Public Parks</t>
  </si>
  <si>
    <t>CincyStitch - Estimated Public Expenditure on Street Improvements</t>
  </si>
  <si>
    <t>Microgrid Revenues</t>
  </si>
  <si>
    <t>Microgrid Revenue Assumptions</t>
  </si>
  <si>
    <t>Revenue per kWh</t>
  </si>
  <si>
    <t>Microgrid Cost Assumptions</t>
  </si>
  <si>
    <t>Total MW Capacity</t>
  </si>
  <si>
    <t>Project Capacity Factor</t>
  </si>
  <si>
    <t>Annual Standard Offer Revenue</t>
  </si>
  <si>
    <t>Total Annual MWh</t>
  </si>
  <si>
    <t>Revenue per MWh</t>
  </si>
  <si>
    <t>Microgrid Expense Assumptions</t>
  </si>
  <si>
    <t>O&amp;M Costs per kW</t>
  </si>
  <si>
    <t>Property Tax per kW</t>
  </si>
  <si>
    <t>Insurance (% of installation cost)</t>
  </si>
  <si>
    <t>Installation Costs per kW Capacity</t>
  </si>
  <si>
    <t>Total Installation Costs</t>
  </si>
  <si>
    <t>Standard Offer Revenue</t>
  </si>
  <si>
    <t>SREC Revenue</t>
  </si>
  <si>
    <t>Total Microgrid Revenues</t>
  </si>
  <si>
    <t>Inflation Growth</t>
  </si>
  <si>
    <t>Microgrid Expenses</t>
  </si>
  <si>
    <t>Total Microgrid Expenses</t>
  </si>
  <si>
    <t>O&amp;M</t>
  </si>
  <si>
    <t>Property Taxes</t>
  </si>
  <si>
    <t>Microgrid EBITDA</t>
  </si>
  <si>
    <t>Microgrid Investment Horizon and Valuation</t>
  </si>
  <si>
    <t>EBITDA Multiple</t>
  </si>
  <si>
    <t>Exit Date</t>
  </si>
  <si>
    <t>Enterprise Value</t>
  </si>
  <si>
    <t>REC Market Value per mWh</t>
  </si>
  <si>
    <t>Annual REC Revenue</t>
  </si>
  <si>
    <t>Investment Tax Credit (ITC) Percentage</t>
  </si>
  <si>
    <t>Investment Cash Flows and ITCs</t>
  </si>
  <si>
    <t>ITCs (at Placed-in-Service Date)</t>
  </si>
  <si>
    <t>Installation Costs</t>
  </si>
  <si>
    <t>Market Penetration for 1-Gig/Sec Plans</t>
  </si>
  <si>
    <t>Estimated Serviceable Area Households</t>
  </si>
  <si>
    <t>Monthly Retail Cost for 1-Gig/Sec Plans</t>
  </si>
  <si>
    <t>Monthly Retail Cost for 500mb/Sec Plans</t>
  </si>
  <si>
    <t>Market Penetration for 500mb/Sec Plans</t>
  </si>
  <si>
    <t>5G Small Cell Retail ISP Cost Assumptions</t>
  </si>
  <si>
    <t>Required Number of Small Cells</t>
  </si>
  <si>
    <t>Cost per Small Cell Installation</t>
  </si>
  <si>
    <t>5G Small Cell Expense Assumptions</t>
  </si>
  <si>
    <t>5G Small Cell Investment Horizon and Valuation</t>
  </si>
  <si>
    <t>Operating Margin (incl. backhaul)</t>
  </si>
  <si>
    <t>5G Small Cell Retail Internet Service Provider Revenue Assumptions</t>
  </si>
  <si>
    <t>Unlevered Microgrid IRR</t>
  </si>
  <si>
    <t>Financing Assumptions</t>
  </si>
  <si>
    <t>Stabilized EBITDA Value</t>
  </si>
  <si>
    <t>Interest Rate</t>
  </si>
  <si>
    <t>Microgrid Cash Flows and ITCs</t>
  </si>
  <si>
    <t>5G Small Cell Revenues</t>
  </si>
  <si>
    <t>1 gbps subscribers</t>
  </si>
  <si>
    <t>500 mbps subscribers</t>
  </si>
  <si>
    <t>1 gbps Revenues</t>
  </si>
  <si>
    <t>500 mbps Revenues</t>
  </si>
  <si>
    <t>5G Small Cell Expenses</t>
  </si>
  <si>
    <t>O&amp;M and Backhaul</t>
  </si>
  <si>
    <t>5G Small Cell EBITDA</t>
  </si>
  <si>
    <t>Total Service Area (square miles)</t>
  </si>
  <si>
    <t>Average Service Area per Small Cell (square meters)</t>
  </si>
  <si>
    <t>Unlevered 5G Small Cell IRR</t>
  </si>
  <si>
    <t>5G Small Cell Cash Flows</t>
  </si>
  <si>
    <t>Total 5G Small Cell Revenues</t>
  </si>
  <si>
    <t>Combined Unlevered Cash Flows</t>
  </si>
  <si>
    <t>Equity Injections</t>
  </si>
  <si>
    <t>Unlevered Combined IRR</t>
  </si>
  <si>
    <t>Debt Facility</t>
  </si>
  <si>
    <t>Fundings</t>
  </si>
  <si>
    <t>Repayment</t>
  </si>
  <si>
    <t>Interest Cost</t>
  </si>
  <si>
    <t>Levered Combined IRR</t>
  </si>
  <si>
    <t>Smart City Holdco</t>
  </si>
  <si>
    <t>Component</t>
  </si>
  <si>
    <t>Microgrid</t>
  </si>
  <si>
    <t>5G Small Cell</t>
  </si>
  <si>
    <t>Debt Facility Interest Rate</t>
  </si>
  <si>
    <t>Debt / EBITDA Ratio</t>
  </si>
  <si>
    <t>Stabilized EBITDA</t>
  </si>
  <si>
    <t>New Boat Docks</t>
  </si>
  <si>
    <t>New Marina Docks</t>
  </si>
  <si>
    <t>Roads, Transit Station, and Boat Docks</t>
  </si>
  <si>
    <t>Less: Greater Cincinnati Foundation Grant</t>
  </si>
  <si>
    <t>Net Park Cost to Public Sector</t>
  </si>
  <si>
    <t>City of Cincinnati Capital Budget (Specific Line Items)</t>
  </si>
  <si>
    <t>Workforce (120% AMI) and Market Resi Mix</t>
  </si>
  <si>
    <t>Annual Workforce + Market Resi Gross Rent</t>
  </si>
  <si>
    <t>Max Rent PU at 120% AMI</t>
  </si>
  <si>
    <t>Market Rent PU</t>
  </si>
  <si>
    <t># Units Capped at 120% AMI</t>
  </si>
  <si>
    <t>Effective Weighted Rent PU</t>
  </si>
  <si>
    <t>Effective Weighted Rent PSF</t>
  </si>
  <si>
    <t>Market-Rate and Workforce Rental Housing</t>
  </si>
  <si>
    <t>Market-Rate and Workforce For Sale Housing</t>
  </si>
  <si>
    <t>Market Rate and Workforce</t>
  </si>
  <si>
    <t>Market Rate and Workforce (120% AMI)</t>
  </si>
  <si>
    <r>
      <t>120% AMI Cap</t>
    </r>
    <r>
      <rPr>
        <b/>
        <vertAlign val="superscript"/>
        <sz val="12"/>
        <color theme="0"/>
        <rFont val="Arial"/>
        <family val="2"/>
      </rPr>
      <t>1</t>
    </r>
  </si>
  <si>
    <t>1. 50% of studios and 1-BRs are capped at a max. rent of 120% AMI to preserve workforce affordability as the market grows in the future.</t>
  </si>
  <si>
    <t>Workforce</t>
  </si>
  <si>
    <t>Market Rate and WF Residential Growth</t>
  </si>
  <si>
    <t>Market Rate and WF Residential</t>
  </si>
  <si>
    <t>Blended Market + WF Residential Rents PSF</t>
  </si>
  <si>
    <t>Market and Workforce Residential</t>
  </si>
  <si>
    <t>Market Rate and Workforce Residential</t>
  </si>
  <si>
    <t>Market and WF Residential</t>
  </si>
  <si>
    <t>Discounted Rent in 50% AMI Affordable Units</t>
  </si>
  <si>
    <r>
      <t>Market-Rate and Workforce Rental Housing</t>
    </r>
    <r>
      <rPr>
        <vertAlign val="superscript"/>
        <sz val="12"/>
        <rFont val="Arial"/>
        <family val="2"/>
      </rPr>
      <t>1</t>
    </r>
  </si>
  <si>
    <t>1. 50% of market rate studios and 1-BRs are restricted at a rent of 120% AMI (currently above market) to preserve workforce housing against future market and rent growth.</t>
  </si>
  <si>
    <t>Max. Debt / EBITDA Ratio for Loan Sizing</t>
  </si>
  <si>
    <t>Market Analysis</t>
  </si>
  <si>
    <t>Market Data</t>
  </si>
  <si>
    <t>CincyStitch</t>
  </si>
  <si>
    <t>Proposed Rent</t>
  </si>
  <si>
    <t>Total (sqft)</t>
  </si>
  <si>
    <t>sqft</t>
  </si>
  <si>
    <t>units / spaces</t>
  </si>
  <si>
    <t>($ / sqft / yr)</t>
  </si>
  <si>
    <t xml:space="preserve">Vacancy </t>
  </si>
  <si>
    <t>Location</t>
  </si>
  <si>
    <t>Size</t>
  </si>
  <si>
    <t>Office Comp</t>
  </si>
  <si>
    <t>231 W 12th St</t>
  </si>
  <si>
    <t>Net</t>
  </si>
  <si>
    <t>301 E Fourth St</t>
  </si>
  <si>
    <t>441 Vine St</t>
  </si>
  <si>
    <t>3528 Edward St</t>
  </si>
  <si>
    <t>Full Service G.</t>
  </si>
  <si>
    <t>Average</t>
  </si>
  <si>
    <t>Assumption</t>
  </si>
  <si>
    <t>Retail Comp</t>
  </si>
  <si>
    <t>602-608 Main St</t>
  </si>
  <si>
    <t>1434 Vine St</t>
  </si>
  <si>
    <t>Fountain Square Retail</t>
  </si>
  <si>
    <t>228 Calhoun St</t>
  </si>
  <si>
    <t>220 E 4th St</t>
  </si>
  <si>
    <t>Industrial Comp</t>
  </si>
  <si>
    <t>9991 Commerce Park</t>
  </si>
  <si>
    <t>2801 Spring Grove Ave</t>
  </si>
  <si>
    <t>2630 Glendale Milford Rd</t>
  </si>
  <si>
    <t>737 W 6th St</t>
  </si>
  <si>
    <t>Hotel Comp</t>
  </si>
  <si>
    <t xml:space="preserve">Rooms </t>
  </si>
  <si>
    <t>Westin Hotel Cincinnati</t>
  </si>
  <si>
    <t>Hilton Hotel Netherland Plaza Downtown Cincinnati</t>
  </si>
  <si>
    <t>Hyatt Regency Hotel Downtown Cincinnati</t>
  </si>
  <si>
    <t>Holiday Inn Express Hotel &amp; Suites Downtown Cincinnati</t>
  </si>
  <si>
    <t>Hampton Inn &amp; Suites Downtown Cincinnati</t>
  </si>
  <si>
    <t>Renaissance Cincinnati Downtown Hotel</t>
  </si>
  <si>
    <t>Residence Inn by Marriott Cincinnati</t>
  </si>
  <si>
    <t>The Cincinnatian Hotel, Curio Collection by Hilton</t>
  </si>
  <si>
    <t>AC Hotel by Marriott Downtown Cincinnati</t>
  </si>
  <si>
    <t>Hilton Cincinnati Netherland Plaza</t>
  </si>
  <si>
    <t>Underwriting</t>
  </si>
  <si>
    <t>Project Name</t>
  </si>
  <si>
    <t>The Banks</t>
  </si>
  <si>
    <t>CityClub</t>
  </si>
  <si>
    <t>Radius at the Banks</t>
  </si>
  <si>
    <t>Current at the Banks</t>
  </si>
  <si>
    <t>AT580</t>
  </si>
  <si>
    <t>Seven at Broaway</t>
  </si>
  <si>
    <t>309 Vine Street</t>
  </si>
  <si>
    <t>0.1 miles</t>
  </si>
  <si>
    <t>0.2 miles</t>
  </si>
  <si>
    <t>0.4 miles</t>
  </si>
  <si>
    <t>0.7 miles</t>
  </si>
  <si>
    <t>Year Built</t>
  </si>
  <si>
    <t>New / Rehab</t>
  </si>
  <si>
    <t>New Construction</t>
  </si>
  <si>
    <t>Gut Rehab</t>
  </si>
  <si>
    <t>New</t>
  </si>
  <si>
    <t>Number of Units</t>
  </si>
  <si>
    <t>Studio Monthly Rent</t>
  </si>
  <si>
    <t>Annual Rent PSF</t>
  </si>
  <si>
    <t>1 BR Monthly Rent</t>
  </si>
  <si>
    <t>2 BR Monthly Rent</t>
  </si>
  <si>
    <t>3 BR Monthly Rent</t>
  </si>
  <si>
    <t>Comparable 1</t>
  </si>
  <si>
    <t>Comparable 2</t>
  </si>
  <si>
    <t>Comparable 3</t>
  </si>
  <si>
    <t>Comparable 4</t>
  </si>
  <si>
    <t>Comparable 5</t>
  </si>
  <si>
    <t>Live-work Unit Monthly Rent</t>
  </si>
  <si>
    <t>Absorption</t>
  </si>
  <si>
    <t xml:space="preserve">Cincinnati </t>
  </si>
  <si>
    <t>Cincinnati</t>
  </si>
  <si>
    <t>Affordable Residential*</t>
  </si>
  <si>
    <t>Market Rate and WF Residential*</t>
  </si>
  <si>
    <t>Hotel*</t>
  </si>
  <si>
    <t>Parking*</t>
  </si>
  <si>
    <t>* Residential quoted per unit; Hotel quoted per key; Parking quoted per space</t>
  </si>
  <si>
    <t>Construction Cost</t>
  </si>
  <si>
    <t>Residential Rental Comparables</t>
  </si>
  <si>
    <t>Distance</t>
  </si>
  <si>
    <t>Hotel Calculations</t>
  </si>
  <si>
    <t>Multifamily Calculations</t>
  </si>
  <si>
    <t>Leasing Comps</t>
  </si>
  <si>
    <r>
      <t>Total Stock</t>
    </r>
    <r>
      <rPr>
        <b/>
        <i/>
        <vertAlign val="superscript"/>
        <sz val="12"/>
        <color theme="0"/>
        <rFont val="Arial"/>
        <family val="2"/>
      </rPr>
      <t>1</t>
    </r>
  </si>
  <si>
    <t>% of current</t>
  </si>
  <si>
    <t>stock</t>
  </si>
  <si>
    <t>ADR</t>
  </si>
  <si>
    <t>Ft. Wash. Way</t>
  </si>
  <si>
    <t>44 W. Freedom Way</t>
  </si>
  <si>
    <t>121 E. Freedom Way</t>
  </si>
  <si>
    <t>345 East 7th St.</t>
  </si>
  <si>
    <t>580 Walnut St.</t>
  </si>
  <si>
    <t>1. Total stock in market retrieved from Cushman &amp; Wakefield market reports, as well as downtowncincinnati.com and cincyusa.com. Parking estimated based on stock of other uses.</t>
  </si>
  <si>
    <t>Total Infrastructure Breakdown</t>
  </si>
  <si>
    <t>Private Contributions</t>
  </si>
  <si>
    <r>
      <t>Cincinnati Foundation Grant</t>
    </r>
    <r>
      <rPr>
        <vertAlign val="superscript"/>
        <sz val="12"/>
        <rFont val="Arial"/>
        <family val="2"/>
      </rPr>
      <t>1</t>
    </r>
  </si>
  <si>
    <t>1. Grant counterparty is City of Cincinnati.</t>
  </si>
  <si>
    <t>City Street Improvements Budget</t>
  </si>
  <si>
    <t>City Parks &amp; Rec Budget</t>
  </si>
  <si>
    <t>(sqft)</t>
  </si>
  <si>
    <t>Price</t>
  </si>
  <si>
    <t>($ / sqft)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</si>
</sst>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&quot;$&quot;#,##0.0_);\(&quot;$&quot;#,##0.0\)"/>
    <numFmt numFmtId="165" formatCode="0&quot; years&quot;"/>
    <numFmt numFmtId="166" formatCode="0.0%"/>
    <numFmt numFmtId="167" formatCode="&quot;L + &quot;0"/>
    <numFmt numFmtId="168" formatCode="0.00&quot;x&quot;"/>
    <numFmt numFmtId="169" formatCode="0.0&quot;x&quot;"/>
    <numFmt numFmtId="170" formatCode="&quot;$&quot;#,##0.000_);[Red]\(&quot;$&quot;#,##0.000\)"/>
    <numFmt numFmtId="171" formatCode="&quot;$&quot;#,##0.0\ &quot;pgsf&quot;"/>
    <numFmt numFmtId="172" formatCode="&quot;$&quot;#,##0.00"/>
    <numFmt numFmtId="173" formatCode="_(* #,##0_);_(* \(#,##0\);_(* &quot;-&quot;??_);_(@_)"/>
    <numFmt numFmtId="174" formatCode="General\ &quot; *&quot;"/>
    <numFmt numFmtId="175" formatCode="&quot;Year &quot;0"/>
    <numFmt numFmtId="176" formatCode="0.0&quot; years&quot;"/>
    <numFmt numFmtId="177" formatCode="&quot;$&quot;#,##0.0_);[Red]\(&quot;$&quot;#,##0.0\)"/>
    <numFmt numFmtId="178" formatCode="#,##0.00&quot;x&quot;;\(#,##0.00\)&quot;x&quot;"/>
    <numFmt numFmtId="179" formatCode="#,##0.0_);\(#,##0.0\)"/>
    <numFmt numFmtId="180" formatCode="#,##0.0&quot;x&quot;;\(#,##0.0\)&quot;x&quot;"/>
    <numFmt numFmtId="181" formatCode="0.0"/>
    <numFmt numFmtId="182" formatCode="General\ &quot;*&quot;"/>
    <numFmt numFmtId="183" formatCode="General\ \&amp;&quot;*&quot;"/>
    <numFmt numFmtId="184" formatCode="_(* #,##0.0_);_(* \(#,##0.0\);_(* &quot;-&quot;??_);_(@_)"/>
    <numFmt numFmtId="185" formatCode="&quot;Comparable&quot;\ 0"/>
  </numFmts>
  <fonts count="74" x14ac:knownFonts="1">
    <font>
      <sz val="10"/>
      <name val="Arial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i/>
      <sz val="12"/>
      <color theme="1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00FF"/>
      <name val="Arial"/>
      <family val="2"/>
    </font>
    <font>
      <b/>
      <sz val="12"/>
      <color theme="1"/>
      <name val="Arial"/>
      <family val="2"/>
    </font>
    <font>
      <b/>
      <sz val="12"/>
      <color rgb="FF0000FF"/>
      <name val="Arial"/>
      <family val="2"/>
    </font>
    <font>
      <sz val="12"/>
      <color rgb="FF00B050"/>
      <name val="Arial"/>
      <family val="2"/>
    </font>
    <font>
      <i/>
      <sz val="12"/>
      <color theme="0" tint="-0.14999847407452621"/>
      <name val="Arial"/>
      <family val="2"/>
    </font>
    <font>
      <b/>
      <sz val="12"/>
      <color rgb="FF00B050"/>
      <name val="Arial"/>
      <family val="2"/>
    </font>
    <font>
      <i/>
      <sz val="10"/>
      <name val="Arial"/>
      <family val="2"/>
    </font>
    <font>
      <i/>
      <sz val="12"/>
      <color theme="0" tint="-4.9989318521683403E-2"/>
      <name val="Arial"/>
      <family val="2"/>
    </font>
    <font>
      <b/>
      <i/>
      <sz val="12"/>
      <name val="Arial"/>
      <family val="2"/>
    </font>
    <font>
      <b/>
      <sz val="12"/>
      <color theme="3"/>
      <name val="Arial"/>
      <family val="2"/>
    </font>
    <font>
      <sz val="12"/>
      <color theme="3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u/>
      <sz val="12"/>
      <color theme="1"/>
      <name val="Arial"/>
      <family val="2"/>
    </font>
    <font>
      <u/>
      <sz val="12"/>
      <color rgb="FF0000FF"/>
      <name val="Arial"/>
      <family val="2"/>
    </font>
    <font>
      <vertAlign val="superscript"/>
      <sz val="12"/>
      <name val="Arial"/>
      <family val="2"/>
    </font>
    <font>
      <b/>
      <i/>
      <sz val="12"/>
      <color theme="0"/>
      <name val="Arial"/>
      <family val="2"/>
    </font>
    <font>
      <i/>
      <sz val="12"/>
      <color theme="0"/>
      <name val="Arial"/>
      <family val="2"/>
    </font>
    <font>
      <i/>
      <sz val="12"/>
      <color rgb="FF0000FF"/>
      <name val="Arial"/>
      <family val="2"/>
    </font>
    <font>
      <vertAlign val="superscript"/>
      <sz val="12"/>
      <color theme="1"/>
      <name val="Arial"/>
      <family val="2"/>
    </font>
    <font>
      <i/>
      <sz val="10"/>
      <color theme="1"/>
      <name val="Arial"/>
      <family val="2"/>
    </font>
    <font>
      <b/>
      <sz val="12"/>
      <color rgb="FFFF0000"/>
      <name val="Arial"/>
      <family val="2"/>
    </font>
    <font>
      <b/>
      <sz val="20"/>
      <name val="Arial"/>
      <family val="2"/>
    </font>
    <font>
      <sz val="12"/>
      <color indexed="12"/>
      <name val="Arial"/>
      <family val="2"/>
    </font>
    <font>
      <b/>
      <sz val="12"/>
      <color indexed="9"/>
      <name val="Arial"/>
      <family val="2"/>
    </font>
    <font>
      <b/>
      <vertAlign val="superscript"/>
      <sz val="12"/>
      <name val="Arial"/>
      <family val="2"/>
    </font>
    <font>
      <b/>
      <i/>
      <sz val="12"/>
      <color rgb="FFFF0000"/>
      <name val="Arial"/>
      <family val="2"/>
    </font>
    <font>
      <i/>
      <sz val="12"/>
      <color theme="0" tint="-0.34998626667073579"/>
      <name val="Arial"/>
      <family val="2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271BC9"/>
      <name val="Calibri"/>
      <family val="2"/>
      <scheme val="minor"/>
    </font>
    <font>
      <sz val="12"/>
      <color rgb="FF000000"/>
      <name val="Arial"/>
      <family val="2"/>
    </font>
    <font>
      <sz val="12"/>
      <color rgb="FF271BC9"/>
      <name val="Arial"/>
      <family val="2"/>
    </font>
    <font>
      <u/>
      <sz val="12"/>
      <color rgb="FF000000"/>
      <name val="Arial"/>
      <family val="2"/>
    </font>
    <font>
      <u/>
      <sz val="10"/>
      <color theme="11"/>
      <name val="Arial"/>
      <family val="2"/>
    </font>
    <font>
      <vertAlign val="superscript"/>
      <sz val="12"/>
      <color rgb="FF000000"/>
      <name val="Arial"/>
      <family val="2"/>
    </font>
    <font>
      <i/>
      <sz val="12"/>
      <color rgb="FF00B05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i/>
      <u/>
      <sz val="12"/>
      <name val="Arial"/>
      <family val="2"/>
    </font>
    <font>
      <b/>
      <i/>
      <sz val="11"/>
      <color theme="1"/>
      <name val="Arial"/>
      <family val="2"/>
    </font>
    <font>
      <b/>
      <sz val="12"/>
      <color rgb="FFFFFFFF"/>
      <name val="Arial"/>
      <family val="2"/>
    </font>
    <font>
      <b/>
      <sz val="16"/>
      <color theme="3"/>
      <name val="Arial"/>
      <family val="2"/>
    </font>
    <font>
      <sz val="10"/>
      <name val="Montserrat"/>
      <family val="3"/>
    </font>
    <font>
      <b/>
      <sz val="10"/>
      <color theme="0"/>
      <name val="Montserrat"/>
      <family val="3"/>
    </font>
    <font>
      <sz val="10"/>
      <color theme="0"/>
      <name val="Montserrat"/>
      <family val="3"/>
    </font>
    <font>
      <sz val="10"/>
      <color theme="1"/>
      <name val="Montserrat"/>
      <family val="3"/>
    </font>
    <font>
      <b/>
      <sz val="10"/>
      <name val="Montserrat"/>
      <family val="3"/>
    </font>
    <font>
      <sz val="8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i/>
      <sz val="12"/>
      <color rgb="FF002060"/>
      <name val="Arial"/>
      <family val="2"/>
    </font>
    <font>
      <sz val="10"/>
      <name val="Arial"/>
      <family val="2"/>
    </font>
    <font>
      <b/>
      <vertAlign val="superscript"/>
      <sz val="12"/>
      <color theme="0"/>
      <name val="Arial"/>
      <family val="2"/>
    </font>
    <font>
      <b/>
      <sz val="12"/>
      <color theme="0"/>
      <name val="Calibri"/>
      <family val="2"/>
      <scheme val="minor"/>
    </font>
    <font>
      <i/>
      <sz val="12"/>
      <color rgb="FF000000"/>
      <name val="Arial"/>
      <family val="2"/>
    </font>
    <font>
      <b/>
      <sz val="12"/>
      <color rgb="FFB7B7B7"/>
      <name val="Arial"/>
      <family val="2"/>
    </font>
    <font>
      <sz val="12"/>
      <color rgb="FFB7B7B7"/>
      <name val="Arial"/>
      <family val="2"/>
    </font>
    <font>
      <b/>
      <i/>
      <vertAlign val="superscript"/>
      <sz val="12"/>
      <color theme="0"/>
      <name val="Arial"/>
      <family val="2"/>
    </font>
    <font>
      <b/>
      <sz val="12"/>
      <color rgb="FF00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76F9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376F9D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8715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rgb="FF00206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rgb="FF376F9D"/>
      </top>
      <bottom style="thin">
        <color rgb="FF376F9D"/>
      </bottom>
      <diagonal/>
    </border>
    <border>
      <left/>
      <right/>
      <top style="thin">
        <color rgb="FF376F9D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/>
      <top/>
      <bottom style="medium">
        <color theme="3"/>
      </bottom>
      <diagonal/>
    </border>
    <border>
      <left/>
      <right style="medium">
        <color rgb="FF002060"/>
      </right>
      <top/>
      <bottom/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/>
      <bottom/>
      <diagonal/>
    </border>
    <border>
      <left/>
      <right/>
      <top style="medium">
        <color rgb="FF002060"/>
      </top>
      <bottom style="thin">
        <color rgb="FF002060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/>
      <bottom style="thin">
        <color rgb="FF002060"/>
      </bottom>
      <diagonal/>
    </border>
  </borders>
  <cellStyleXfs count="11">
    <xf numFmtId="0" fontId="0" fillId="0" borderId="0"/>
    <xf numFmtId="0" fontId="2" fillId="0" borderId="0"/>
    <xf numFmtId="0" fontId="4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9" fontId="6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</cellStyleXfs>
  <cellXfs count="1088">
    <xf numFmtId="0" fontId="0" fillId="0" borderId="0" xfId="0"/>
    <xf numFmtId="0" fontId="2" fillId="0" borderId="0" xfId="0" applyFont="1"/>
    <xf numFmtId="9" fontId="0" fillId="0" borderId="0" xfId="0" applyNumberFormat="1"/>
    <xf numFmtId="8" fontId="2" fillId="0" borderId="0" xfId="0" applyNumberFormat="1" applyFont="1" applyAlignment="1">
      <alignment vertical="center"/>
    </xf>
    <xf numFmtId="8" fontId="0" fillId="0" borderId="0" xfId="0" applyNumberFormat="1"/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left"/>
    </xf>
    <xf numFmtId="0" fontId="3" fillId="4" borderId="0" xfId="0" applyFont="1" applyFill="1" applyBorder="1"/>
    <xf numFmtId="0" fontId="4" fillId="4" borderId="0" xfId="0" applyFont="1" applyFill="1" applyBorder="1"/>
    <xf numFmtId="0" fontId="5" fillId="0" borderId="0" xfId="0" applyFont="1"/>
    <xf numFmtId="5" fontId="5" fillId="0" borderId="0" xfId="0" applyNumberFormat="1" applyFont="1"/>
    <xf numFmtId="5" fontId="6" fillId="0" borderId="0" xfId="0" applyNumberFormat="1" applyFont="1"/>
    <xf numFmtId="0" fontId="8" fillId="3" borderId="8" xfId="0" applyFont="1" applyFill="1" applyBorder="1"/>
    <xf numFmtId="5" fontId="8" fillId="3" borderId="8" xfId="0" applyNumberFormat="1" applyFont="1" applyFill="1" applyBorder="1"/>
    <xf numFmtId="0" fontId="7" fillId="0" borderId="0" xfId="0" applyFont="1"/>
    <xf numFmtId="0" fontId="3" fillId="4" borderId="0" xfId="0" applyFont="1" applyFill="1"/>
    <xf numFmtId="0" fontId="4" fillId="4" borderId="0" xfId="0" applyFont="1" applyFill="1"/>
    <xf numFmtId="5" fontId="10" fillId="0" borderId="0" xfId="0" applyNumberFormat="1" applyFont="1"/>
    <xf numFmtId="0" fontId="6" fillId="0" borderId="0" xfId="0" applyFont="1"/>
    <xf numFmtId="37" fontId="6" fillId="0" borderId="0" xfId="0" applyNumberFormat="1" applyFont="1"/>
    <xf numFmtId="37" fontId="10" fillId="0" borderId="0" xfId="0" applyNumberFormat="1" applyFont="1"/>
    <xf numFmtId="5" fontId="11" fillId="0" borderId="0" xfId="0" applyNumberFormat="1" applyFont="1"/>
    <xf numFmtId="9" fontId="10" fillId="0" borderId="0" xfId="0" applyNumberFormat="1" applyFont="1"/>
    <xf numFmtId="0" fontId="3" fillId="4" borderId="0" xfId="0" applyFont="1" applyFill="1" applyAlignment="1">
      <alignment horizontal="center"/>
    </xf>
    <xf numFmtId="37" fontId="8" fillId="0" borderId="0" xfId="0" applyNumberFormat="1" applyFont="1"/>
    <xf numFmtId="9" fontId="9" fillId="0" borderId="0" xfId="0" applyNumberFormat="1" applyFont="1"/>
    <xf numFmtId="5" fontId="8" fillId="0" borderId="0" xfId="0" applyNumberFormat="1" applyFont="1"/>
    <xf numFmtId="8" fontId="6" fillId="0" borderId="0" xfId="0" applyNumberFormat="1" applyFont="1"/>
    <xf numFmtId="5" fontId="8" fillId="3" borderId="0" xfId="0" applyNumberFormat="1" applyFont="1" applyFill="1"/>
    <xf numFmtId="37" fontId="13" fillId="0" borderId="0" xfId="0" applyNumberFormat="1" applyFont="1"/>
    <xf numFmtId="0" fontId="3" fillId="4" borderId="0" xfId="0" applyFont="1" applyFill="1" applyBorder="1"/>
    <xf numFmtId="0" fontId="4" fillId="4" borderId="0" xfId="0" applyFont="1" applyFill="1" applyBorder="1"/>
    <xf numFmtId="0" fontId="5" fillId="0" borderId="0" xfId="0" applyFont="1"/>
    <xf numFmtId="5" fontId="6" fillId="0" borderId="0" xfId="0" applyNumberFormat="1" applyFont="1"/>
    <xf numFmtId="0" fontId="8" fillId="3" borderId="8" xfId="0" applyFont="1" applyFill="1" applyBorder="1"/>
    <xf numFmtId="5" fontId="8" fillId="3" borderId="8" xfId="0" applyNumberFormat="1" applyFont="1" applyFill="1" applyBorder="1"/>
    <xf numFmtId="0" fontId="3" fillId="4" borderId="0" xfId="0" applyFont="1" applyFill="1"/>
    <xf numFmtId="0" fontId="4" fillId="4" borderId="0" xfId="0" applyFont="1" applyFill="1"/>
    <xf numFmtId="5" fontId="6" fillId="3" borderId="0" xfId="0" applyNumberFormat="1" applyFont="1" applyFill="1"/>
    <xf numFmtId="5" fontId="10" fillId="0" borderId="0" xfId="0" applyNumberFormat="1" applyFont="1"/>
    <xf numFmtId="0" fontId="6" fillId="0" borderId="0" xfId="0" applyFont="1"/>
    <xf numFmtId="37" fontId="6" fillId="0" borderId="0" xfId="0" applyNumberFormat="1" applyFont="1"/>
    <xf numFmtId="5" fontId="11" fillId="0" borderId="0" xfId="0" applyNumberFormat="1" applyFont="1"/>
    <xf numFmtId="9" fontId="10" fillId="0" borderId="0" xfId="0" applyNumberFormat="1" applyFont="1"/>
    <xf numFmtId="0" fontId="3" fillId="4" borderId="0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9" fontId="9" fillId="0" borderId="0" xfId="0" applyNumberFormat="1" applyFont="1"/>
    <xf numFmtId="5" fontId="8" fillId="0" borderId="0" xfId="0" applyNumberFormat="1" applyFont="1"/>
    <xf numFmtId="164" fontId="6" fillId="0" borderId="0" xfId="0" applyNumberFormat="1" applyFont="1"/>
    <xf numFmtId="0" fontId="8" fillId="0" borderId="7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4" fontId="6" fillId="0" borderId="0" xfId="0" applyNumberFormat="1" applyFont="1" applyBorder="1" applyAlignment="1">
      <alignment horizontal="center" vertical="center"/>
    </xf>
    <xf numFmtId="14" fontId="1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37" fontId="8" fillId="0" borderId="0" xfId="0" applyNumberFormat="1" applyFont="1" applyBorder="1" applyAlignment="1">
      <alignment horizontal="center" vertical="center"/>
    </xf>
    <xf numFmtId="37" fontId="10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center" indent="1"/>
    </xf>
    <xf numFmtId="37" fontId="12" fillId="0" borderId="0" xfId="0" applyNumberFormat="1" applyFont="1" applyBorder="1" applyAlignment="1">
      <alignment horizontal="center" vertical="center"/>
    </xf>
    <xf numFmtId="37" fontId="6" fillId="0" borderId="0" xfId="0" applyNumberFormat="1" applyFont="1" applyBorder="1" applyAlignment="1">
      <alignment horizontal="center" vertical="center"/>
    </xf>
    <xf numFmtId="9" fontId="12" fillId="0" borderId="0" xfId="0" applyNumberFormat="1" applyFont="1" applyBorder="1" applyAlignment="1">
      <alignment horizontal="center" vertical="center"/>
    </xf>
    <xf numFmtId="9" fontId="6" fillId="0" borderId="0" xfId="0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 vertical="center"/>
    </xf>
    <xf numFmtId="5" fontId="12" fillId="0" borderId="0" xfId="0" applyNumberFormat="1" applyFont="1" applyBorder="1" applyAlignment="1">
      <alignment horizontal="center" vertical="center"/>
    </xf>
    <xf numFmtId="5" fontId="6" fillId="0" borderId="0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indent="2"/>
    </xf>
    <xf numFmtId="165" fontId="12" fillId="0" borderId="0" xfId="0" applyNumberFormat="1" applyFont="1" applyBorder="1" applyAlignment="1">
      <alignment horizontal="center" vertical="center"/>
    </xf>
    <xf numFmtId="165" fontId="6" fillId="0" borderId="0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5" fontId="8" fillId="0" borderId="3" xfId="0" applyNumberFormat="1" applyFont="1" applyBorder="1" applyAlignment="1">
      <alignment horizontal="center" vertical="center"/>
    </xf>
    <xf numFmtId="5" fontId="6" fillId="0" borderId="3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indent="1"/>
    </xf>
    <xf numFmtId="0" fontId="6" fillId="0" borderId="5" xfId="0" applyFont="1" applyBorder="1" applyAlignment="1">
      <alignment vertical="center"/>
    </xf>
    <xf numFmtId="37" fontId="8" fillId="0" borderId="5" xfId="0" applyNumberFormat="1" applyFont="1" applyBorder="1" applyAlignment="1">
      <alignment horizontal="center" vertical="center"/>
    </xf>
    <xf numFmtId="37" fontId="6" fillId="0" borderId="5" xfId="0" applyNumberFormat="1" applyFont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1"/>
    </xf>
    <xf numFmtId="0" fontId="6" fillId="0" borderId="1" xfId="0" applyFont="1" applyBorder="1" applyAlignment="1">
      <alignment vertical="center"/>
    </xf>
    <xf numFmtId="5" fontId="8" fillId="0" borderId="1" xfId="0" applyNumberFormat="1" applyFont="1" applyBorder="1" applyAlignment="1">
      <alignment horizontal="center" vertical="center"/>
    </xf>
    <xf numFmtId="5" fontId="6" fillId="0" borderId="1" xfId="0" applyNumberFormat="1" applyFont="1" applyBorder="1" applyAlignment="1">
      <alignment horizontal="center" vertical="center"/>
    </xf>
    <xf numFmtId="164" fontId="12" fillId="0" borderId="0" xfId="0" applyNumberFormat="1" applyFont="1" applyBorder="1" applyAlignment="1">
      <alignment horizontal="center" vertical="center"/>
    </xf>
    <xf numFmtId="10" fontId="12" fillId="0" borderId="0" xfId="0" applyNumberFormat="1" applyFont="1" applyBorder="1" applyAlignment="1">
      <alignment horizontal="center" vertical="center"/>
    </xf>
    <xf numFmtId="10" fontId="6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9" fontId="10" fillId="0" borderId="0" xfId="0" applyNumberFormat="1" applyFont="1" applyBorder="1" applyAlignment="1">
      <alignment horizontal="center" vertical="center"/>
    </xf>
    <xf numFmtId="166" fontId="12" fillId="0" borderId="0" xfId="0" applyNumberFormat="1" applyFont="1" applyBorder="1" applyAlignment="1">
      <alignment horizontal="center" vertical="center"/>
    </xf>
    <xf numFmtId="167" fontId="10" fillId="0" borderId="0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168" fontId="10" fillId="0" borderId="0" xfId="0" applyNumberFormat="1" applyFont="1" applyBorder="1" applyAlignment="1">
      <alignment horizontal="center" vertical="center"/>
    </xf>
    <xf numFmtId="10" fontId="10" fillId="0" borderId="0" xfId="0" applyNumberFormat="1" applyFont="1" applyBorder="1" applyAlignment="1">
      <alignment horizontal="center" vertical="center"/>
    </xf>
    <xf numFmtId="165" fontId="10" fillId="0" borderId="0" xfId="0" applyNumberFormat="1" applyFont="1" applyBorder="1" applyAlignment="1">
      <alignment horizontal="center" vertical="center"/>
    </xf>
    <xf numFmtId="164" fontId="10" fillId="0" borderId="0" xfId="0" applyNumberFormat="1" applyFont="1" applyBorder="1" applyAlignment="1">
      <alignment horizontal="center" vertical="center"/>
    </xf>
    <xf numFmtId="6" fontId="10" fillId="0" borderId="0" xfId="0" applyNumberFormat="1" applyFont="1" applyBorder="1" applyAlignment="1">
      <alignment horizontal="center" vertical="center"/>
    </xf>
    <xf numFmtId="6" fontId="6" fillId="0" borderId="0" xfId="0" applyNumberFormat="1" applyFont="1" applyBorder="1" applyAlignment="1">
      <alignment horizontal="center" vertical="center"/>
    </xf>
    <xf numFmtId="8" fontId="10" fillId="0" borderId="0" xfId="0" applyNumberFormat="1" applyFont="1" applyBorder="1" applyAlignment="1">
      <alignment horizontal="center" vertical="center"/>
    </xf>
    <xf numFmtId="164" fontId="7" fillId="0" borderId="0" xfId="0" applyNumberFormat="1" applyFont="1"/>
    <xf numFmtId="164" fontId="7" fillId="0" borderId="3" xfId="0" applyNumberFormat="1" applyFont="1" applyBorder="1"/>
    <xf numFmtId="166" fontId="10" fillId="0" borderId="0" xfId="0" applyNumberFormat="1" applyFont="1"/>
    <xf numFmtId="9" fontId="6" fillId="0" borderId="0" xfId="0" applyNumberFormat="1" applyFont="1"/>
    <xf numFmtId="165" fontId="10" fillId="0" borderId="0" xfId="0" applyNumberFormat="1" applyFont="1"/>
    <xf numFmtId="0" fontId="14" fillId="0" borderId="0" xfId="0" applyFont="1"/>
    <xf numFmtId="0" fontId="8" fillId="0" borderId="7" xfId="0" applyFont="1" applyBorder="1" applyAlignment="1">
      <alignment horizontal="center" vertical="center" wrapText="1"/>
    </xf>
    <xf numFmtId="164" fontId="10" fillId="0" borderId="0" xfId="0" applyNumberFormat="1" applyFont="1"/>
    <xf numFmtId="165" fontId="13" fillId="0" borderId="0" xfId="0" applyNumberFormat="1" applyFont="1"/>
    <xf numFmtId="168" fontId="13" fillId="0" borderId="0" xfId="0" applyNumberFormat="1" applyFont="1"/>
    <xf numFmtId="166" fontId="13" fillId="0" borderId="0" xfId="0" applyNumberFormat="1" applyFont="1"/>
    <xf numFmtId="166" fontId="6" fillId="0" borderId="0" xfId="0" applyNumberFormat="1" applyFont="1"/>
    <xf numFmtId="0" fontId="5" fillId="0" borderId="0" xfId="0" applyNumberFormat="1" applyFont="1"/>
    <xf numFmtId="5" fontId="13" fillId="3" borderId="0" xfId="0" applyNumberFormat="1" applyFont="1" applyFill="1"/>
    <xf numFmtId="0" fontId="8" fillId="0" borderId="0" xfId="0" applyFont="1"/>
    <xf numFmtId="0" fontId="8" fillId="0" borderId="5" xfId="0" applyFont="1" applyBorder="1"/>
    <xf numFmtId="5" fontId="8" fillId="0" borderId="5" xfId="0" applyNumberFormat="1" applyFont="1" applyBorder="1"/>
    <xf numFmtId="0" fontId="8" fillId="0" borderId="1" xfId="0" applyFont="1" applyBorder="1"/>
    <xf numFmtId="5" fontId="8" fillId="0" borderId="1" xfId="0" applyNumberFormat="1" applyFont="1" applyBorder="1"/>
    <xf numFmtId="14" fontId="5" fillId="0" borderId="0" xfId="0" applyNumberFormat="1" applyFont="1" applyAlignment="1">
      <alignment horizontal="left"/>
    </xf>
    <xf numFmtId="14" fontId="13" fillId="0" borderId="0" xfId="0" applyNumberFormat="1" applyFont="1" applyAlignment="1">
      <alignment horizontal="left"/>
    </xf>
    <xf numFmtId="0" fontId="12" fillId="0" borderId="7" xfId="0" applyFont="1" applyBorder="1" applyAlignment="1">
      <alignment horizontal="center" vertical="center"/>
    </xf>
    <xf numFmtId="0" fontId="15" fillId="4" borderId="0" xfId="0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5" fontId="6" fillId="3" borderId="8" xfId="0" applyNumberFormat="1" applyFont="1" applyFill="1" applyBorder="1"/>
    <xf numFmtId="5" fontId="8" fillId="0" borderId="0" xfId="0" applyNumberFormat="1" applyFont="1" applyBorder="1" applyAlignment="1">
      <alignment horizontal="center" vertical="center"/>
    </xf>
    <xf numFmtId="37" fontId="8" fillId="0" borderId="3" xfId="0" applyNumberFormat="1" applyFont="1" applyBorder="1" applyAlignment="1">
      <alignment horizontal="center" vertical="center"/>
    </xf>
    <xf numFmtId="37" fontId="6" fillId="0" borderId="3" xfId="0" applyNumberFormat="1" applyFont="1" applyBorder="1" applyAlignment="1">
      <alignment horizontal="center" vertical="center"/>
    </xf>
    <xf numFmtId="0" fontId="11" fillId="0" borderId="0" xfId="0" applyFont="1"/>
    <xf numFmtId="166" fontId="6" fillId="0" borderId="0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indent="1"/>
    </xf>
    <xf numFmtId="14" fontId="3" fillId="4" borderId="0" xfId="0" applyNumberFormat="1" applyFont="1" applyFill="1" applyAlignment="1">
      <alignment horizontal="center"/>
    </xf>
    <xf numFmtId="0" fontId="6" fillId="3" borderId="8" xfId="0" applyFont="1" applyFill="1" applyBorder="1"/>
    <xf numFmtId="0" fontId="8" fillId="5" borderId="8" xfId="0" applyFont="1" applyFill="1" applyBorder="1"/>
    <xf numFmtId="5" fontId="8" fillId="5" borderId="8" xfId="0" applyNumberFormat="1" applyFont="1" applyFill="1" applyBorder="1"/>
    <xf numFmtId="0" fontId="17" fillId="0" borderId="0" xfId="0" applyFont="1"/>
    <xf numFmtId="0" fontId="8" fillId="5" borderId="0" xfId="0" applyFont="1" applyFill="1" applyBorder="1"/>
    <xf numFmtId="5" fontId="8" fillId="5" borderId="0" xfId="0" applyNumberFormat="1" applyFont="1" applyFill="1" applyBorder="1"/>
    <xf numFmtId="0" fontId="18" fillId="5" borderId="0" xfId="0" applyFont="1" applyFill="1" applyBorder="1"/>
    <xf numFmtId="9" fontId="8" fillId="5" borderId="0" xfId="0" applyNumberFormat="1" applyFont="1" applyFill="1" applyBorder="1"/>
    <xf numFmtId="9" fontId="18" fillId="5" borderId="0" xfId="0" applyNumberFormat="1" applyFont="1" applyFill="1" applyBorder="1"/>
    <xf numFmtId="0" fontId="9" fillId="0" borderId="0" xfId="0" applyFont="1"/>
    <xf numFmtId="37" fontId="9" fillId="0" borderId="0" xfId="0" applyNumberFormat="1" applyFont="1"/>
    <xf numFmtId="0" fontId="19" fillId="3" borderId="0" xfId="0" applyFont="1" applyFill="1"/>
    <xf numFmtId="0" fontId="20" fillId="3" borderId="0" xfId="0" applyFont="1" applyFill="1"/>
    <xf numFmtId="14" fontId="19" fillId="3" borderId="0" xfId="0" applyNumberFormat="1" applyFont="1" applyFill="1" applyAlignment="1">
      <alignment horizontal="center"/>
    </xf>
    <xf numFmtId="37" fontId="6" fillId="3" borderId="0" xfId="0" applyNumberFormat="1" applyFont="1" applyFill="1"/>
    <xf numFmtId="9" fontId="8" fillId="0" borderId="0" xfId="0" applyNumberFormat="1" applyFont="1"/>
    <xf numFmtId="9" fontId="13" fillId="0" borderId="0" xfId="0" applyNumberFormat="1" applyFont="1"/>
    <xf numFmtId="10" fontId="13" fillId="0" borderId="0" xfId="0" applyNumberFormat="1" applyFont="1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6" fillId="0" borderId="0" xfId="0" applyFont="1" applyBorder="1"/>
    <xf numFmtId="0" fontId="23" fillId="0" borderId="1" xfId="0" applyFont="1" applyBorder="1"/>
    <xf numFmtId="5" fontId="24" fillId="0" borderId="1" xfId="0" applyNumberFormat="1" applyFont="1" applyBorder="1"/>
    <xf numFmtId="5" fontId="21" fillId="0" borderId="1" xfId="0" applyNumberFormat="1" applyFont="1" applyBorder="1"/>
    <xf numFmtId="0" fontId="11" fillId="0" borderId="1" xfId="0" applyFont="1" applyBorder="1"/>
    <xf numFmtId="5" fontId="8" fillId="0" borderId="1" xfId="0" applyNumberFormat="1" applyFont="1" applyBorder="1" applyAlignment="1">
      <alignment horizontal="center"/>
    </xf>
    <xf numFmtId="165" fontId="13" fillId="0" borderId="0" xfId="0" applyNumberFormat="1" applyFont="1" applyAlignment="1">
      <alignment horizontal="right"/>
    </xf>
    <xf numFmtId="0" fontId="8" fillId="0" borderId="0" xfId="0" applyFont="1" applyBorder="1" applyAlignment="1">
      <alignment horizontal="center" vertical="center" wrapText="1"/>
    </xf>
    <xf numFmtId="5" fontId="8" fillId="0" borderId="0" xfId="0" applyNumberFormat="1" applyFont="1" applyBorder="1"/>
    <xf numFmtId="0" fontId="6" fillId="5" borderId="8" xfId="0" applyFont="1" applyFill="1" applyBorder="1"/>
    <xf numFmtId="5" fontId="6" fillId="5" borderId="8" xfId="0" applyNumberFormat="1" applyFont="1" applyFill="1" applyBorder="1"/>
    <xf numFmtId="9" fontId="6" fillId="5" borderId="8" xfId="0" applyNumberFormat="1" applyFont="1" applyFill="1" applyBorder="1"/>
    <xf numFmtId="0" fontId="5" fillId="0" borderId="0" xfId="0" applyFont="1" applyAlignment="1">
      <alignment horizontal="left" indent="1"/>
    </xf>
    <xf numFmtId="10" fontId="10" fillId="0" borderId="0" xfId="0" applyNumberFormat="1" applyFont="1"/>
    <xf numFmtId="5" fontId="10" fillId="3" borderId="0" xfId="0" applyNumberFormat="1" applyFont="1" applyFill="1"/>
    <xf numFmtId="0" fontId="6" fillId="5" borderId="5" xfId="0" applyFont="1" applyFill="1" applyBorder="1" applyAlignment="1">
      <alignment vertical="center"/>
    </xf>
    <xf numFmtId="5" fontId="6" fillId="5" borderId="5" xfId="0" applyNumberFormat="1" applyFont="1" applyFill="1" applyBorder="1" applyAlignment="1">
      <alignment vertical="center"/>
    </xf>
    <xf numFmtId="0" fontId="6" fillId="5" borderId="0" xfId="0" applyFont="1" applyFill="1" applyBorder="1" applyAlignment="1">
      <alignment vertical="center"/>
    </xf>
    <xf numFmtId="5" fontId="6" fillId="5" borderId="0" xfId="0" applyNumberFormat="1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166" fontId="6" fillId="5" borderId="5" xfId="0" applyNumberFormat="1" applyFont="1" applyFill="1" applyBorder="1" applyAlignment="1">
      <alignment vertical="center"/>
    </xf>
    <xf numFmtId="166" fontId="6" fillId="5" borderId="1" xfId="0" applyNumberFormat="1" applyFont="1" applyFill="1" applyBorder="1" applyAlignment="1">
      <alignment vertical="center"/>
    </xf>
    <xf numFmtId="168" fontId="9" fillId="0" borderId="0" xfId="0" applyNumberFormat="1" applyFont="1"/>
    <xf numFmtId="5" fontId="28" fillId="0" borderId="0" xfId="0" applyNumberFormat="1" applyFont="1"/>
    <xf numFmtId="5" fontId="18" fillId="0" borderId="0" xfId="0" applyNumberFormat="1" applyFont="1"/>
    <xf numFmtId="5" fontId="9" fillId="0" borderId="0" xfId="0" applyNumberFormat="1" applyFont="1"/>
    <xf numFmtId="9" fontId="28" fillId="0" borderId="0" xfId="0" applyNumberFormat="1" applyFont="1"/>
    <xf numFmtId="0" fontId="18" fillId="3" borderId="8" xfId="0" applyFont="1" applyFill="1" applyBorder="1"/>
    <xf numFmtId="5" fontId="18" fillId="3" borderId="8" xfId="0" applyNumberFormat="1" applyFont="1" applyFill="1" applyBorder="1"/>
    <xf numFmtId="0" fontId="26" fillId="6" borderId="0" xfId="0" applyFont="1" applyFill="1"/>
    <xf numFmtId="0" fontId="27" fillId="6" borderId="0" xfId="0" applyFont="1" applyFill="1"/>
    <xf numFmtId="0" fontId="26" fillId="6" borderId="0" xfId="0" applyFont="1" applyFill="1" applyAlignment="1">
      <alignment horizontal="center"/>
    </xf>
    <xf numFmtId="0" fontId="8" fillId="5" borderId="5" xfId="0" applyFont="1" applyFill="1" applyBorder="1"/>
    <xf numFmtId="166" fontId="8" fillId="5" borderId="5" xfId="0" applyNumberFormat="1" applyFont="1" applyFill="1" applyBorder="1"/>
    <xf numFmtId="0" fontId="6" fillId="5" borderId="0" xfId="0" applyFont="1" applyFill="1" applyBorder="1"/>
    <xf numFmtId="0" fontId="6" fillId="5" borderId="1" xfId="0" applyFont="1" applyFill="1" applyBorder="1"/>
    <xf numFmtId="0" fontId="8" fillId="5" borderId="1" xfId="0" applyFont="1" applyFill="1" applyBorder="1"/>
    <xf numFmtId="169" fontId="8" fillId="5" borderId="1" xfId="0" applyNumberFormat="1" applyFont="1" applyFill="1" applyBorder="1"/>
    <xf numFmtId="6" fontId="6" fillId="0" borderId="0" xfId="0" applyNumberFormat="1" applyFont="1" applyAlignment="1">
      <alignment vertical="center"/>
    </xf>
    <xf numFmtId="0" fontId="0" fillId="0" borderId="0" xfId="0" applyAlignment="1">
      <alignment horizontal="center"/>
    </xf>
    <xf numFmtId="5" fontId="13" fillId="0" borderId="0" xfId="0" applyNumberFormat="1" applyFont="1"/>
    <xf numFmtId="0" fontId="3" fillId="4" borderId="0" xfId="0" applyFont="1" applyFill="1" applyAlignment="1">
      <alignment horizontal="right"/>
    </xf>
    <xf numFmtId="10" fontId="5" fillId="0" borderId="0" xfId="0" applyNumberFormat="1" applyFont="1"/>
    <xf numFmtId="170" fontId="10" fillId="0" borderId="0" xfId="0" applyNumberFormat="1" applyFont="1"/>
    <xf numFmtId="0" fontId="32" fillId="0" borderId="0" xfId="0" applyFont="1"/>
    <xf numFmtId="168" fontId="6" fillId="0" borderId="0" xfId="0" applyNumberFormat="1" applyFont="1" applyBorder="1" applyAlignment="1">
      <alignment horizontal="center" vertical="center"/>
    </xf>
    <xf numFmtId="0" fontId="16" fillId="0" borderId="0" xfId="0" applyFont="1" applyAlignment="1"/>
    <xf numFmtId="169" fontId="6" fillId="5" borderId="1" xfId="0" applyNumberFormat="1" applyFont="1" applyFill="1" applyBorder="1" applyAlignment="1">
      <alignment vertical="center"/>
    </xf>
    <xf numFmtId="0" fontId="6" fillId="3" borderId="0" xfId="0" applyFont="1" applyFill="1"/>
    <xf numFmtId="0" fontId="16" fillId="0" borderId="0" xfId="0" applyFont="1"/>
    <xf numFmtId="37" fontId="10" fillId="3" borderId="0" xfId="0" applyNumberFormat="1" applyFont="1" applyFill="1"/>
    <xf numFmtId="0" fontId="30" fillId="0" borderId="0" xfId="0" applyFont="1" applyAlignment="1"/>
    <xf numFmtId="0" fontId="3" fillId="4" borderId="0" xfId="0" applyFont="1" applyFill="1" applyBorder="1" applyAlignment="1">
      <alignment wrapText="1"/>
    </xf>
    <xf numFmtId="0" fontId="3" fillId="4" borderId="0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3" fillId="4" borderId="0" xfId="0" applyFont="1" applyFill="1" applyAlignment="1">
      <alignment horizontal="center" wrapText="1"/>
    </xf>
    <xf numFmtId="0" fontId="11" fillId="5" borderId="5" xfId="0" applyFont="1" applyFill="1" applyBorder="1"/>
    <xf numFmtId="164" fontId="6" fillId="5" borderId="5" xfId="0" applyNumberFormat="1" applyFont="1" applyFill="1" applyBorder="1"/>
    <xf numFmtId="0" fontId="11" fillId="5" borderId="0" xfId="0" applyFont="1" applyFill="1" applyBorder="1"/>
    <xf numFmtId="5" fontId="6" fillId="5" borderId="0" xfId="0" applyNumberFormat="1" applyFont="1" applyFill="1" applyBorder="1"/>
    <xf numFmtId="0" fontId="11" fillId="5" borderId="1" xfId="0" applyFont="1" applyFill="1" applyBorder="1"/>
    <xf numFmtId="5" fontId="6" fillId="5" borderId="1" xfId="0" applyNumberFormat="1" applyFont="1" applyFill="1" applyBorder="1"/>
    <xf numFmtId="5" fontId="10" fillId="0" borderId="0" xfId="0" applyNumberFormat="1" applyFont="1" applyBorder="1" applyAlignment="1">
      <alignment horizontal="center" vertical="center"/>
    </xf>
    <xf numFmtId="166" fontId="6" fillId="5" borderId="0" xfId="0" applyNumberFormat="1" applyFont="1" applyFill="1" applyBorder="1" applyAlignment="1">
      <alignment vertical="center"/>
    </xf>
    <xf numFmtId="5" fontId="6" fillId="0" borderId="0" xfId="0" applyNumberFormat="1" applyFont="1" applyAlignment="1">
      <alignment vertical="center"/>
    </xf>
    <xf numFmtId="37" fontId="6" fillId="0" borderId="0" xfId="0" applyNumberFormat="1" applyFont="1" applyAlignment="1">
      <alignment vertical="center"/>
    </xf>
    <xf numFmtId="5" fontId="8" fillId="5" borderId="1" xfId="0" applyNumberFormat="1" applyFont="1" applyFill="1" applyBorder="1"/>
    <xf numFmtId="0" fontId="8" fillId="5" borderId="3" xfId="0" applyFont="1" applyFill="1" applyBorder="1"/>
    <xf numFmtId="166" fontId="8" fillId="5" borderId="3" xfId="0" applyNumberFormat="1" applyFont="1" applyFill="1" applyBorder="1"/>
    <xf numFmtId="166" fontId="8" fillId="5" borderId="1" xfId="0" applyNumberFormat="1" applyFont="1" applyFill="1" applyBorder="1"/>
    <xf numFmtId="0" fontId="9" fillId="0" borderId="0" xfId="0" applyNumberFormat="1" applyFont="1" applyAlignment="1">
      <alignment horizontal="center"/>
    </xf>
    <xf numFmtId="9" fontId="6" fillId="0" borderId="0" xfId="0" applyNumberFormat="1" applyFont="1" applyAlignment="1">
      <alignment vertical="center"/>
    </xf>
    <xf numFmtId="0" fontId="6" fillId="0" borderId="5" xfId="1" applyFont="1" applyBorder="1"/>
    <xf numFmtId="0" fontId="6" fillId="0" borderId="0" xfId="1" applyFont="1"/>
    <xf numFmtId="0" fontId="6" fillId="0" borderId="1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6" fillId="0" borderId="1" xfId="1" applyFont="1" applyFill="1" applyBorder="1"/>
    <xf numFmtId="0" fontId="8" fillId="0" borderId="0" xfId="1" applyFont="1" applyBorder="1" applyAlignment="1">
      <alignment horizontal="left"/>
    </xf>
    <xf numFmtId="0" fontId="6" fillId="0" borderId="0" xfId="1" applyFont="1" applyFill="1" applyBorder="1"/>
    <xf numFmtId="0" fontId="6" fillId="0" borderId="0" xfId="1" applyFont="1" applyFill="1" applyBorder="1" applyAlignment="1"/>
    <xf numFmtId="0" fontId="8" fillId="2" borderId="4" xfId="1" applyFont="1" applyFill="1" applyBorder="1" applyAlignment="1">
      <alignment horizontal="left"/>
    </xf>
    <xf numFmtId="0" fontId="8" fillId="2" borderId="3" xfId="1" applyFont="1" applyFill="1" applyBorder="1" applyAlignment="1">
      <alignment horizontal="left"/>
    </xf>
    <xf numFmtId="0" fontId="6" fillId="2" borderId="3" xfId="1" applyFont="1" applyFill="1" applyBorder="1" applyAlignment="1">
      <alignment horizontal="center"/>
    </xf>
    <xf numFmtId="0" fontId="6" fillId="2" borderId="3" xfId="1" applyFont="1" applyFill="1" applyBorder="1"/>
    <xf numFmtId="0" fontId="6" fillId="2" borderId="3" xfId="1" applyFont="1" applyFill="1" applyBorder="1" applyAlignment="1"/>
    <xf numFmtId="0" fontId="8" fillId="2" borderId="0" xfId="1" applyFont="1" applyFill="1" applyBorder="1" applyAlignment="1">
      <alignment horizontal="left"/>
    </xf>
    <xf numFmtId="0" fontId="6" fillId="2" borderId="0" xfId="1" applyFont="1" applyFill="1" applyBorder="1" applyAlignment="1">
      <alignment horizontal="center"/>
    </xf>
    <xf numFmtId="0" fontId="6" fillId="2" borderId="6" xfId="1" applyFont="1" applyFill="1" applyBorder="1"/>
    <xf numFmtId="0" fontId="6" fillId="2" borderId="0" xfId="1" applyFont="1" applyFill="1" applyBorder="1"/>
    <xf numFmtId="0" fontId="6" fillId="2" borderId="2" xfId="1" applyFont="1" applyFill="1" applyBorder="1" applyAlignment="1"/>
    <xf numFmtId="0" fontId="8" fillId="0" borderId="1" xfId="1" applyFont="1" applyBorder="1" applyAlignment="1">
      <alignment horizontal="right"/>
    </xf>
    <xf numFmtId="0" fontId="8" fillId="0" borderId="1" xfId="1" applyFont="1" applyBorder="1"/>
    <xf numFmtId="0" fontId="6" fillId="0" borderId="5" xfId="1" applyFont="1" applyFill="1" applyBorder="1" applyAlignment="1"/>
    <xf numFmtId="0" fontId="6" fillId="0" borderId="0" xfId="1" applyFont="1" applyAlignment="1">
      <alignment horizontal="center"/>
    </xf>
    <xf numFmtId="0" fontId="8" fillId="0" borderId="0" xfId="1" applyFont="1" applyBorder="1" applyAlignment="1">
      <alignment horizontal="left" vertical="center"/>
    </xf>
    <xf numFmtId="0" fontId="6" fillId="0" borderId="0" xfId="1" applyFont="1" applyBorder="1" applyAlignment="1">
      <alignment vertical="center"/>
    </xf>
    <xf numFmtId="0" fontId="6" fillId="0" borderId="0" xfId="1" applyFont="1" applyAlignment="1">
      <alignment wrapText="1"/>
    </xf>
    <xf numFmtId="0" fontId="6" fillId="0" borderId="1" xfId="1" applyFont="1" applyBorder="1" applyAlignment="1">
      <alignment horizontal="center" wrapText="1"/>
    </xf>
    <xf numFmtId="0" fontId="6" fillId="0" borderId="0" xfId="1" applyFont="1" applyBorder="1"/>
    <xf numFmtId="0" fontId="6" fillId="0" borderId="0" xfId="1" applyFont="1" applyFill="1" applyAlignment="1">
      <alignment horizontal="center"/>
    </xf>
    <xf numFmtId="0" fontId="6" fillId="0" borderId="0" xfId="1" applyFont="1" applyFill="1"/>
    <xf numFmtId="0" fontId="6" fillId="0" borderId="0" xfId="1" applyFont="1" applyBorder="1" applyAlignment="1">
      <alignment horizontal="right"/>
    </xf>
    <xf numFmtId="37" fontId="6" fillId="0" borderId="0" xfId="1" applyNumberFormat="1" applyFont="1" applyBorder="1" applyAlignment="1">
      <alignment horizontal="center"/>
    </xf>
    <xf numFmtId="0" fontId="6" fillId="0" borderId="0" xfId="1" applyFont="1" applyBorder="1" applyAlignment="1"/>
    <xf numFmtId="0" fontId="6" fillId="0" borderId="1" xfId="1" applyFont="1" applyFill="1" applyBorder="1" applyAlignment="1"/>
    <xf numFmtId="0" fontId="8" fillId="0" borderId="5" xfId="1" applyFont="1" applyBorder="1"/>
    <xf numFmtId="0" fontId="6" fillId="0" borderId="5" xfId="1" applyFont="1" applyFill="1" applyBorder="1"/>
    <xf numFmtId="0" fontId="8" fillId="0" borderId="0" xfId="1" applyFont="1" applyBorder="1"/>
    <xf numFmtId="5" fontId="6" fillId="0" borderId="0" xfId="1" applyNumberFormat="1" applyFont="1" applyBorder="1" applyAlignment="1">
      <alignment horizontal="center"/>
    </xf>
    <xf numFmtId="0" fontId="6" fillId="5" borderId="3" xfId="1" applyFont="1" applyFill="1" applyBorder="1"/>
    <xf numFmtId="0" fontId="8" fillId="0" borderId="0" xfId="1" applyFont="1" applyBorder="1" applyAlignment="1">
      <alignment horizontal="right"/>
    </xf>
    <xf numFmtId="0" fontId="6" fillId="0" borderId="0" xfId="1" applyFont="1" applyBorder="1" applyAlignment="1">
      <alignment horizontal="left"/>
    </xf>
    <xf numFmtId="0" fontId="8" fillId="0" borderId="0" xfId="1" applyFont="1" applyBorder="1" applyAlignment="1"/>
    <xf numFmtId="0" fontId="8" fillId="0" borderId="5" xfId="1" applyFont="1" applyBorder="1" applyAlignment="1">
      <alignment horizontal="center"/>
    </xf>
    <xf numFmtId="0" fontId="8" fillId="7" borderId="5" xfId="1" applyFont="1" applyFill="1" applyBorder="1" applyAlignment="1">
      <alignment horizontal="center"/>
    </xf>
    <xf numFmtId="0" fontId="8" fillId="7" borderId="0" xfId="1" applyFont="1" applyFill="1" applyBorder="1" applyAlignment="1">
      <alignment horizontal="center"/>
    </xf>
    <xf numFmtId="0" fontId="6" fillId="7" borderId="0" xfId="1" applyFont="1" applyFill="1" applyBorder="1"/>
    <xf numFmtId="5" fontId="6" fillId="7" borderId="0" xfId="1" applyNumberFormat="1" applyFont="1" applyFill="1" applyBorder="1" applyAlignment="1">
      <alignment horizontal="center"/>
    </xf>
    <xf numFmtId="37" fontId="6" fillId="7" borderId="0" xfId="1" applyNumberFormat="1" applyFont="1" applyFill="1" applyBorder="1" applyAlignment="1">
      <alignment horizontal="center"/>
    </xf>
    <xf numFmtId="0" fontId="8" fillId="8" borderId="5" xfId="1" applyFont="1" applyFill="1" applyBorder="1" applyAlignment="1">
      <alignment horizontal="center"/>
    </xf>
    <xf numFmtId="0" fontId="8" fillId="8" borderId="0" xfId="1" applyFont="1" applyFill="1" applyBorder="1" applyAlignment="1">
      <alignment horizontal="center"/>
    </xf>
    <xf numFmtId="0" fontId="6" fillId="8" borderId="0" xfId="1" applyFont="1" applyFill="1" applyBorder="1"/>
    <xf numFmtId="5" fontId="6" fillId="8" borderId="0" xfId="1" applyNumberFormat="1" applyFont="1" applyFill="1" applyBorder="1" applyAlignment="1">
      <alignment horizontal="center"/>
    </xf>
    <xf numFmtId="37" fontId="6" fillId="8" borderId="0" xfId="1" applyNumberFormat="1" applyFont="1" applyFill="1" applyBorder="1" applyAlignment="1">
      <alignment horizontal="center"/>
    </xf>
    <xf numFmtId="0" fontId="8" fillId="9" borderId="5" xfId="1" applyFont="1" applyFill="1" applyBorder="1" applyAlignment="1">
      <alignment horizontal="center"/>
    </xf>
    <xf numFmtId="0" fontId="8" fillId="9" borderId="0" xfId="1" applyFont="1" applyFill="1" applyBorder="1" applyAlignment="1">
      <alignment horizontal="center"/>
    </xf>
    <xf numFmtId="5" fontId="6" fillId="9" borderId="0" xfId="1" applyNumberFormat="1" applyFont="1" applyFill="1" applyBorder="1" applyAlignment="1">
      <alignment horizontal="center"/>
    </xf>
    <xf numFmtId="37" fontId="6" fillId="9" borderId="0" xfId="1" applyNumberFormat="1" applyFont="1" applyFill="1" applyBorder="1" applyAlignment="1">
      <alignment horizontal="center"/>
    </xf>
    <xf numFmtId="0" fontId="8" fillId="10" borderId="5" xfId="1" applyFont="1" applyFill="1" applyBorder="1" applyAlignment="1">
      <alignment horizontal="center"/>
    </xf>
    <xf numFmtId="0" fontId="8" fillId="10" borderId="0" xfId="1" applyFont="1" applyFill="1" applyBorder="1" applyAlignment="1">
      <alignment horizontal="center"/>
    </xf>
    <xf numFmtId="0" fontId="6" fillId="10" borderId="0" xfId="1" applyFont="1" applyFill="1" applyBorder="1"/>
    <xf numFmtId="5" fontId="6" fillId="10" borderId="0" xfId="1" applyNumberFormat="1" applyFont="1" applyFill="1" applyBorder="1" applyAlignment="1">
      <alignment horizontal="center"/>
    </xf>
    <xf numFmtId="37" fontId="6" fillId="10" borderId="0" xfId="1" applyNumberFormat="1" applyFont="1" applyFill="1" applyBorder="1" applyAlignment="1">
      <alignment horizontal="center"/>
    </xf>
    <xf numFmtId="5" fontId="8" fillId="3" borderId="3" xfId="1" applyNumberFormat="1" applyFont="1" applyFill="1" applyBorder="1" applyAlignment="1">
      <alignment horizontal="center"/>
    </xf>
    <xf numFmtId="0" fontId="6" fillId="0" borderId="0" xfId="1" applyFont="1" applyBorder="1" applyAlignment="1">
      <alignment horizontal="left" vertical="center" indent="1"/>
    </xf>
    <xf numFmtId="0" fontId="6" fillId="0" borderId="0" xfId="1" applyFont="1" applyBorder="1" applyAlignment="1">
      <alignment horizontal="left" indent="1"/>
    </xf>
    <xf numFmtId="0" fontId="6" fillId="0" borderId="0" xfId="1" applyFont="1" applyAlignment="1">
      <alignment horizontal="left" indent="1"/>
    </xf>
    <xf numFmtId="0" fontId="8" fillId="5" borderId="3" xfId="1" applyFont="1" applyFill="1" applyBorder="1" applyAlignment="1">
      <alignment horizontal="left"/>
    </xf>
    <xf numFmtId="37" fontId="8" fillId="5" borderId="3" xfId="1" applyNumberFormat="1" applyFont="1" applyFill="1" applyBorder="1" applyAlignment="1">
      <alignment horizontal="center"/>
    </xf>
    <xf numFmtId="0" fontId="6" fillId="0" borderId="0" xfId="1" applyFont="1" applyBorder="1" applyAlignment="1">
      <alignment horizontal="left" vertical="center" indent="2"/>
    </xf>
    <xf numFmtId="0" fontId="6" fillId="0" borderId="0" xfId="1" applyFont="1" applyBorder="1" applyAlignment="1">
      <alignment horizontal="left" indent="2"/>
    </xf>
    <xf numFmtId="0" fontId="6" fillId="0" borderId="0" xfId="1" applyFont="1" applyAlignment="1">
      <alignment horizontal="left" indent="2"/>
    </xf>
    <xf numFmtId="0" fontId="8" fillId="3" borderId="0" xfId="1" applyFont="1" applyFill="1" applyBorder="1" applyAlignment="1">
      <alignment horizontal="left"/>
    </xf>
    <xf numFmtId="0" fontId="6" fillId="3" borderId="0" xfId="1" applyFont="1" applyFill="1" applyBorder="1" applyAlignment="1">
      <alignment horizontal="left"/>
    </xf>
    <xf numFmtId="37" fontId="6" fillId="9" borderId="5" xfId="1" applyNumberFormat="1" applyFont="1" applyFill="1" applyBorder="1" applyAlignment="1">
      <alignment horizontal="center"/>
    </xf>
    <xf numFmtId="37" fontId="6" fillId="8" borderId="5" xfId="1" applyNumberFormat="1" applyFont="1" applyFill="1" applyBorder="1" applyAlignment="1">
      <alignment horizontal="center"/>
    </xf>
    <xf numFmtId="37" fontId="6" fillId="7" borderId="5" xfId="1" applyNumberFormat="1" applyFont="1" applyFill="1" applyBorder="1" applyAlignment="1">
      <alignment horizontal="center"/>
    </xf>
    <xf numFmtId="37" fontId="6" fillId="10" borderId="5" xfId="1" applyNumberFormat="1" applyFont="1" applyFill="1" applyBorder="1" applyAlignment="1">
      <alignment horizontal="center"/>
    </xf>
    <xf numFmtId="37" fontId="6" fillId="3" borderId="5" xfId="1" applyNumberFormat="1" applyFont="1" applyFill="1" applyBorder="1" applyAlignment="1">
      <alignment horizontal="center"/>
    </xf>
    <xf numFmtId="37" fontId="6" fillId="3" borderId="0" xfId="1" applyNumberFormat="1" applyFont="1" applyFill="1" applyBorder="1" applyAlignment="1">
      <alignment horizontal="center"/>
    </xf>
    <xf numFmtId="0" fontId="8" fillId="0" borderId="0" xfId="1" applyFont="1" applyFill="1" applyBorder="1"/>
    <xf numFmtId="0" fontId="8" fillId="0" borderId="1" xfId="1" applyFont="1" applyFill="1" applyBorder="1"/>
    <xf numFmtId="0" fontId="8" fillId="3" borderId="3" xfId="1" applyFont="1" applyFill="1" applyBorder="1" applyAlignment="1">
      <alignment horizontal="left"/>
    </xf>
    <xf numFmtId="0" fontId="6" fillId="3" borderId="3" xfId="1" applyFont="1" applyFill="1" applyBorder="1"/>
    <xf numFmtId="37" fontId="8" fillId="3" borderId="3" xfId="1" applyNumberFormat="1" applyFont="1" applyFill="1" applyBorder="1" applyAlignment="1">
      <alignment horizontal="center"/>
    </xf>
    <xf numFmtId="9" fontId="12" fillId="0" borderId="0" xfId="1" applyNumberFormat="1" applyFont="1" applyBorder="1"/>
    <xf numFmtId="37" fontId="8" fillId="0" borderId="0" xfId="1" applyNumberFormat="1" applyFont="1" applyBorder="1" applyAlignment="1">
      <alignment horizontal="center"/>
    </xf>
    <xf numFmtId="166" fontId="8" fillId="0" borderId="0" xfId="1" applyNumberFormat="1" applyFont="1" applyBorder="1" applyAlignment="1">
      <alignment horizontal="center"/>
    </xf>
    <xf numFmtId="166" fontId="8" fillId="0" borderId="1" xfId="1" applyNumberFormat="1" applyFont="1" applyBorder="1" applyAlignment="1">
      <alignment horizontal="center"/>
    </xf>
    <xf numFmtId="0" fontId="8" fillId="0" borderId="0" xfId="1" applyFont="1"/>
    <xf numFmtId="5" fontId="6" fillId="0" borderId="1" xfId="1" applyNumberFormat="1" applyFont="1" applyFill="1" applyBorder="1"/>
    <xf numFmtId="7" fontId="6" fillId="0" borderId="1" xfId="1" applyNumberFormat="1" applyFont="1" applyFill="1" applyBorder="1"/>
    <xf numFmtId="0" fontId="6" fillId="0" borderId="5" xfId="1" applyFont="1" applyBorder="1" applyAlignment="1">
      <alignment horizontal="center"/>
    </xf>
    <xf numFmtId="0" fontId="6" fillId="0" borderId="5" xfId="1" applyFont="1" applyBorder="1" applyAlignment="1"/>
    <xf numFmtId="0" fontId="3" fillId="4" borderId="0" xfId="0" applyFont="1" applyFill="1" applyBorder="1" applyAlignment="1">
      <alignment horizontal="center" wrapText="1"/>
    </xf>
    <xf numFmtId="0" fontId="11" fillId="5" borderId="3" xfId="0" applyFont="1" applyFill="1" applyBorder="1"/>
    <xf numFmtId="37" fontId="8" fillId="5" borderId="3" xfId="0" applyNumberFormat="1" applyFont="1" applyFill="1" applyBorder="1"/>
    <xf numFmtId="0" fontId="6" fillId="3" borderId="0" xfId="0" applyFont="1" applyFill="1" applyBorder="1"/>
    <xf numFmtId="0" fontId="3" fillId="3" borderId="0" xfId="0" applyFont="1" applyFill="1" applyBorder="1" applyAlignment="1">
      <alignment wrapText="1"/>
    </xf>
    <xf numFmtId="5" fontId="6" fillId="3" borderId="0" xfId="0" applyNumberFormat="1" applyFont="1" applyFill="1" applyBorder="1"/>
    <xf numFmtId="0" fontId="3" fillId="3" borderId="0" xfId="0" applyFont="1" applyFill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8" fillId="0" borderId="3" xfId="1" applyFont="1" applyBorder="1" applyAlignment="1">
      <alignment horizontal="left"/>
    </xf>
    <xf numFmtId="0" fontId="6" fillId="0" borderId="0" xfId="1" applyFont="1" applyBorder="1" applyAlignment="1"/>
    <xf numFmtId="0" fontId="6" fillId="0" borderId="1" xfId="1" applyFont="1" applyBorder="1" applyAlignment="1"/>
    <xf numFmtId="0" fontId="6" fillId="0" borderId="1" xfId="1" applyFont="1" applyBorder="1" applyAlignment="1">
      <alignment horizontal="right"/>
    </xf>
    <xf numFmtId="0" fontId="8" fillId="0" borderId="1" xfId="1" applyFont="1" applyBorder="1" applyAlignment="1">
      <alignment horizontal="center" wrapText="1"/>
    </xf>
    <xf numFmtId="0" fontId="6" fillId="0" borderId="0" xfId="1" applyFont="1" applyBorder="1" applyAlignment="1">
      <alignment horizontal="right"/>
    </xf>
    <xf numFmtId="0" fontId="6" fillId="0" borderId="0" xfId="1" applyFont="1" applyBorder="1" applyAlignment="1">
      <alignment horizontal="right" vertical="center"/>
    </xf>
    <xf numFmtId="0" fontId="6" fillId="0" borderId="0" xfId="1" applyFont="1" applyBorder="1" applyAlignment="1">
      <alignment horizontal="left" indent="1"/>
    </xf>
    <xf numFmtId="0" fontId="6" fillId="0" borderId="0" xfId="1" applyFont="1" applyBorder="1" applyAlignment="1">
      <alignment horizontal="left" indent="2"/>
    </xf>
    <xf numFmtId="37" fontId="6" fillId="3" borderId="0" xfId="0" applyNumberFormat="1" applyFont="1" applyFill="1" applyBorder="1"/>
    <xf numFmtId="37" fontId="8" fillId="3" borderId="0" xfId="0" applyNumberFormat="1" applyFont="1" applyFill="1" applyBorder="1"/>
    <xf numFmtId="0" fontId="6" fillId="9" borderId="0" xfId="0" applyFont="1" applyFill="1" applyBorder="1" applyAlignment="1">
      <alignment horizontal="left" vertical="center"/>
    </xf>
    <xf numFmtId="0" fontId="6" fillId="9" borderId="0" xfId="0" applyFont="1" applyFill="1" applyAlignment="1">
      <alignment horizontal="right"/>
    </xf>
    <xf numFmtId="37" fontId="10" fillId="9" borderId="0" xfId="0" applyNumberFormat="1" applyFont="1" applyFill="1"/>
    <xf numFmtId="37" fontId="6" fillId="9" borderId="0" xfId="0" applyNumberFormat="1" applyFont="1" applyFill="1"/>
    <xf numFmtId="0" fontId="6" fillId="8" borderId="0" xfId="0" applyFont="1" applyFill="1" applyBorder="1" applyAlignment="1">
      <alignment horizontal="left" vertical="center"/>
    </xf>
    <xf numFmtId="0" fontId="6" fillId="8" borderId="0" xfId="0" applyFont="1" applyFill="1" applyAlignment="1">
      <alignment horizontal="right"/>
    </xf>
    <xf numFmtId="37" fontId="10" fillId="8" borderId="0" xfId="0" applyNumberFormat="1" applyFont="1" applyFill="1"/>
    <xf numFmtId="37" fontId="6" fillId="8" borderId="0" xfId="0" applyNumberFormat="1" applyFont="1" applyFill="1"/>
    <xf numFmtId="0" fontId="6" fillId="11" borderId="0" xfId="0" applyFont="1" applyFill="1" applyBorder="1" applyAlignment="1">
      <alignment horizontal="left" vertical="center"/>
    </xf>
    <xf numFmtId="0" fontId="6" fillId="11" borderId="0" xfId="0" applyFont="1" applyFill="1" applyAlignment="1">
      <alignment horizontal="right"/>
    </xf>
    <xf numFmtId="37" fontId="10" fillId="11" borderId="0" xfId="0" applyNumberFormat="1" applyFont="1" applyFill="1"/>
    <xf numFmtId="37" fontId="6" fillId="11" borderId="0" xfId="0" applyNumberFormat="1" applyFont="1" applyFill="1"/>
    <xf numFmtId="0" fontId="6" fillId="8" borderId="0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/>
    </xf>
    <xf numFmtId="0" fontId="6" fillId="9" borderId="0" xfId="1" applyFont="1" applyFill="1" applyBorder="1" applyAlignment="1">
      <alignment horizontal="center"/>
    </xf>
    <xf numFmtId="166" fontId="28" fillId="3" borderId="0" xfId="0" applyNumberFormat="1" applyFont="1" applyFill="1"/>
    <xf numFmtId="37" fontId="8" fillId="11" borderId="0" xfId="0" applyNumberFormat="1" applyFont="1" applyFill="1"/>
    <xf numFmtId="37" fontId="8" fillId="9" borderId="0" xfId="0" applyNumberFormat="1" applyFont="1" applyFill="1"/>
    <xf numFmtId="166" fontId="36" fillId="3" borderId="0" xfId="0" applyNumberFormat="1" applyFont="1" applyFill="1"/>
    <xf numFmtId="9" fontId="12" fillId="3" borderId="0" xfId="0" applyNumberFormat="1" applyFont="1" applyFill="1" applyBorder="1" applyAlignment="1">
      <alignment horizontal="center" wrapText="1"/>
    </xf>
    <xf numFmtId="166" fontId="9" fillId="3" borderId="0" xfId="0" applyNumberFormat="1" applyFont="1" applyFill="1"/>
    <xf numFmtId="37" fontId="8" fillId="8" borderId="0" xfId="0" applyNumberFormat="1" applyFont="1" applyFill="1"/>
    <xf numFmtId="0" fontId="26" fillId="4" borderId="0" xfId="0" applyFont="1" applyFill="1" applyBorder="1" applyAlignment="1">
      <alignment horizontal="center" wrapText="1"/>
    </xf>
    <xf numFmtId="41" fontId="28" fillId="11" borderId="0" xfId="0" applyNumberFormat="1" applyFont="1" applyFill="1"/>
    <xf numFmtId="41" fontId="10" fillId="11" borderId="0" xfId="0" applyNumberFormat="1" applyFont="1" applyFill="1"/>
    <xf numFmtId="41" fontId="10" fillId="9" borderId="0" xfId="0" applyNumberFormat="1" applyFont="1" applyFill="1"/>
    <xf numFmtId="41" fontId="10" fillId="8" borderId="0" xfId="0" applyNumberFormat="1" applyFont="1" applyFill="1"/>
    <xf numFmtId="41" fontId="9" fillId="5" borderId="3" xfId="0" applyNumberFormat="1" applyFont="1" applyFill="1" applyBorder="1"/>
    <xf numFmtId="37" fontId="13" fillId="0" borderId="0" xfId="0" applyNumberFormat="1" applyFont="1" applyBorder="1" applyAlignment="1">
      <alignment horizontal="center" vertical="center"/>
    </xf>
    <xf numFmtId="37" fontId="9" fillId="0" borderId="0" xfId="0" applyNumberFormat="1" applyFont="1" applyBorder="1" applyAlignment="1">
      <alignment horizontal="center" vertical="center"/>
    </xf>
    <xf numFmtId="41" fontId="9" fillId="0" borderId="0" xfId="0" applyNumberFormat="1" applyFont="1" applyAlignment="1">
      <alignment vertical="center"/>
    </xf>
    <xf numFmtId="0" fontId="6" fillId="0" borderId="1" xfId="0" applyFont="1" applyBorder="1" applyAlignment="1">
      <alignment horizontal="center"/>
    </xf>
    <xf numFmtId="0" fontId="9" fillId="3" borderId="0" xfId="0" applyFont="1" applyFill="1" applyBorder="1"/>
    <xf numFmtId="10" fontId="9" fillId="3" borderId="0" xfId="0" applyNumberFormat="1" applyFont="1" applyFill="1" applyBorder="1"/>
    <xf numFmtId="0" fontId="13" fillId="0" borderId="0" xfId="0" applyFont="1"/>
    <xf numFmtId="37" fontId="6" fillId="0" borderId="3" xfId="0" applyNumberFormat="1" applyFont="1" applyBorder="1"/>
    <xf numFmtId="0" fontId="8" fillId="5" borderId="3" xfId="0" applyFont="1" applyFill="1" applyBorder="1" applyAlignment="1">
      <alignment horizontal="right"/>
    </xf>
    <xf numFmtId="0" fontId="6" fillId="0" borderId="1" xfId="1" applyFont="1" applyBorder="1" applyAlignment="1">
      <alignment horizontal="left" indent="1"/>
    </xf>
    <xf numFmtId="0" fontId="6" fillId="0" borderId="0" xfId="1" applyFont="1" applyFill="1" applyBorder="1" applyAlignment="1">
      <alignment horizontal="center"/>
    </xf>
    <xf numFmtId="0" fontId="31" fillId="0" borderId="0" xfId="1" applyFont="1" applyBorder="1" applyAlignment="1">
      <alignment horizontal="left" indent="2"/>
    </xf>
    <xf numFmtId="0" fontId="8" fillId="0" borderId="1" xfId="1" applyFont="1" applyBorder="1" applyAlignment="1">
      <alignment wrapText="1"/>
    </xf>
    <xf numFmtId="171" fontId="6" fillId="0" borderId="0" xfId="1" applyNumberFormat="1" applyFont="1" applyFill="1" applyBorder="1" applyAlignment="1">
      <alignment horizontal="center"/>
    </xf>
    <xf numFmtId="5" fontId="6" fillId="0" borderId="5" xfId="1" applyNumberFormat="1" applyFont="1" applyBorder="1" applyAlignment="1"/>
    <xf numFmtId="5" fontId="6" fillId="0" borderId="0" xfId="1" applyNumberFormat="1" applyFont="1" applyBorder="1" applyAlignment="1"/>
    <xf numFmtId="5" fontId="6" fillId="0" borderId="0" xfId="1" applyNumberFormat="1" applyFont="1" applyBorder="1" applyAlignment="1">
      <alignment horizontal="right"/>
    </xf>
    <xf numFmtId="5" fontId="6" fillId="0" borderId="1" xfId="1" applyNumberFormat="1" applyFont="1" applyBorder="1" applyAlignment="1"/>
    <xf numFmtId="164" fontId="6" fillId="5" borderId="0" xfId="0" applyNumberFormat="1" applyFont="1" applyFill="1" applyBorder="1"/>
    <xf numFmtId="0" fontId="8" fillId="0" borderId="3" xfId="1" applyFont="1" applyBorder="1"/>
    <xf numFmtId="0" fontId="6" fillId="3" borderId="0" xfId="1" applyFont="1" applyFill="1" applyBorder="1"/>
    <xf numFmtId="37" fontId="8" fillId="3" borderId="0" xfId="1" applyNumberFormat="1" applyFont="1" applyFill="1" applyBorder="1" applyAlignment="1">
      <alignment horizontal="center"/>
    </xf>
    <xf numFmtId="0" fontId="8" fillId="0" borderId="1" xfId="1" applyFont="1" applyBorder="1" applyAlignment="1">
      <alignment horizontal="left"/>
    </xf>
    <xf numFmtId="0" fontId="9" fillId="3" borderId="0" xfId="1" applyFont="1" applyFill="1" applyBorder="1" applyAlignment="1">
      <alignment horizontal="left"/>
    </xf>
    <xf numFmtId="42" fontId="9" fillId="3" borderId="0" xfId="1" applyNumberFormat="1" applyFont="1" applyFill="1" applyBorder="1" applyAlignment="1">
      <alignment horizontal="center"/>
    </xf>
    <xf numFmtId="0" fontId="6" fillId="0" borderId="1" xfId="1" applyFont="1" applyBorder="1" applyAlignment="1">
      <alignment vertical="center"/>
    </xf>
    <xf numFmtId="3" fontId="6" fillId="0" borderId="0" xfId="1" applyNumberFormat="1" applyFont="1" applyBorder="1" applyAlignment="1">
      <alignment horizontal="right"/>
    </xf>
    <xf numFmtId="0" fontId="8" fillId="0" borderId="10" xfId="1" applyFont="1" applyBorder="1" applyAlignment="1">
      <alignment vertical="center"/>
    </xf>
    <xf numFmtId="0" fontId="6" fillId="0" borderId="10" xfId="1" applyFont="1" applyBorder="1" applyAlignment="1">
      <alignment vertical="center"/>
    </xf>
    <xf numFmtId="0" fontId="8" fillId="5" borderId="3" xfId="1" applyFont="1" applyFill="1" applyBorder="1" applyAlignment="1"/>
    <xf numFmtId="0" fontId="6" fillId="5" borderId="3" xfId="1" applyFont="1" applyFill="1" applyBorder="1" applyAlignment="1"/>
    <xf numFmtId="0" fontId="8" fillId="5" borderId="1" xfId="1" applyFont="1" applyFill="1" applyBorder="1" applyAlignment="1">
      <alignment horizontal="left"/>
    </xf>
    <xf numFmtId="0" fontId="3" fillId="4" borderId="0" xfId="0" applyFont="1" applyFill="1" applyBorder="1" applyAlignment="1">
      <alignment horizontal="center" wrapText="1"/>
    </xf>
    <xf numFmtId="4" fontId="9" fillId="0" borderId="0" xfId="0" applyNumberFormat="1" applyFont="1"/>
    <xf numFmtId="5" fontId="37" fillId="0" borderId="0" xfId="0" applyNumberFormat="1" applyFont="1"/>
    <xf numFmtId="0" fontId="8" fillId="0" borderId="1" xfId="1" applyFont="1" applyBorder="1" applyAlignment="1">
      <alignment horizontal="center"/>
    </xf>
    <xf numFmtId="0" fontId="6" fillId="0" borderId="0" xfId="1" applyFont="1" applyBorder="1" applyAlignment="1">
      <alignment horizontal="left" indent="1"/>
    </xf>
    <xf numFmtId="0" fontId="6" fillId="0" borderId="0" xfId="1" applyFont="1" applyBorder="1" applyAlignment="1">
      <alignment horizontal="center"/>
    </xf>
    <xf numFmtId="0" fontId="41" fillId="3" borderId="0" xfId="0" applyFont="1" applyFill="1" applyBorder="1" applyAlignment="1">
      <alignment horizontal="center"/>
    </xf>
    <xf numFmtId="0" fontId="43" fillId="3" borderId="0" xfId="0" applyFont="1" applyFill="1" applyBorder="1" applyAlignment="1">
      <alignment horizontal="center"/>
    </xf>
    <xf numFmtId="0" fontId="42" fillId="3" borderId="14" xfId="0" applyFont="1" applyFill="1" applyBorder="1" applyAlignment="1">
      <alignment horizontal="left"/>
    </xf>
    <xf numFmtId="0" fontId="39" fillId="3" borderId="5" xfId="0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43" fillId="3" borderId="7" xfId="0" applyFont="1" applyFill="1" applyBorder="1" applyAlignment="1">
      <alignment horizontal="center"/>
    </xf>
    <xf numFmtId="0" fontId="44" fillId="3" borderId="14" xfId="0" applyFont="1" applyFill="1" applyBorder="1" applyAlignment="1">
      <alignment horizontal="left" indent="1"/>
    </xf>
    <xf numFmtId="0" fontId="44" fillId="3" borderId="14" xfId="0" applyFont="1" applyFill="1" applyBorder="1" applyAlignment="1">
      <alignment horizontal="left"/>
    </xf>
    <xf numFmtId="0" fontId="44" fillId="3" borderId="14" xfId="0" applyFont="1" applyFill="1" applyBorder="1" applyAlignment="1">
      <alignment horizontal="left" indent="2"/>
    </xf>
    <xf numFmtId="0" fontId="5" fillId="0" borderId="14" xfId="0" applyFont="1" applyFill="1" applyBorder="1" applyAlignment="1">
      <alignment horizontal="left" indent="1"/>
    </xf>
    <xf numFmtId="0" fontId="5" fillId="3" borderId="14" xfId="0" applyFont="1" applyFill="1" applyBorder="1" applyAlignment="1">
      <alignment horizontal="left" vertical="top"/>
    </xf>
    <xf numFmtId="0" fontId="5" fillId="3" borderId="16" xfId="0" applyFont="1" applyFill="1" applyBorder="1" applyAlignment="1">
      <alignment horizontal="left" vertical="top"/>
    </xf>
    <xf numFmtId="0" fontId="5" fillId="3" borderId="18" xfId="0" applyFont="1" applyFill="1" applyBorder="1" applyAlignment="1">
      <alignment horizontal="left" vertical="top"/>
    </xf>
    <xf numFmtId="0" fontId="11" fillId="3" borderId="20" xfId="0" applyFont="1" applyFill="1" applyBorder="1" applyAlignment="1">
      <alignment horizontal="left" vertical="top"/>
    </xf>
    <xf numFmtId="0" fontId="23" fillId="3" borderId="0" xfId="0" applyFont="1" applyFill="1" applyBorder="1" applyAlignment="1">
      <alignment horizontal="center"/>
    </xf>
    <xf numFmtId="0" fontId="23" fillId="3" borderId="15" xfId="0" applyFont="1" applyFill="1" applyBorder="1" applyAlignment="1">
      <alignment horizontal="center"/>
    </xf>
    <xf numFmtId="3" fontId="6" fillId="3" borderId="0" xfId="0" applyNumberFormat="1" applyFont="1" applyFill="1"/>
    <xf numFmtId="0" fontId="38" fillId="3" borderId="0" xfId="0" applyFont="1" applyFill="1" applyBorder="1" applyAlignment="1">
      <alignment horizontal="left" vertical="top"/>
    </xf>
    <xf numFmtId="3" fontId="38" fillId="3" borderId="0" xfId="0" applyNumberFormat="1" applyFont="1" applyFill="1" applyBorder="1" applyAlignment="1">
      <alignment horizontal="center"/>
    </xf>
    <xf numFmtId="0" fontId="43" fillId="3" borderId="0" xfId="0" applyFont="1" applyFill="1" applyAlignment="1">
      <alignment horizontal="center"/>
    </xf>
    <xf numFmtId="172" fontId="43" fillId="3" borderId="0" xfId="0" applyNumberFormat="1" applyFont="1" applyFill="1" applyAlignment="1">
      <alignment horizontal="center"/>
    </xf>
    <xf numFmtId="3" fontId="1" fillId="3" borderId="0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40" fillId="3" borderId="0" xfId="2" applyFont="1" applyFill="1"/>
    <xf numFmtId="0" fontId="6" fillId="3" borderId="15" xfId="0" applyFont="1" applyFill="1" applyBorder="1"/>
    <xf numFmtId="0" fontId="3" fillId="4" borderId="11" xfId="0" applyFont="1" applyFill="1" applyBorder="1" applyAlignment="1">
      <alignment wrapText="1"/>
    </xf>
    <xf numFmtId="0" fontId="3" fillId="4" borderId="12" xfId="0" applyFont="1" applyFill="1" applyBorder="1" applyAlignment="1">
      <alignment wrapText="1"/>
    </xf>
    <xf numFmtId="0" fontId="3" fillId="4" borderId="13" xfId="0" applyFont="1" applyFill="1" applyBorder="1" applyAlignment="1">
      <alignment wrapText="1"/>
    </xf>
    <xf numFmtId="0" fontId="6" fillId="0" borderId="14" xfId="0" applyFont="1" applyBorder="1" applyAlignment="1">
      <alignment horizontal="left" vertical="center"/>
    </xf>
    <xf numFmtId="5" fontId="6" fillId="3" borderId="15" xfId="0" applyNumberFormat="1" applyFont="1" applyFill="1" applyBorder="1"/>
    <xf numFmtId="5" fontId="6" fillId="3" borderId="7" xfId="0" applyNumberFormat="1" applyFont="1" applyFill="1" applyBorder="1"/>
    <xf numFmtId="5" fontId="6" fillId="3" borderId="21" xfId="0" applyNumberFormat="1" applyFont="1" applyFill="1" applyBorder="1"/>
    <xf numFmtId="5" fontId="6" fillId="3" borderId="5" xfId="0" applyNumberFormat="1" applyFont="1" applyFill="1" applyBorder="1"/>
    <xf numFmtId="5" fontId="6" fillId="3" borderId="17" xfId="0" applyNumberFormat="1" applyFont="1" applyFill="1" applyBorder="1"/>
    <xf numFmtId="5" fontId="6" fillId="3" borderId="1" xfId="0" applyNumberFormat="1" applyFont="1" applyFill="1" applyBorder="1"/>
    <xf numFmtId="5" fontId="6" fillId="3" borderId="19" xfId="0" applyNumberFormat="1" applyFont="1" applyFill="1" applyBorder="1"/>
    <xf numFmtId="0" fontId="45" fillId="3" borderId="0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left" indent="1"/>
    </xf>
    <xf numFmtId="0" fontId="46" fillId="3" borderId="14" xfId="0" applyFont="1" applyFill="1" applyBorder="1" applyAlignment="1">
      <alignment horizontal="left"/>
    </xf>
    <xf numFmtId="0" fontId="46" fillId="3" borderId="0" xfId="0" applyFont="1" applyFill="1" applyBorder="1" applyAlignment="1">
      <alignment horizontal="center"/>
    </xf>
    <xf numFmtId="0" fontId="46" fillId="3" borderId="15" xfId="0" applyFont="1" applyFill="1" applyBorder="1" applyAlignment="1">
      <alignment horizontal="center"/>
    </xf>
    <xf numFmtId="173" fontId="5" fillId="3" borderId="0" xfId="0" applyNumberFormat="1" applyFont="1" applyFill="1" applyBorder="1" applyAlignment="1">
      <alignment horizontal="center"/>
    </xf>
    <xf numFmtId="173" fontId="5" fillId="3" borderId="15" xfId="0" applyNumberFormat="1" applyFont="1" applyFill="1" applyBorder="1" applyAlignment="1">
      <alignment horizontal="center"/>
    </xf>
    <xf numFmtId="173" fontId="45" fillId="3" borderId="0" xfId="0" applyNumberFormat="1" applyFont="1" applyFill="1" applyBorder="1" applyAlignment="1">
      <alignment horizontal="center"/>
    </xf>
    <xf numFmtId="0" fontId="44" fillId="3" borderId="25" xfId="0" applyFont="1" applyFill="1" applyBorder="1" applyAlignment="1">
      <alignment horizontal="left"/>
    </xf>
    <xf numFmtId="173" fontId="45" fillId="3" borderId="3" xfId="0" applyNumberFormat="1" applyFont="1" applyFill="1" applyBorder="1" applyAlignment="1">
      <alignment horizontal="center"/>
    </xf>
    <xf numFmtId="173" fontId="5" fillId="3" borderId="3" xfId="0" applyNumberFormat="1" applyFont="1" applyFill="1" applyBorder="1" applyAlignment="1">
      <alignment horizontal="center"/>
    </xf>
    <xf numFmtId="173" fontId="5" fillId="3" borderId="26" xfId="0" applyNumberFormat="1" applyFont="1" applyFill="1" applyBorder="1" applyAlignment="1">
      <alignment horizontal="center"/>
    </xf>
    <xf numFmtId="173" fontId="45" fillId="3" borderId="15" xfId="0" applyNumberFormat="1" applyFont="1" applyFill="1" applyBorder="1" applyAlignment="1">
      <alignment horizontal="center"/>
    </xf>
    <xf numFmtId="0" fontId="44" fillId="3" borderId="20" xfId="0" applyFont="1" applyFill="1" applyBorder="1" applyAlignment="1">
      <alignment horizontal="left"/>
    </xf>
    <xf numFmtId="173" fontId="45" fillId="3" borderId="10" xfId="0" applyNumberFormat="1" applyFont="1" applyFill="1" applyBorder="1" applyAlignment="1">
      <alignment horizontal="center"/>
    </xf>
    <xf numFmtId="173" fontId="5" fillId="3" borderId="10" xfId="0" applyNumberFormat="1" applyFont="1" applyFill="1" applyBorder="1" applyAlignment="1">
      <alignment horizontal="center"/>
    </xf>
    <xf numFmtId="173" fontId="5" fillId="3" borderId="27" xfId="0" applyNumberFormat="1" applyFont="1" applyFill="1" applyBorder="1" applyAlignment="1">
      <alignment horizontal="center"/>
    </xf>
    <xf numFmtId="173" fontId="45" fillId="3" borderId="0" xfId="0" applyNumberFormat="1" applyFont="1" applyFill="1" applyBorder="1" applyAlignment="1">
      <alignment horizontal="center" vertical="center"/>
    </xf>
    <xf numFmtId="174" fontId="46" fillId="3" borderId="0" xfId="0" applyNumberFormat="1" applyFont="1" applyFill="1" applyBorder="1" applyAlignment="1">
      <alignment horizontal="center"/>
    </xf>
    <xf numFmtId="173" fontId="10" fillId="3" borderId="0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3" fontId="10" fillId="3" borderId="0" xfId="0" applyNumberFormat="1" applyFont="1" applyFill="1" applyBorder="1" applyAlignment="1">
      <alignment horizontal="center"/>
    </xf>
    <xf numFmtId="0" fontId="10" fillId="3" borderId="7" xfId="0" applyFont="1" applyFill="1" applyBorder="1" applyAlignment="1">
      <alignment horizontal="center"/>
    </xf>
    <xf numFmtId="173" fontId="10" fillId="3" borderId="3" xfId="0" applyNumberFormat="1" applyFont="1" applyFill="1" applyBorder="1" applyAlignment="1">
      <alignment horizontal="center" vertical="center"/>
    </xf>
    <xf numFmtId="173" fontId="10" fillId="3" borderId="0" xfId="0" applyNumberFormat="1" applyFont="1" applyFill="1" applyBorder="1" applyAlignment="1">
      <alignment horizontal="center" vertical="center"/>
    </xf>
    <xf numFmtId="4" fontId="10" fillId="3" borderId="0" xfId="0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0" fontId="6" fillId="3" borderId="0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left" indent="2"/>
    </xf>
    <xf numFmtId="0" fontId="6" fillId="3" borderId="14" xfId="0" applyFont="1" applyFill="1" applyBorder="1" applyAlignment="1">
      <alignment horizontal="left"/>
    </xf>
    <xf numFmtId="175" fontId="6" fillId="3" borderId="14" xfId="0" applyNumberFormat="1" applyFont="1" applyFill="1" applyBorder="1" applyAlignment="1">
      <alignment horizontal="left" indent="1"/>
    </xf>
    <xf numFmtId="0" fontId="6" fillId="3" borderId="20" xfId="0" applyFont="1" applyFill="1" applyBorder="1"/>
    <xf numFmtId="0" fontId="40" fillId="3" borderId="0" xfId="2" applyFont="1" applyFill="1" applyBorder="1"/>
    <xf numFmtId="9" fontId="6" fillId="3" borderId="0" xfId="0" applyNumberFormat="1" applyFont="1" applyFill="1" applyBorder="1" applyAlignment="1">
      <alignment horizontal="center"/>
    </xf>
    <xf numFmtId="9" fontId="6" fillId="3" borderId="15" xfId="0" applyNumberFormat="1" applyFont="1" applyFill="1" applyBorder="1" applyAlignment="1">
      <alignment horizontal="center"/>
    </xf>
    <xf numFmtId="3" fontId="6" fillId="3" borderId="0" xfId="0" applyNumberFormat="1" applyFont="1" applyFill="1" applyBorder="1" applyAlignment="1">
      <alignment horizontal="center"/>
    </xf>
    <xf numFmtId="3" fontId="6" fillId="3" borderId="15" xfId="0" applyNumberFormat="1" applyFont="1" applyFill="1" applyBorder="1" applyAlignment="1">
      <alignment horizontal="center"/>
    </xf>
    <xf numFmtId="0" fontId="38" fillId="3" borderId="10" xfId="0" applyFont="1" applyFill="1" applyBorder="1"/>
    <xf numFmtId="0" fontId="38" fillId="3" borderId="27" xfId="0" applyFont="1" applyFill="1" applyBorder="1"/>
    <xf numFmtId="0" fontId="11" fillId="3" borderId="14" xfId="0" applyFont="1" applyFill="1" applyBorder="1"/>
    <xf numFmtId="0" fontId="11" fillId="3" borderId="15" xfId="0" applyFont="1" applyFill="1" applyBorder="1" applyAlignment="1">
      <alignment horizontal="center"/>
    </xf>
    <xf numFmtId="0" fontId="11" fillId="3" borderId="25" xfId="0" applyFont="1" applyFill="1" applyBorder="1"/>
    <xf numFmtId="0" fontId="6" fillId="3" borderId="30" xfId="0" applyFont="1" applyFill="1" applyBorder="1" applyAlignment="1">
      <alignment horizontal="center"/>
    </xf>
    <xf numFmtId="0" fontId="6" fillId="3" borderId="33" xfId="0" applyFont="1" applyFill="1" applyBorder="1" applyAlignment="1">
      <alignment horizontal="center"/>
    </xf>
    <xf numFmtId="3" fontId="6" fillId="3" borderId="30" xfId="0" applyNumberFormat="1" applyFont="1" applyFill="1" applyBorder="1" applyAlignment="1">
      <alignment horizontal="center"/>
    </xf>
    <xf numFmtId="3" fontId="6" fillId="3" borderId="33" xfId="0" applyNumberFormat="1" applyFont="1" applyFill="1" applyBorder="1" applyAlignment="1">
      <alignment horizontal="center"/>
    </xf>
    <xf numFmtId="4" fontId="6" fillId="3" borderId="15" xfId="0" applyNumberFormat="1" applyFont="1" applyFill="1" applyBorder="1" applyAlignment="1">
      <alignment horizontal="center"/>
    </xf>
    <xf numFmtId="3" fontId="11" fillId="3" borderId="4" xfId="0" applyNumberFormat="1" applyFont="1" applyFill="1" applyBorder="1" applyAlignment="1">
      <alignment horizontal="center"/>
    </xf>
    <xf numFmtId="3" fontId="11" fillId="3" borderId="35" xfId="0" applyNumberFormat="1" applyFont="1" applyFill="1" applyBorder="1" applyAlignment="1">
      <alignment horizontal="center"/>
    </xf>
    <xf numFmtId="3" fontId="11" fillId="3" borderId="26" xfId="0" applyNumberFormat="1" applyFont="1" applyFill="1" applyBorder="1" applyAlignment="1">
      <alignment horizontal="center"/>
    </xf>
    <xf numFmtId="3" fontId="6" fillId="3" borderId="21" xfId="0" applyNumberFormat="1" applyFont="1" applyFill="1" applyBorder="1" applyAlignment="1">
      <alignment horizontal="center"/>
    </xf>
    <xf numFmtId="0" fontId="10" fillId="3" borderId="15" xfId="0" applyFont="1" applyFill="1" applyBorder="1" applyAlignment="1">
      <alignment horizontal="center"/>
    </xf>
    <xf numFmtId="3" fontId="11" fillId="3" borderId="10" xfId="0" applyNumberFormat="1" applyFont="1" applyFill="1" applyBorder="1" applyAlignment="1">
      <alignment horizontal="center"/>
    </xf>
    <xf numFmtId="3" fontId="11" fillId="3" borderId="27" xfId="0" applyNumberFormat="1" applyFont="1" applyFill="1" applyBorder="1" applyAlignment="1">
      <alignment horizontal="center"/>
    </xf>
    <xf numFmtId="166" fontId="5" fillId="3" borderId="0" xfId="0" applyNumberFormat="1" applyFont="1" applyFill="1" applyBorder="1" applyAlignment="1">
      <alignment horizontal="center"/>
    </xf>
    <xf numFmtId="166" fontId="5" fillId="3" borderId="15" xfId="0" applyNumberFormat="1" applyFont="1" applyFill="1" applyBorder="1" applyAlignment="1">
      <alignment horizontal="center"/>
    </xf>
    <xf numFmtId="0" fontId="6" fillId="3" borderId="0" xfId="0" applyFont="1" applyFill="1" applyBorder="1" applyAlignment="1">
      <alignment horizontal="left" indent="2"/>
    </xf>
    <xf numFmtId="0" fontId="6" fillId="3" borderId="0" xfId="0" applyFont="1" applyFill="1" applyBorder="1" applyAlignment="1">
      <alignment horizontal="left"/>
    </xf>
    <xf numFmtId="0" fontId="11" fillId="3" borderId="3" xfId="0" applyFont="1" applyFill="1" applyBorder="1"/>
    <xf numFmtId="175" fontId="6" fillId="3" borderId="0" xfId="0" applyNumberFormat="1" applyFont="1" applyFill="1" applyBorder="1" applyAlignment="1">
      <alignment horizontal="left" indent="1"/>
    </xf>
    <xf numFmtId="0" fontId="6" fillId="3" borderId="7" xfId="0" applyFont="1" applyFill="1" applyBorder="1"/>
    <xf numFmtId="0" fontId="11" fillId="3" borderId="0" xfId="0" applyFont="1" applyFill="1" applyBorder="1"/>
    <xf numFmtId="0" fontId="10" fillId="3" borderId="30" xfId="0" applyFont="1" applyFill="1" applyBorder="1" applyAlignment="1">
      <alignment horizontal="center"/>
    </xf>
    <xf numFmtId="9" fontId="10" fillId="3" borderId="30" xfId="0" applyNumberFormat="1" applyFont="1" applyFill="1" applyBorder="1" applyAlignment="1">
      <alignment horizontal="center"/>
    </xf>
    <xf numFmtId="3" fontId="11" fillId="3" borderId="29" xfId="0" applyNumberFormat="1" applyFont="1" applyFill="1" applyBorder="1" applyAlignment="1">
      <alignment horizontal="center"/>
    </xf>
    <xf numFmtId="0" fontId="10" fillId="3" borderId="33" xfId="0" applyFont="1" applyFill="1" applyBorder="1" applyAlignment="1">
      <alignment horizontal="center"/>
    </xf>
    <xf numFmtId="9" fontId="6" fillId="3" borderId="33" xfId="0" applyNumberFormat="1" applyFont="1" applyFill="1" applyBorder="1" applyAlignment="1">
      <alignment horizontal="center"/>
    </xf>
    <xf numFmtId="166" fontId="5" fillId="3" borderId="33" xfId="0" applyNumberFormat="1" applyFont="1" applyFill="1" applyBorder="1" applyAlignment="1">
      <alignment horizontal="center"/>
    </xf>
    <xf numFmtId="3" fontId="11" fillId="3" borderId="37" xfId="0" applyNumberFormat="1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15" xfId="0" applyFont="1" applyFill="1" applyBorder="1"/>
    <xf numFmtId="0" fontId="11" fillId="3" borderId="28" xfId="0" applyFont="1" applyFill="1" applyBorder="1"/>
    <xf numFmtId="0" fontId="11" fillId="3" borderId="10" xfId="0" applyFont="1" applyFill="1" applyBorder="1"/>
    <xf numFmtId="3" fontId="6" fillId="3" borderId="15" xfId="0" applyNumberFormat="1" applyFont="1" applyFill="1" applyBorder="1" applyAlignment="1">
      <alignment horizontal="right"/>
    </xf>
    <xf numFmtId="3" fontId="11" fillId="3" borderId="27" xfId="0" applyNumberFormat="1" applyFont="1" applyFill="1" applyBorder="1"/>
    <xf numFmtId="9" fontId="10" fillId="3" borderId="33" xfId="0" applyNumberFormat="1" applyFont="1" applyFill="1" applyBorder="1" applyAlignment="1">
      <alignment horizontal="center"/>
    </xf>
    <xf numFmtId="9" fontId="10" fillId="3" borderId="15" xfId="0" applyNumberFormat="1" applyFont="1" applyFill="1" applyBorder="1" applyAlignment="1">
      <alignment horizontal="center"/>
    </xf>
    <xf numFmtId="0" fontId="10" fillId="3" borderId="15" xfId="0" applyNumberFormat="1" applyFont="1" applyFill="1" applyBorder="1" applyAlignment="1">
      <alignment horizontal="center"/>
    </xf>
    <xf numFmtId="3" fontId="10" fillId="3" borderId="15" xfId="0" applyNumberFormat="1" applyFont="1" applyFill="1" applyBorder="1" applyAlignment="1">
      <alignment horizontal="center"/>
    </xf>
    <xf numFmtId="0" fontId="4" fillId="3" borderId="0" xfId="0" applyFont="1" applyFill="1"/>
    <xf numFmtId="3" fontId="5" fillId="3" borderId="15" xfId="0" applyNumberFormat="1" applyFont="1" applyFill="1" applyBorder="1" applyAlignment="1">
      <alignment horizontal="right"/>
    </xf>
    <xf numFmtId="0" fontId="5" fillId="3" borderId="15" xfId="0" applyFont="1" applyFill="1" applyBorder="1" applyAlignment="1">
      <alignment horizontal="right"/>
    </xf>
    <xf numFmtId="0" fontId="5" fillId="3" borderId="21" xfId="0" applyFont="1" applyFill="1" applyBorder="1" applyAlignment="1">
      <alignment horizontal="right"/>
    </xf>
    <xf numFmtId="0" fontId="30" fillId="0" borderId="0" xfId="0" applyFont="1" applyFill="1" applyBorder="1" applyAlignment="1">
      <alignment horizontal="left" indent="1"/>
    </xf>
    <xf numFmtId="5" fontId="10" fillId="3" borderId="0" xfId="0" applyNumberFormat="1" applyFont="1" applyFill="1" applyBorder="1" applyAlignment="1">
      <alignment horizontal="center"/>
    </xf>
    <xf numFmtId="5" fontId="10" fillId="3" borderId="30" xfId="0" applyNumberFormat="1" applyFont="1" applyFill="1" applyBorder="1" applyAlignment="1">
      <alignment horizontal="center"/>
    </xf>
    <xf numFmtId="5" fontId="10" fillId="3" borderId="33" xfId="0" applyNumberFormat="1" applyFont="1" applyFill="1" applyBorder="1" applyAlignment="1">
      <alignment horizontal="center"/>
    </xf>
    <xf numFmtId="5" fontId="10" fillId="3" borderId="15" xfId="0" applyNumberFormat="1" applyFont="1" applyFill="1" applyBorder="1" applyAlignment="1">
      <alignment horizontal="center"/>
    </xf>
    <xf numFmtId="5" fontId="10" fillId="3" borderId="7" xfId="0" applyNumberFormat="1" applyFont="1" applyFill="1" applyBorder="1" applyAlignment="1">
      <alignment horizontal="center"/>
    </xf>
    <xf numFmtId="166" fontId="10" fillId="3" borderId="30" xfId="0" applyNumberFormat="1" applyFont="1" applyFill="1" applyBorder="1" applyAlignment="1">
      <alignment horizontal="center"/>
    </xf>
    <xf numFmtId="166" fontId="6" fillId="3" borderId="0" xfId="0" applyNumberFormat="1" applyFont="1" applyFill="1"/>
    <xf numFmtId="166" fontId="6" fillId="0" borderId="0" xfId="0" applyNumberFormat="1" applyFont="1" applyAlignment="1">
      <alignment vertical="center"/>
    </xf>
    <xf numFmtId="5" fontId="10" fillId="3" borderId="0" xfId="0" applyNumberFormat="1" applyFont="1" applyFill="1" applyBorder="1" applyAlignment="1">
      <alignment horizontal="center" vertical="center"/>
    </xf>
    <xf numFmtId="5" fontId="11" fillId="3" borderId="0" xfId="0" applyNumberFormat="1" applyFont="1" applyFill="1"/>
    <xf numFmtId="176" fontId="12" fillId="0" borderId="0" xfId="0" applyNumberFormat="1" applyFont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wrapText="1"/>
    </xf>
    <xf numFmtId="177" fontId="49" fillId="0" borderId="0" xfId="0" applyNumberFormat="1" applyFont="1"/>
    <xf numFmtId="5" fontId="6" fillId="11" borderId="0" xfId="0" applyNumberFormat="1" applyFont="1" applyFill="1"/>
    <xf numFmtId="5" fontId="6" fillId="9" borderId="0" xfId="0" applyNumberFormat="1" applyFont="1" applyFill="1"/>
    <xf numFmtId="5" fontId="6" fillId="8" borderId="0" xfId="0" applyNumberFormat="1" applyFont="1" applyFill="1"/>
    <xf numFmtId="5" fontId="8" fillId="5" borderId="3" xfId="0" applyNumberFormat="1" applyFont="1" applyFill="1" applyBorder="1"/>
    <xf numFmtId="8" fontId="40" fillId="3" borderId="0" xfId="2" applyNumberFormat="1" applyFont="1" applyFill="1"/>
    <xf numFmtId="6" fontId="8" fillId="0" borderId="0" xfId="0" applyNumberFormat="1" applyFont="1"/>
    <xf numFmtId="9" fontId="12" fillId="0" borderId="0" xfId="0" applyNumberFormat="1" applyFont="1"/>
    <xf numFmtId="5" fontId="6" fillId="3" borderId="0" xfId="1" applyNumberFormat="1" applyFont="1" applyFill="1" applyBorder="1"/>
    <xf numFmtId="7" fontId="6" fillId="0" borderId="0" xfId="0" applyNumberFormat="1" applyFont="1"/>
    <xf numFmtId="0" fontId="21" fillId="0" borderId="0" xfId="0" applyFont="1" applyAlignment="1">
      <alignment horizontal="center"/>
    </xf>
    <xf numFmtId="0" fontId="5" fillId="3" borderId="0" xfId="0" applyFont="1" applyFill="1"/>
    <xf numFmtId="37" fontId="10" fillId="3" borderId="0" xfId="0" applyNumberFormat="1" applyFont="1" applyFill="1" applyBorder="1"/>
    <xf numFmtId="0" fontId="6" fillId="0" borderId="1" xfId="0" applyFont="1" applyBorder="1"/>
    <xf numFmtId="37" fontId="6" fillId="3" borderId="1" xfId="0" applyNumberFormat="1" applyFont="1" applyFill="1" applyBorder="1"/>
    <xf numFmtId="0" fontId="6" fillId="0" borderId="5" xfId="0" applyFont="1" applyBorder="1"/>
    <xf numFmtId="5" fontId="6" fillId="0" borderId="5" xfId="0" applyNumberFormat="1" applyFont="1" applyBorder="1"/>
    <xf numFmtId="14" fontId="9" fillId="3" borderId="0" xfId="0" applyNumberFormat="1" applyFont="1" applyFill="1" applyBorder="1"/>
    <xf numFmtId="37" fontId="8" fillId="3" borderId="1" xfId="0" applyNumberFormat="1" applyFont="1" applyFill="1" applyBorder="1"/>
    <xf numFmtId="0" fontId="8" fillId="0" borderId="0" xfId="0" applyFont="1" applyBorder="1"/>
    <xf numFmtId="0" fontId="3" fillId="4" borderId="38" xfId="1" applyFont="1" applyFill="1" applyBorder="1"/>
    <xf numFmtId="0" fontId="3" fillId="4" borderId="5" xfId="1" applyFont="1" applyFill="1" applyBorder="1"/>
    <xf numFmtId="0" fontId="8" fillId="3" borderId="0" xfId="1" applyFont="1" applyFill="1" applyBorder="1" applyAlignment="1">
      <alignment horizontal="center" vertical="center"/>
    </xf>
    <xf numFmtId="0" fontId="50" fillId="3" borderId="0" xfId="1" applyFont="1" applyFill="1"/>
    <xf numFmtId="0" fontId="3" fillId="4" borderId="39" xfId="1" applyFont="1" applyFill="1" applyBorder="1" applyAlignment="1">
      <alignment horizontal="center"/>
    </xf>
    <xf numFmtId="0" fontId="3" fillId="4" borderId="30" xfId="1" applyFont="1" applyFill="1" applyBorder="1"/>
    <xf numFmtId="0" fontId="3" fillId="4" borderId="0" xfId="1" applyFont="1" applyFill="1" applyBorder="1"/>
    <xf numFmtId="0" fontId="3" fillId="4" borderId="0" xfId="1" applyFont="1" applyFill="1" applyBorder="1" applyAlignment="1">
      <alignment horizontal="center"/>
    </xf>
    <xf numFmtId="0" fontId="3" fillId="4" borderId="33" xfId="1" applyFont="1" applyFill="1" applyBorder="1" applyAlignment="1">
      <alignment horizontal="center"/>
    </xf>
    <xf numFmtId="0" fontId="12" fillId="3" borderId="0" xfId="1" applyFont="1" applyFill="1" applyBorder="1" applyAlignment="1">
      <alignment horizontal="center" vertical="center"/>
    </xf>
    <xf numFmtId="0" fontId="6" fillId="3" borderId="30" xfId="1" applyFont="1" applyFill="1" applyBorder="1" applyAlignment="1">
      <alignment horizontal="left" vertical="center"/>
    </xf>
    <xf numFmtId="14" fontId="6" fillId="3" borderId="0" xfId="1" applyNumberFormat="1" applyFont="1" applyFill="1" applyBorder="1" applyAlignment="1">
      <alignment horizontal="center" vertical="center"/>
    </xf>
    <xf numFmtId="14" fontId="6" fillId="3" borderId="33" xfId="1" applyNumberFormat="1" applyFont="1" applyFill="1" applyBorder="1" applyAlignment="1">
      <alignment horizontal="center" vertical="center"/>
    </xf>
    <xf numFmtId="14" fontId="10" fillId="3" borderId="0" xfId="1" applyNumberFormat="1" applyFont="1" applyFill="1" applyBorder="1" applyAlignment="1">
      <alignment horizontal="center" vertical="center"/>
    </xf>
    <xf numFmtId="0" fontId="8" fillId="3" borderId="30" xfId="1" applyFont="1" applyFill="1" applyBorder="1" applyAlignment="1">
      <alignment vertical="center"/>
    </xf>
    <xf numFmtId="0" fontId="8" fillId="3" borderId="0" xfId="1" applyFont="1" applyFill="1" applyBorder="1" applyAlignment="1">
      <alignment vertical="center"/>
    </xf>
    <xf numFmtId="0" fontId="50" fillId="3" borderId="0" xfId="1" applyFont="1" applyFill="1" applyBorder="1"/>
    <xf numFmtId="0" fontId="50" fillId="3" borderId="33" xfId="1" applyFont="1" applyFill="1" applyBorder="1"/>
    <xf numFmtId="0" fontId="6" fillId="3" borderId="0" xfId="1" applyFont="1" applyFill="1" applyBorder="1" applyAlignment="1">
      <alignment vertical="center"/>
    </xf>
    <xf numFmtId="0" fontId="6" fillId="3" borderId="38" xfId="1" applyFont="1" applyFill="1" applyBorder="1" applyAlignment="1">
      <alignment vertical="center"/>
    </xf>
    <xf numFmtId="0" fontId="6" fillId="3" borderId="5" xfId="1" applyFont="1" applyFill="1" applyBorder="1" applyAlignment="1">
      <alignment vertical="center"/>
    </xf>
    <xf numFmtId="5" fontId="6" fillId="3" borderId="5" xfId="1" applyNumberFormat="1" applyFont="1" applyFill="1" applyBorder="1" applyAlignment="1">
      <alignment vertical="center"/>
    </xf>
    <xf numFmtId="5" fontId="6" fillId="3" borderId="39" xfId="1" applyNumberFormat="1" applyFont="1" applyFill="1" applyBorder="1" applyAlignment="1">
      <alignment vertical="center"/>
    </xf>
    <xf numFmtId="0" fontId="6" fillId="3" borderId="30" xfId="1" applyFont="1" applyFill="1" applyBorder="1" applyAlignment="1">
      <alignment vertical="center"/>
    </xf>
    <xf numFmtId="5" fontId="6" fillId="3" borderId="0" xfId="1" applyNumberFormat="1" applyFont="1" applyFill="1" applyBorder="1" applyAlignment="1">
      <alignment vertical="center"/>
    </xf>
    <xf numFmtId="5" fontId="6" fillId="3" borderId="33" xfId="1" applyNumberFormat="1" applyFont="1" applyFill="1" applyBorder="1" applyAlignment="1">
      <alignment vertical="center"/>
    </xf>
    <xf numFmtId="166" fontId="6" fillId="3" borderId="5" xfId="1" applyNumberFormat="1" applyFont="1" applyFill="1" applyBorder="1" applyAlignment="1">
      <alignment vertical="center"/>
    </xf>
    <xf numFmtId="166" fontId="6" fillId="3" borderId="39" xfId="1" applyNumberFormat="1" applyFont="1" applyFill="1" applyBorder="1" applyAlignment="1">
      <alignment vertical="center"/>
    </xf>
    <xf numFmtId="0" fontId="6" fillId="3" borderId="31" xfId="1" applyFont="1" applyFill="1" applyBorder="1" applyAlignment="1">
      <alignment vertical="center"/>
    </xf>
    <xf numFmtId="0" fontId="6" fillId="3" borderId="1" xfId="1" applyFont="1" applyFill="1" applyBorder="1" applyAlignment="1">
      <alignment vertical="center"/>
    </xf>
    <xf numFmtId="14" fontId="6" fillId="3" borderId="1" xfId="1" applyNumberFormat="1" applyFont="1" applyFill="1" applyBorder="1" applyAlignment="1">
      <alignment horizontal="center" vertical="center"/>
    </xf>
    <xf numFmtId="14" fontId="6" fillId="3" borderId="34" xfId="1" applyNumberFormat="1" applyFont="1" applyFill="1" applyBorder="1" applyAlignment="1">
      <alignment horizontal="center" vertical="center"/>
    </xf>
    <xf numFmtId="166" fontId="6" fillId="3" borderId="1" xfId="1" applyNumberFormat="1" applyFont="1" applyFill="1" applyBorder="1" applyAlignment="1">
      <alignment vertical="center"/>
    </xf>
    <xf numFmtId="166" fontId="6" fillId="3" borderId="34" xfId="1" applyNumberFormat="1" applyFont="1" applyFill="1" applyBorder="1" applyAlignment="1">
      <alignment vertical="center"/>
    </xf>
    <xf numFmtId="37" fontId="8" fillId="3" borderId="0" xfId="1" applyNumberFormat="1" applyFont="1" applyFill="1" applyBorder="1" applyAlignment="1">
      <alignment horizontal="center" vertical="center"/>
    </xf>
    <xf numFmtId="37" fontId="6" fillId="3" borderId="0" xfId="1" applyNumberFormat="1" applyFont="1" applyFill="1" applyBorder="1" applyAlignment="1">
      <alignment horizontal="center" vertical="center"/>
    </xf>
    <xf numFmtId="0" fontId="6" fillId="3" borderId="33" xfId="1" applyFont="1" applyFill="1" applyBorder="1" applyAlignment="1">
      <alignment vertical="center"/>
    </xf>
    <xf numFmtId="0" fontId="3" fillId="4" borderId="0" xfId="1" applyFont="1" applyFill="1" applyBorder="1" applyAlignment="1">
      <alignment horizontal="center" vertical="center"/>
    </xf>
    <xf numFmtId="0" fontId="3" fillId="4" borderId="33" xfId="1" applyFont="1" applyFill="1" applyBorder="1" applyAlignment="1">
      <alignment horizontal="center" vertical="center"/>
    </xf>
    <xf numFmtId="166" fontId="6" fillId="3" borderId="0" xfId="1" applyNumberFormat="1" applyFont="1" applyFill="1" applyBorder="1" applyAlignment="1">
      <alignment vertical="center"/>
    </xf>
    <xf numFmtId="166" fontId="6" fillId="3" borderId="33" xfId="1" applyNumberFormat="1" applyFont="1" applyFill="1" applyBorder="1" applyAlignment="1">
      <alignment vertical="center"/>
    </xf>
    <xf numFmtId="0" fontId="8" fillId="3" borderId="30" xfId="1" applyFont="1" applyFill="1" applyBorder="1" applyAlignment="1">
      <alignment horizontal="left" vertical="center"/>
    </xf>
    <xf numFmtId="37" fontId="6" fillId="3" borderId="33" xfId="1" applyNumberFormat="1" applyFont="1" applyFill="1" applyBorder="1" applyAlignment="1">
      <alignment horizontal="center" vertical="center"/>
    </xf>
    <xf numFmtId="0" fontId="6" fillId="3" borderId="30" xfId="1" applyFont="1" applyFill="1" applyBorder="1" applyAlignment="1">
      <alignment horizontal="left" vertical="center" indent="1"/>
    </xf>
    <xf numFmtId="37" fontId="9" fillId="3" borderId="0" xfId="1" applyNumberFormat="1" applyFont="1" applyFill="1" applyBorder="1" applyAlignment="1">
      <alignment horizontal="center" vertical="center"/>
    </xf>
    <xf numFmtId="169" fontId="6" fillId="3" borderId="1" xfId="1" applyNumberFormat="1" applyFont="1" applyFill="1" applyBorder="1" applyAlignment="1">
      <alignment vertical="center"/>
    </xf>
    <xf numFmtId="169" fontId="6" fillId="3" borderId="34" xfId="1" applyNumberFormat="1" applyFont="1" applyFill="1" applyBorder="1" applyAlignment="1">
      <alignment vertical="center"/>
    </xf>
    <xf numFmtId="0" fontId="11" fillId="3" borderId="30" xfId="1" applyFont="1" applyFill="1" applyBorder="1"/>
    <xf numFmtId="0" fontId="5" fillId="3" borderId="0" xfId="1" applyFont="1" applyFill="1" applyBorder="1"/>
    <xf numFmtId="0" fontId="5" fillId="3" borderId="33" xfId="1" applyFont="1" applyFill="1" applyBorder="1"/>
    <xf numFmtId="0" fontId="6" fillId="3" borderId="4" xfId="1" applyFont="1" applyFill="1" applyBorder="1" applyAlignment="1">
      <alignment horizontal="left" vertical="center"/>
    </xf>
    <xf numFmtId="0" fontId="50" fillId="3" borderId="3" xfId="1" applyFont="1" applyFill="1" applyBorder="1"/>
    <xf numFmtId="37" fontId="8" fillId="3" borderId="3" xfId="1" applyNumberFormat="1" applyFont="1" applyFill="1" applyBorder="1" applyAlignment="1">
      <alignment horizontal="center" vertical="center"/>
    </xf>
    <xf numFmtId="37" fontId="6" fillId="3" borderId="3" xfId="1" applyNumberFormat="1" applyFont="1" applyFill="1" applyBorder="1" applyAlignment="1">
      <alignment horizontal="center" vertical="center"/>
    </xf>
    <xf numFmtId="37" fontId="6" fillId="3" borderId="35" xfId="1" applyNumberFormat="1" applyFont="1" applyFill="1" applyBorder="1" applyAlignment="1">
      <alignment horizontal="center" vertical="center"/>
    </xf>
    <xf numFmtId="0" fontId="5" fillId="3" borderId="30" xfId="1" applyFont="1" applyFill="1" applyBorder="1" applyAlignment="1">
      <alignment horizontal="left" indent="1"/>
    </xf>
    <xf numFmtId="10" fontId="5" fillId="3" borderId="0" xfId="1" applyNumberFormat="1" applyFont="1" applyFill="1" applyBorder="1"/>
    <xf numFmtId="10" fontId="5" fillId="3" borderId="33" xfId="1" applyNumberFormat="1" applyFont="1" applyFill="1" applyBorder="1"/>
    <xf numFmtId="5" fontId="5" fillId="3" borderId="0" xfId="1" applyNumberFormat="1" applyFont="1" applyFill="1" applyBorder="1"/>
    <xf numFmtId="5" fontId="5" fillId="3" borderId="33" xfId="1" applyNumberFormat="1" applyFont="1" applyFill="1" applyBorder="1"/>
    <xf numFmtId="9" fontId="5" fillId="3" borderId="0" xfId="1" applyNumberFormat="1" applyFont="1" applyFill="1" applyBorder="1"/>
    <xf numFmtId="9" fontId="5" fillId="3" borderId="33" xfId="1" applyNumberFormat="1" applyFont="1" applyFill="1" applyBorder="1"/>
    <xf numFmtId="0" fontId="6" fillId="3" borderId="0" xfId="1" applyFont="1" applyFill="1" applyAlignment="1">
      <alignment vertical="center"/>
    </xf>
    <xf numFmtId="5" fontId="6" fillId="3" borderId="0" xfId="1" applyNumberFormat="1" applyFont="1" applyFill="1" applyBorder="1" applyAlignment="1">
      <alignment horizontal="left" vertical="center" indent="1"/>
    </xf>
    <xf numFmtId="0" fontId="3" fillId="4" borderId="0" xfId="1" applyFont="1" applyFill="1" applyBorder="1" applyAlignment="1">
      <alignment horizontal="center" vertical="center" wrapText="1"/>
    </xf>
    <xf numFmtId="0" fontId="22" fillId="3" borderId="0" xfId="1" applyFont="1" applyFill="1" applyBorder="1" applyAlignment="1">
      <alignment horizontal="left" vertical="center" indent="1"/>
    </xf>
    <xf numFmtId="0" fontId="6" fillId="13" borderId="4" xfId="1" applyFont="1" applyFill="1" applyBorder="1" applyAlignment="1">
      <alignment horizontal="left" vertical="center"/>
    </xf>
    <xf numFmtId="0" fontId="51" fillId="13" borderId="3" xfId="1" applyFont="1" applyFill="1" applyBorder="1"/>
    <xf numFmtId="37" fontId="8" fillId="13" borderId="3" xfId="1" applyNumberFormat="1" applyFont="1" applyFill="1" applyBorder="1" applyAlignment="1">
      <alignment horizontal="center" vertical="center"/>
    </xf>
    <xf numFmtId="37" fontId="6" fillId="13" borderId="3" xfId="1" applyNumberFormat="1" applyFont="1" applyFill="1" applyBorder="1" applyAlignment="1">
      <alignment horizontal="center" vertical="center"/>
    </xf>
    <xf numFmtId="37" fontId="6" fillId="13" borderId="35" xfId="1" applyNumberFormat="1" applyFont="1" applyFill="1" applyBorder="1" applyAlignment="1">
      <alignment horizontal="center" vertical="center"/>
    </xf>
    <xf numFmtId="0" fontId="52" fillId="3" borderId="0" xfId="1" applyFont="1" applyFill="1"/>
    <xf numFmtId="5" fontId="11" fillId="3" borderId="0" xfId="1" applyNumberFormat="1" applyFont="1" applyFill="1" applyBorder="1"/>
    <xf numFmtId="5" fontId="11" fillId="3" borderId="33" xfId="1" applyNumberFormat="1" applyFont="1" applyFill="1" applyBorder="1"/>
    <xf numFmtId="0" fontId="11" fillId="3" borderId="31" xfId="1" applyFont="1" applyFill="1" applyBorder="1"/>
    <xf numFmtId="0" fontId="50" fillId="3" borderId="1" xfId="1" applyFont="1" applyFill="1" applyBorder="1"/>
    <xf numFmtId="5" fontId="11" fillId="3" borderId="1" xfId="1" applyNumberFormat="1" applyFont="1" applyFill="1" applyBorder="1"/>
    <xf numFmtId="5" fontId="11" fillId="3" borderId="34" xfId="1" applyNumberFormat="1" applyFont="1" applyFill="1" applyBorder="1"/>
    <xf numFmtId="0" fontId="3" fillId="4" borderId="31" xfId="1" applyFont="1" applyFill="1" applyBorder="1"/>
    <xf numFmtId="0" fontId="3" fillId="4" borderId="1" xfId="1" applyFont="1" applyFill="1" applyBorder="1"/>
    <xf numFmtId="0" fontId="3" fillId="4" borderId="1" xfId="1" applyFont="1" applyFill="1" applyBorder="1" applyAlignment="1">
      <alignment horizontal="center"/>
    </xf>
    <xf numFmtId="0" fontId="3" fillId="4" borderId="34" xfId="1" applyFont="1" applyFill="1" applyBorder="1" applyAlignment="1">
      <alignment horizontal="center"/>
    </xf>
    <xf numFmtId="0" fontId="22" fillId="3" borderId="30" xfId="1" applyFont="1" applyFill="1" applyBorder="1" applyAlignment="1">
      <alignment horizontal="left" vertical="center" indent="1"/>
    </xf>
    <xf numFmtId="5" fontId="6" fillId="3" borderId="0" xfId="1" applyNumberFormat="1" applyFont="1" applyFill="1" applyBorder="1" applyAlignment="1">
      <alignment horizontal="center" vertical="center"/>
    </xf>
    <xf numFmtId="9" fontId="9" fillId="3" borderId="0" xfId="1" applyNumberFormat="1" applyFont="1" applyFill="1" applyBorder="1" applyAlignment="1">
      <alignment horizontal="center" vertical="center"/>
    </xf>
    <xf numFmtId="9" fontId="9" fillId="3" borderId="33" xfId="1" applyNumberFormat="1" applyFont="1" applyFill="1" applyBorder="1" applyAlignment="1">
      <alignment horizontal="center" vertical="center"/>
    </xf>
    <xf numFmtId="5" fontId="9" fillId="3" borderId="0" xfId="1" applyNumberFormat="1" applyFont="1" applyFill="1" applyBorder="1" applyAlignment="1">
      <alignment horizontal="center" vertical="center"/>
    </xf>
    <xf numFmtId="5" fontId="9" fillId="3" borderId="33" xfId="1" applyNumberFormat="1" applyFont="1" applyFill="1" applyBorder="1" applyAlignment="1">
      <alignment horizontal="center" vertical="center"/>
    </xf>
    <xf numFmtId="0" fontId="22" fillId="3" borderId="0" xfId="1" applyFont="1" applyFill="1" applyBorder="1" applyAlignment="1">
      <alignment horizontal="center" vertical="center"/>
    </xf>
    <xf numFmtId="0" fontId="53" fillId="3" borderId="0" xfId="1" applyFont="1" applyFill="1" applyBorder="1" applyAlignment="1">
      <alignment horizontal="center" vertical="center"/>
    </xf>
    <xf numFmtId="0" fontId="53" fillId="3" borderId="33" xfId="1" applyFont="1" applyFill="1" applyBorder="1" applyAlignment="1">
      <alignment horizontal="center" vertical="center"/>
    </xf>
    <xf numFmtId="0" fontId="3" fillId="4" borderId="5" xfId="1" applyFont="1" applyFill="1" applyBorder="1" applyAlignment="1"/>
    <xf numFmtId="0" fontId="3" fillId="4" borderId="1" xfId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/>
    </xf>
    <xf numFmtId="0" fontId="3" fillId="4" borderId="34" xfId="1" applyFont="1" applyFill="1" applyBorder="1" applyAlignment="1">
      <alignment horizontal="center" vertical="center"/>
    </xf>
    <xf numFmtId="0" fontId="8" fillId="13" borderId="38" xfId="1" applyFont="1" applyFill="1" applyBorder="1" applyAlignment="1">
      <alignment horizontal="left" vertical="center"/>
    </xf>
    <xf numFmtId="0" fontId="50" fillId="3" borderId="5" xfId="1" applyFont="1" applyFill="1" applyBorder="1"/>
    <xf numFmtId="0" fontId="50" fillId="3" borderId="39" xfId="1" applyFont="1" applyFill="1" applyBorder="1"/>
    <xf numFmtId="0" fontId="6" fillId="13" borderId="30" xfId="1" applyFont="1" applyFill="1" applyBorder="1" applyAlignment="1">
      <alignment horizontal="left" vertical="center" indent="1"/>
    </xf>
    <xf numFmtId="5" fontId="5" fillId="3" borderId="0" xfId="1" applyNumberFormat="1" applyFont="1" applyFill="1" applyBorder="1" applyAlignment="1">
      <alignment horizontal="center"/>
    </xf>
    <xf numFmtId="9" fontId="5" fillId="3" borderId="0" xfId="1" applyNumberFormat="1" applyFont="1" applyFill="1" applyBorder="1" applyAlignment="1">
      <alignment horizontal="center"/>
    </xf>
    <xf numFmtId="9" fontId="5" fillId="3" borderId="33" xfId="1" applyNumberFormat="1" applyFont="1" applyFill="1" applyBorder="1" applyAlignment="1">
      <alignment horizontal="center"/>
    </xf>
    <xf numFmtId="0" fontId="52" fillId="3" borderId="0" xfId="1" applyFont="1" applyFill="1" applyBorder="1" applyAlignment="1">
      <alignment horizontal="center"/>
    </xf>
    <xf numFmtId="0" fontId="54" fillId="3" borderId="0" xfId="1" applyFont="1" applyFill="1" applyBorder="1" applyAlignment="1">
      <alignment horizontal="center"/>
    </xf>
    <xf numFmtId="0" fontId="54" fillId="3" borderId="33" xfId="1" applyFont="1" applyFill="1" applyBorder="1" applyAlignment="1">
      <alignment horizontal="center"/>
    </xf>
    <xf numFmtId="5" fontId="5" fillId="3" borderId="3" xfId="1" applyNumberFormat="1" applyFont="1" applyFill="1" applyBorder="1" applyAlignment="1">
      <alignment horizontal="center"/>
    </xf>
    <xf numFmtId="5" fontId="5" fillId="3" borderId="35" xfId="1" applyNumberFormat="1" applyFont="1" applyFill="1" applyBorder="1" applyAlignment="1">
      <alignment horizontal="center"/>
    </xf>
    <xf numFmtId="0" fontId="5" fillId="3" borderId="5" xfId="1" applyFont="1" applyFill="1" applyBorder="1"/>
    <xf numFmtId="0" fontId="5" fillId="3" borderId="39" xfId="1" applyFont="1" applyFill="1" applyBorder="1"/>
    <xf numFmtId="0" fontId="3" fillId="4" borderId="5" xfId="1" applyFont="1" applyFill="1" applyBorder="1" applyAlignment="1">
      <alignment horizontal="center"/>
    </xf>
    <xf numFmtId="9" fontId="6" fillId="3" borderId="0" xfId="1" applyNumberFormat="1" applyFont="1" applyFill="1" applyBorder="1" applyAlignment="1">
      <alignment horizontal="center" vertical="center"/>
    </xf>
    <xf numFmtId="9" fontId="6" fillId="3" borderId="33" xfId="1" applyNumberFormat="1" applyFont="1" applyFill="1" applyBorder="1" applyAlignment="1">
      <alignment horizontal="center" vertical="center"/>
    </xf>
    <xf numFmtId="9" fontId="5" fillId="3" borderId="3" xfId="1" applyNumberFormat="1" applyFont="1" applyFill="1" applyBorder="1" applyAlignment="1">
      <alignment horizontal="center"/>
    </xf>
    <xf numFmtId="9" fontId="6" fillId="3" borderId="35" xfId="1" applyNumberFormat="1" applyFont="1" applyFill="1" applyBorder="1" applyAlignment="1">
      <alignment horizontal="center" vertical="center"/>
    </xf>
    <xf numFmtId="9" fontId="5" fillId="3" borderId="35" xfId="1" applyNumberFormat="1" applyFont="1" applyFill="1" applyBorder="1" applyAlignment="1">
      <alignment horizontal="center"/>
    </xf>
    <xf numFmtId="0" fontId="55" fillId="14" borderId="38" xfId="1" applyFont="1" applyFill="1" applyBorder="1"/>
    <xf numFmtId="0" fontId="55" fillId="14" borderId="5" xfId="1" applyFont="1" applyFill="1" applyBorder="1"/>
    <xf numFmtId="0" fontId="55" fillId="14" borderId="5" xfId="1" applyFont="1" applyFill="1" applyBorder="1" applyAlignment="1">
      <alignment horizontal="center"/>
    </xf>
    <xf numFmtId="0" fontId="55" fillId="14" borderId="30" xfId="1" applyFont="1" applyFill="1" applyBorder="1"/>
    <xf numFmtId="0" fontId="55" fillId="14" borderId="0" xfId="1" applyFont="1" applyFill="1" applyBorder="1"/>
    <xf numFmtId="0" fontId="55" fillId="14" borderId="0" xfId="1" applyFont="1" applyFill="1" applyBorder="1" applyAlignment="1">
      <alignment horizontal="center" vertical="center" wrapText="1"/>
    </xf>
    <xf numFmtId="0" fontId="55" fillId="14" borderId="0" xfId="1" applyFont="1" applyFill="1" applyBorder="1" applyAlignment="1">
      <alignment horizontal="center" vertical="center"/>
    </xf>
    <xf numFmtId="0" fontId="55" fillId="14" borderId="33" xfId="1" applyFont="1" applyFill="1" applyBorder="1" applyAlignment="1">
      <alignment horizontal="center" vertical="center"/>
    </xf>
    <xf numFmtId="5" fontId="5" fillId="3" borderId="33" xfId="1" applyNumberFormat="1" applyFont="1" applyFill="1" applyBorder="1" applyAlignment="1">
      <alignment horizontal="center"/>
    </xf>
    <xf numFmtId="0" fontId="5" fillId="3" borderId="0" xfId="1" applyFont="1" applyFill="1" applyBorder="1" applyAlignment="1">
      <alignment horizontal="center"/>
    </xf>
    <xf numFmtId="0" fontId="5" fillId="3" borderId="33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/>
    </xf>
    <xf numFmtId="5" fontId="5" fillId="3" borderId="1" xfId="1" applyNumberFormat="1" applyFont="1" applyFill="1" applyBorder="1" applyAlignment="1">
      <alignment horizontal="center"/>
    </xf>
    <xf numFmtId="5" fontId="5" fillId="3" borderId="34" xfId="1" applyNumberFormat="1" applyFont="1" applyFill="1" applyBorder="1" applyAlignment="1">
      <alignment horizontal="center"/>
    </xf>
    <xf numFmtId="0" fontId="55" fillId="14" borderId="5" xfId="1" applyFont="1" applyFill="1" applyBorder="1" applyAlignment="1"/>
    <xf numFmtId="0" fontId="55" fillId="14" borderId="40" xfId="1" applyFont="1" applyFill="1" applyBorder="1" applyAlignment="1"/>
    <xf numFmtId="0" fontId="55" fillId="14" borderId="0" xfId="1" applyFont="1" applyFill="1"/>
    <xf numFmtId="0" fontId="55" fillId="14" borderId="0" xfId="1" applyFont="1" applyFill="1" applyAlignment="1">
      <alignment horizontal="center" vertical="center" wrapText="1"/>
    </xf>
    <xf numFmtId="0" fontId="55" fillId="14" borderId="0" xfId="1" applyFont="1" applyFill="1" applyAlignment="1">
      <alignment horizontal="center" vertical="center"/>
    </xf>
    <xf numFmtId="0" fontId="6" fillId="3" borderId="31" xfId="1" applyFont="1" applyFill="1" applyBorder="1" applyAlignment="1">
      <alignment horizontal="left" vertical="center" indent="1"/>
    </xf>
    <xf numFmtId="0" fontId="8" fillId="13" borderId="30" xfId="1" applyFont="1" applyFill="1" applyBorder="1" applyAlignment="1">
      <alignment horizontal="left" vertical="center"/>
    </xf>
    <xf numFmtId="0" fontId="51" fillId="13" borderId="0" xfId="1" applyFont="1" applyFill="1"/>
    <xf numFmtId="37" fontId="8" fillId="13" borderId="0" xfId="1" applyNumberFormat="1" applyFont="1" applyFill="1" applyAlignment="1">
      <alignment horizontal="center" vertical="center"/>
    </xf>
    <xf numFmtId="0" fontId="51" fillId="13" borderId="33" xfId="1" applyFont="1" applyFill="1" applyBorder="1"/>
    <xf numFmtId="37" fontId="9" fillId="13" borderId="0" xfId="1" applyNumberFormat="1" applyFont="1" applyFill="1" applyAlignment="1">
      <alignment horizontal="center" vertical="center"/>
    </xf>
    <xf numFmtId="37" fontId="6" fillId="13" borderId="0" xfId="1" applyNumberFormat="1" applyFont="1" applyFill="1" applyAlignment="1">
      <alignment horizontal="center" vertical="center"/>
    </xf>
    <xf numFmtId="9" fontId="6" fillId="13" borderId="0" xfId="1" applyNumberFormat="1" applyFont="1" applyFill="1" applyAlignment="1">
      <alignment horizontal="center" vertical="center"/>
    </xf>
    <xf numFmtId="9" fontId="6" fillId="13" borderId="33" xfId="1" applyNumberFormat="1" applyFont="1" applyFill="1" applyBorder="1" applyAlignment="1">
      <alignment horizontal="center" vertical="center"/>
    </xf>
    <xf numFmtId="9" fontId="6" fillId="13" borderId="3" xfId="1" applyNumberFormat="1" applyFont="1" applyFill="1" applyBorder="1" applyAlignment="1">
      <alignment horizontal="center" vertical="center"/>
    </xf>
    <xf numFmtId="9" fontId="6" fillId="13" borderId="35" xfId="1" applyNumberFormat="1" applyFont="1" applyFill="1" applyBorder="1" applyAlignment="1">
      <alignment horizontal="center" vertical="center"/>
    </xf>
    <xf numFmtId="0" fontId="6" fillId="0" borderId="0" xfId="1" applyFont="1" applyAlignment="1">
      <alignment horizontal="center"/>
    </xf>
    <xf numFmtId="0" fontId="3" fillId="4" borderId="5" xfId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37" fontId="6" fillId="15" borderId="3" xfId="1" applyNumberFormat="1" applyFont="1" applyFill="1" applyBorder="1" applyAlignment="1">
      <alignment horizontal="center" vertical="center"/>
    </xf>
    <xf numFmtId="37" fontId="10" fillId="3" borderId="0" xfId="0" applyNumberFormat="1" applyFont="1" applyFill="1" applyBorder="1" applyAlignment="1">
      <alignment horizontal="center"/>
    </xf>
    <xf numFmtId="0" fontId="6" fillId="0" borderId="0" xfId="0" applyNumberFormat="1" applyFont="1"/>
    <xf numFmtId="0" fontId="57" fillId="0" borderId="0" xfId="0" applyFont="1"/>
    <xf numFmtId="0" fontId="57" fillId="3" borderId="0" xfId="0" applyFont="1" applyFill="1"/>
    <xf numFmtId="0" fontId="58" fillId="3" borderId="0" xfId="0" applyFont="1" applyFill="1" applyAlignment="1">
      <alignment horizontal="center"/>
    </xf>
    <xf numFmtId="0" fontId="60" fillId="12" borderId="0" xfId="0" applyFont="1" applyFill="1"/>
    <xf numFmtId="164" fontId="61" fillId="12" borderId="0" xfId="0" applyNumberFormat="1" applyFont="1" applyFill="1"/>
    <xf numFmtId="164" fontId="57" fillId="12" borderId="0" xfId="0" applyNumberFormat="1" applyFont="1" applyFill="1"/>
    <xf numFmtId="5" fontId="57" fillId="3" borderId="0" xfId="0" applyNumberFormat="1" applyFont="1" applyFill="1"/>
    <xf numFmtId="0" fontId="60" fillId="0" borderId="0" xfId="0" applyFont="1"/>
    <xf numFmtId="164" fontId="61" fillId="0" borderId="0" xfId="0" applyNumberFormat="1" applyFont="1"/>
    <xf numFmtId="164" fontId="57" fillId="3" borderId="0" xfId="0" applyNumberFormat="1" applyFont="1" applyFill="1"/>
    <xf numFmtId="164" fontId="57" fillId="0" borderId="0" xfId="0" applyNumberFormat="1" applyFont="1"/>
    <xf numFmtId="0" fontId="58" fillId="16" borderId="0" xfId="0" applyFont="1" applyFill="1" applyBorder="1"/>
    <xf numFmtId="0" fontId="59" fillId="16" borderId="0" xfId="0" applyFont="1" applyFill="1"/>
    <xf numFmtId="0" fontId="58" fillId="16" borderId="0" xfId="0" applyFont="1" applyFill="1" applyBorder="1" applyAlignment="1">
      <alignment horizontal="center"/>
    </xf>
    <xf numFmtId="0" fontId="58" fillId="16" borderId="0" xfId="0" applyFont="1" applyFill="1" applyAlignment="1">
      <alignment horizontal="center"/>
    </xf>
    <xf numFmtId="0" fontId="58" fillId="16" borderId="0" xfId="0" applyFont="1" applyFill="1"/>
    <xf numFmtId="0" fontId="58" fillId="16" borderId="8" xfId="0" applyFont="1" applyFill="1" applyBorder="1"/>
    <xf numFmtId="164" fontId="58" fillId="16" borderId="8" xfId="0" applyNumberFormat="1" applyFont="1" applyFill="1" applyBorder="1"/>
    <xf numFmtId="164" fontId="59" fillId="16" borderId="8" xfId="0" applyNumberFormat="1" applyFont="1" applyFill="1" applyBorder="1"/>
    <xf numFmtId="168" fontId="5" fillId="3" borderId="0" xfId="1" applyNumberFormat="1" applyFont="1" applyFill="1" applyBorder="1"/>
    <xf numFmtId="0" fontId="30" fillId="3" borderId="0" xfId="1" applyFont="1" applyFill="1"/>
    <xf numFmtId="7" fontId="50" fillId="3" borderId="0" xfId="1" applyNumberFormat="1" applyFont="1" applyFill="1"/>
    <xf numFmtId="0" fontId="6" fillId="0" borderId="1" xfId="1" applyFont="1" applyBorder="1"/>
    <xf numFmtId="0" fontId="6" fillId="3" borderId="4" xfId="1" applyFont="1" applyFill="1" applyBorder="1" applyAlignment="1">
      <alignment horizontal="left" vertical="center" indent="1"/>
    </xf>
    <xf numFmtId="0" fontId="8" fillId="3" borderId="3" xfId="1" applyFont="1" applyFill="1" applyBorder="1" applyAlignment="1">
      <alignment horizontal="center" vertical="center"/>
    </xf>
    <xf numFmtId="5" fontId="6" fillId="3" borderId="3" xfId="1" applyNumberFormat="1" applyFont="1" applyFill="1" applyBorder="1" applyAlignment="1">
      <alignment horizontal="center" vertical="center"/>
    </xf>
    <xf numFmtId="5" fontId="9" fillId="3" borderId="3" xfId="1" applyNumberFormat="1" applyFont="1" applyFill="1" applyBorder="1" applyAlignment="1">
      <alignment horizontal="center" vertical="center"/>
    </xf>
    <xf numFmtId="5" fontId="9" fillId="3" borderId="35" xfId="1" applyNumberFormat="1" applyFont="1" applyFill="1" applyBorder="1" applyAlignment="1">
      <alignment horizontal="center" vertical="center"/>
    </xf>
    <xf numFmtId="164" fontId="5" fillId="3" borderId="0" xfId="1" applyNumberFormat="1" applyFont="1" applyFill="1" applyBorder="1" applyAlignment="1">
      <alignment horizontal="center"/>
    </xf>
    <xf numFmtId="164" fontId="5" fillId="3" borderId="3" xfId="1" applyNumberFormat="1" applyFont="1" applyFill="1" applyBorder="1" applyAlignment="1">
      <alignment horizontal="center"/>
    </xf>
    <xf numFmtId="164" fontId="5" fillId="3" borderId="5" xfId="1" applyNumberFormat="1" applyFont="1" applyFill="1" applyBorder="1"/>
    <xf numFmtId="164" fontId="6" fillId="15" borderId="0" xfId="1" applyNumberFormat="1" applyFont="1" applyFill="1" applyAlignment="1">
      <alignment horizontal="center" vertical="center"/>
    </xf>
    <xf numFmtId="164" fontId="6" fillId="15" borderId="3" xfId="1" applyNumberFormat="1" applyFont="1" applyFill="1" applyBorder="1" applyAlignment="1">
      <alignment horizontal="center" vertical="center"/>
    </xf>
    <xf numFmtId="164" fontId="51" fillId="15" borderId="0" xfId="1" applyNumberFormat="1" applyFont="1" applyFill="1"/>
    <xf numFmtId="0" fontId="5" fillId="3" borderId="0" xfId="0" applyFont="1" applyFill="1" applyBorder="1" applyAlignment="1">
      <alignment horizontal="center"/>
    </xf>
    <xf numFmtId="0" fontId="5" fillId="3" borderId="15" xfId="0" applyFont="1" applyFill="1" applyBorder="1"/>
    <xf numFmtId="0" fontId="30" fillId="3" borderId="0" xfId="0" applyFont="1" applyFill="1" applyBorder="1" applyAlignment="1">
      <alignment horizontal="left" indent="1"/>
    </xf>
    <xf numFmtId="8" fontId="6" fillId="3" borderId="0" xfId="1" applyNumberFormat="1" applyFont="1" applyFill="1" applyBorder="1"/>
    <xf numFmtId="0" fontId="6" fillId="3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wrapText="1"/>
    </xf>
    <xf numFmtId="6" fontId="63" fillId="0" borderId="0" xfId="0" applyNumberFormat="1" applyFont="1" applyBorder="1" applyAlignment="1">
      <alignment horizontal="center" vertical="center"/>
    </xf>
    <xf numFmtId="9" fontId="4" fillId="0" borderId="0" xfId="0" applyNumberFormat="1" applyFont="1" applyAlignment="1">
      <alignment vertical="center"/>
    </xf>
    <xf numFmtId="164" fontId="64" fillId="0" borderId="44" xfId="0" applyNumberFormat="1" applyFont="1" applyBorder="1" applyAlignment="1">
      <alignment vertical="center"/>
    </xf>
    <xf numFmtId="5" fontId="64" fillId="0" borderId="45" xfId="0" applyNumberFormat="1" applyFont="1" applyBorder="1" applyAlignment="1">
      <alignment vertical="center"/>
    </xf>
    <xf numFmtId="5" fontId="64" fillId="5" borderId="45" xfId="0" applyNumberFormat="1" applyFont="1" applyFill="1" applyBorder="1" applyAlignment="1">
      <alignment vertical="center"/>
    </xf>
    <xf numFmtId="166" fontId="6" fillId="5" borderId="0" xfId="0" applyNumberFormat="1" applyFont="1" applyFill="1" applyAlignment="1">
      <alignment vertical="center"/>
    </xf>
    <xf numFmtId="0" fontId="6" fillId="5" borderId="0" xfId="0" applyFont="1" applyFill="1" applyAlignment="1">
      <alignment horizontal="center" vertical="center"/>
    </xf>
    <xf numFmtId="164" fontId="64" fillId="5" borderId="44" xfId="0" applyNumberFormat="1" applyFont="1" applyFill="1" applyBorder="1" applyAlignment="1">
      <alignment vertical="center"/>
    </xf>
    <xf numFmtId="0" fontId="6" fillId="5" borderId="0" xfId="0" applyFont="1" applyFill="1" applyAlignment="1">
      <alignment vertical="center"/>
    </xf>
    <xf numFmtId="166" fontId="8" fillId="5" borderId="46" xfId="0" applyNumberFormat="1" applyFont="1" applyFill="1" applyBorder="1" applyAlignment="1">
      <alignment vertical="center"/>
    </xf>
    <xf numFmtId="178" fontId="6" fillId="0" borderId="0" xfId="0" applyNumberFormat="1" applyFont="1" applyAlignment="1">
      <alignment vertical="center"/>
    </xf>
    <xf numFmtId="178" fontId="6" fillId="5" borderId="0" xfId="0" applyNumberFormat="1" applyFont="1" applyFill="1" applyAlignment="1">
      <alignment vertical="center"/>
    </xf>
    <xf numFmtId="164" fontId="63" fillId="0" borderId="0" xfId="0" applyNumberFormat="1" applyFont="1" applyBorder="1" applyAlignment="1">
      <alignment horizontal="center" vertical="center"/>
    </xf>
    <xf numFmtId="164" fontId="64" fillId="5" borderId="45" xfId="0" applyNumberFormat="1" applyFont="1" applyFill="1" applyBorder="1" applyAlignment="1">
      <alignment vertical="center"/>
    </xf>
    <xf numFmtId="164" fontId="64" fillId="0" borderId="45" xfId="0" applyNumberFormat="1" applyFont="1" applyBorder="1" applyAlignment="1">
      <alignment vertical="center"/>
    </xf>
    <xf numFmtId="9" fontId="6" fillId="5" borderId="0" xfId="0" applyNumberFormat="1" applyFont="1" applyFill="1" applyAlignment="1">
      <alignment vertical="center"/>
    </xf>
    <xf numFmtId="166" fontId="64" fillId="0" borderId="44" xfId="0" applyNumberFormat="1" applyFont="1" applyBorder="1" applyAlignment="1">
      <alignment vertical="center"/>
    </xf>
    <xf numFmtId="166" fontId="64" fillId="5" borderId="44" xfId="0" applyNumberFormat="1" applyFont="1" applyFill="1" applyBorder="1" applyAlignment="1">
      <alignment vertical="center"/>
    </xf>
    <xf numFmtId="178" fontId="8" fillId="5" borderId="46" xfId="0" applyNumberFormat="1" applyFont="1" applyFill="1" applyBorder="1" applyAlignment="1">
      <alignment vertical="center"/>
    </xf>
    <xf numFmtId="179" fontId="6" fillId="0" borderId="0" xfId="0" applyNumberFormat="1" applyFont="1"/>
    <xf numFmtId="179" fontId="6" fillId="3" borderId="0" xfId="0" applyNumberFormat="1" applyFont="1" applyFill="1"/>
    <xf numFmtId="164" fontId="6" fillId="3" borderId="8" xfId="0" applyNumberFormat="1" applyFont="1" applyFill="1" applyBorder="1"/>
    <xf numFmtId="164" fontId="8" fillId="5" borderId="8" xfId="0" applyNumberFormat="1" applyFont="1" applyFill="1" applyBorder="1"/>
    <xf numFmtId="164" fontId="8" fillId="5" borderId="0" xfId="0" applyNumberFormat="1" applyFont="1" applyFill="1" applyBorder="1"/>
    <xf numFmtId="14" fontId="3" fillId="3" borderId="0" xfId="0" applyNumberFormat="1" applyFont="1" applyFill="1" applyAlignment="1">
      <alignment horizontal="center"/>
    </xf>
    <xf numFmtId="0" fontId="8" fillId="12" borderId="8" xfId="0" applyFont="1" applyFill="1" applyBorder="1"/>
    <xf numFmtId="164" fontId="8" fillId="12" borderId="8" xfId="0" applyNumberFormat="1" applyFont="1" applyFill="1" applyBorder="1"/>
    <xf numFmtId="0" fontId="18" fillId="12" borderId="0" xfId="0" applyFont="1" applyFill="1" applyBorder="1"/>
    <xf numFmtId="0" fontId="8" fillId="12" borderId="0" xfId="0" applyFont="1" applyFill="1" applyBorder="1"/>
    <xf numFmtId="9" fontId="8" fillId="12" borderId="0" xfId="0" applyNumberFormat="1" applyFont="1" applyFill="1" applyBorder="1"/>
    <xf numFmtId="9" fontId="18" fillId="12" borderId="0" xfId="0" applyNumberFormat="1" applyFont="1" applyFill="1" applyBorder="1"/>
    <xf numFmtId="164" fontId="8" fillId="12" borderId="0" xfId="0" applyNumberFormat="1" applyFont="1" applyFill="1" applyBorder="1"/>
    <xf numFmtId="0" fontId="3" fillId="3" borderId="0" xfId="0" applyFont="1" applyFill="1"/>
    <xf numFmtId="0" fontId="64" fillId="17" borderId="0" xfId="0" applyFont="1" applyFill="1"/>
    <xf numFmtId="0" fontId="63" fillId="17" borderId="0" xfId="0" applyFont="1" applyFill="1"/>
    <xf numFmtId="0" fontId="65" fillId="17" borderId="0" xfId="0" applyNumberFormat="1" applyFont="1" applyFill="1" applyAlignment="1">
      <alignment horizontal="center"/>
    </xf>
    <xf numFmtId="0" fontId="5" fillId="17" borderId="0" xfId="0" applyFont="1" applyFill="1"/>
    <xf numFmtId="37" fontId="6" fillId="17" borderId="0" xfId="0" applyNumberFormat="1" applyFont="1" applyFill="1"/>
    <xf numFmtId="9" fontId="6" fillId="17" borderId="0" xfId="0" applyNumberFormat="1" applyFont="1" applyFill="1"/>
    <xf numFmtId="5" fontId="10" fillId="17" borderId="0" xfId="0" applyNumberFormat="1" applyFont="1" applyFill="1"/>
    <xf numFmtId="5" fontId="6" fillId="17" borderId="0" xfId="0" applyNumberFormat="1" applyFont="1" applyFill="1"/>
    <xf numFmtId="0" fontId="6" fillId="17" borderId="0" xfId="0" applyFont="1" applyFill="1"/>
    <xf numFmtId="164" fontId="6" fillId="17" borderId="0" xfId="0" applyNumberFormat="1" applyFont="1" applyFill="1"/>
    <xf numFmtId="0" fontId="16" fillId="17" borderId="0" xfId="0" applyFont="1" applyFill="1"/>
    <xf numFmtId="0" fontId="22" fillId="17" borderId="0" xfId="0" applyFont="1" applyFill="1" applyAlignment="1">
      <alignment horizontal="left" vertical="center"/>
    </xf>
    <xf numFmtId="0" fontId="6" fillId="17" borderId="0" xfId="0" applyFont="1" applyFill="1" applyBorder="1" applyAlignment="1">
      <alignment horizontal="left" vertical="center" indent="1"/>
    </xf>
    <xf numFmtId="166" fontId="13" fillId="17" borderId="0" xfId="0" applyNumberFormat="1" applyFont="1" applyFill="1"/>
    <xf numFmtId="179" fontId="6" fillId="17" borderId="0" xfId="0" applyNumberFormat="1" applyFont="1" applyFill="1"/>
    <xf numFmtId="0" fontId="5" fillId="17" borderId="0" xfId="0" applyFont="1" applyFill="1" applyAlignment="1">
      <alignment horizontal="left" indent="1"/>
    </xf>
    <xf numFmtId="166" fontId="6" fillId="17" borderId="0" xfId="0" applyNumberFormat="1" applyFont="1" applyFill="1"/>
    <xf numFmtId="0" fontId="22" fillId="17" borderId="0" xfId="0" applyFont="1" applyFill="1" applyAlignment="1">
      <alignment vertical="center"/>
    </xf>
    <xf numFmtId="5" fontId="8" fillId="17" borderId="0" xfId="0" applyNumberFormat="1" applyFont="1" applyFill="1"/>
    <xf numFmtId="0" fontId="6" fillId="17" borderId="8" xfId="0" applyFont="1" applyFill="1" applyBorder="1"/>
    <xf numFmtId="164" fontId="6" fillId="17" borderId="8" xfId="0" applyNumberFormat="1" applyFont="1" applyFill="1" applyBorder="1"/>
    <xf numFmtId="0" fontId="3" fillId="17" borderId="0" xfId="0" applyFont="1" applyFill="1"/>
    <xf numFmtId="0" fontId="4" fillId="17" borderId="0" xfId="0" applyFont="1" applyFill="1"/>
    <xf numFmtId="14" fontId="3" fillId="17" borderId="0" xfId="0" applyNumberFormat="1" applyFont="1" applyFill="1" applyAlignment="1">
      <alignment horizontal="center"/>
    </xf>
    <xf numFmtId="0" fontId="8" fillId="17" borderId="0" xfId="0" applyFont="1" applyFill="1"/>
    <xf numFmtId="0" fontId="19" fillId="17" borderId="0" xfId="0" applyFont="1" applyFill="1"/>
    <xf numFmtId="0" fontId="8" fillId="17" borderId="8" xfId="0" applyFont="1" applyFill="1" applyBorder="1"/>
    <xf numFmtId="5" fontId="8" fillId="17" borderId="8" xfId="0" applyNumberFormat="1" applyFont="1" applyFill="1" applyBorder="1"/>
    <xf numFmtId="0" fontId="8" fillId="17" borderId="3" xfId="0" applyFont="1" applyFill="1" applyBorder="1"/>
    <xf numFmtId="166" fontId="8" fillId="17" borderId="3" xfId="0" applyNumberFormat="1" applyFont="1" applyFill="1" applyBorder="1"/>
    <xf numFmtId="0" fontId="8" fillId="17" borderId="5" xfId="0" applyFont="1" applyFill="1" applyBorder="1"/>
    <xf numFmtId="166" fontId="8" fillId="17" borderId="5" xfId="0" applyNumberFormat="1" applyFont="1" applyFill="1" applyBorder="1"/>
    <xf numFmtId="0" fontId="8" fillId="17" borderId="1" xfId="0" applyFont="1" applyFill="1" applyBorder="1"/>
    <xf numFmtId="0" fontId="6" fillId="17" borderId="1" xfId="0" applyFont="1" applyFill="1" applyBorder="1"/>
    <xf numFmtId="5" fontId="6" fillId="17" borderId="8" xfId="0" applyNumberFormat="1" applyFont="1" applyFill="1" applyBorder="1"/>
    <xf numFmtId="166" fontId="21" fillId="17" borderId="1" xfId="0" applyNumberFormat="1" applyFont="1" applyFill="1" applyBorder="1"/>
    <xf numFmtId="164" fontId="6" fillId="0" borderId="0" xfId="0" applyNumberFormat="1" applyFont="1" applyAlignment="1">
      <alignment vertical="center"/>
    </xf>
    <xf numFmtId="5" fontId="13" fillId="0" borderId="0" xfId="0" applyNumberFormat="1" applyFont="1" applyBorder="1" applyAlignment="1">
      <alignment horizontal="center" vertical="center"/>
    </xf>
    <xf numFmtId="10" fontId="64" fillId="0" borderId="44" xfId="0" applyNumberFormat="1" applyFont="1" applyBorder="1" applyAlignment="1">
      <alignment vertical="center"/>
    </xf>
    <xf numFmtId="10" fontId="64" fillId="5" borderId="44" xfId="0" applyNumberFormat="1" applyFont="1" applyFill="1" applyBorder="1" applyAlignment="1">
      <alignment vertical="center"/>
    </xf>
    <xf numFmtId="0" fontId="8" fillId="0" borderId="0" xfId="0" applyFont="1" applyAlignment="1"/>
    <xf numFmtId="5" fontId="8" fillId="3" borderId="0" xfId="0" applyNumberFormat="1" applyFont="1" applyFill="1" applyBorder="1"/>
    <xf numFmtId="0" fontId="11" fillId="0" borderId="0" xfId="0" applyFont="1" applyBorder="1"/>
    <xf numFmtId="0" fontId="23" fillId="0" borderId="0" xfId="0" applyFont="1" applyBorder="1"/>
    <xf numFmtId="5" fontId="24" fillId="0" borderId="0" xfId="0" applyNumberFormat="1" applyFont="1" applyBorder="1"/>
    <xf numFmtId="5" fontId="21" fillId="0" borderId="0" xfId="0" applyNumberFormat="1" applyFont="1" applyBorder="1"/>
    <xf numFmtId="5" fontId="8" fillId="0" borderId="0" xfId="0" applyNumberFormat="1" applyFont="1" applyBorder="1" applyAlignment="1">
      <alignment horizontal="center"/>
    </xf>
    <xf numFmtId="0" fontId="3" fillId="4" borderId="39" xfId="1" applyFont="1" applyFill="1" applyBorder="1" applyAlignment="1">
      <alignment horizontal="center"/>
    </xf>
    <xf numFmtId="0" fontId="19" fillId="3" borderId="0" xfId="0" applyNumberFormat="1" applyFont="1" applyFill="1" applyAlignment="1">
      <alignment horizontal="center"/>
    </xf>
    <xf numFmtId="166" fontId="8" fillId="5" borderId="8" xfId="0" applyNumberFormat="1" applyFont="1" applyFill="1" applyBorder="1"/>
    <xf numFmtId="37" fontId="9" fillId="3" borderId="0" xfId="0" applyNumberFormat="1" applyFont="1" applyFill="1"/>
    <xf numFmtId="0" fontId="3" fillId="4" borderId="5" xfId="1" applyFont="1" applyFill="1" applyBorder="1" applyAlignment="1">
      <alignment horizontal="center"/>
    </xf>
    <xf numFmtId="7" fontId="10" fillId="0" borderId="0" xfId="0" applyNumberFormat="1" applyFont="1" applyBorder="1" applyAlignment="1">
      <alignment horizontal="center" vertical="center"/>
    </xf>
    <xf numFmtId="9" fontId="10" fillId="0" borderId="0" xfId="5" applyFont="1" applyBorder="1" applyAlignment="1">
      <alignment horizontal="center" vertical="center"/>
    </xf>
    <xf numFmtId="39" fontId="10" fillId="0" borderId="0" xfId="0" applyNumberFormat="1" applyFont="1" applyBorder="1" applyAlignment="1">
      <alignment horizontal="center" vertical="center"/>
    </xf>
    <xf numFmtId="166" fontId="10" fillId="0" borderId="0" xfId="5" applyNumberFormat="1" applyFont="1" applyBorder="1" applyAlignment="1">
      <alignment horizontal="center" vertical="center"/>
    </xf>
    <xf numFmtId="176" fontId="10" fillId="0" borderId="0" xfId="0" applyNumberFormat="1" applyFont="1" applyBorder="1" applyAlignment="1">
      <alignment horizontal="center" vertical="center"/>
    </xf>
    <xf numFmtId="0" fontId="9" fillId="5" borderId="0" xfId="0" applyFont="1" applyFill="1" applyBorder="1"/>
    <xf numFmtId="180" fontId="10" fillId="0" borderId="0" xfId="0" applyNumberFormat="1" applyFont="1" applyBorder="1" applyAlignment="1">
      <alignment horizontal="center" vertical="center"/>
    </xf>
    <xf numFmtId="37" fontId="6" fillId="0" borderId="0" xfId="0" applyNumberFormat="1" applyFont="1" applyAlignment="1">
      <alignment horizontal="center"/>
    </xf>
    <xf numFmtId="181" fontId="6" fillId="0" borderId="0" xfId="0" applyNumberFormat="1" applyFont="1" applyAlignment="1">
      <alignment horizontal="center"/>
    </xf>
    <xf numFmtId="166" fontId="8" fillId="0" borderId="0" xfId="0" applyNumberFormat="1" applyFont="1"/>
    <xf numFmtId="178" fontId="6" fillId="3" borderId="0" xfId="1" applyNumberFormat="1" applyFont="1" applyFill="1" applyBorder="1" applyAlignment="1">
      <alignment horizontal="center" vertical="center"/>
    </xf>
    <xf numFmtId="178" fontId="9" fillId="3" borderId="0" xfId="1" applyNumberFormat="1" applyFont="1" applyFill="1" applyBorder="1" applyAlignment="1">
      <alignment horizontal="center" vertical="center"/>
    </xf>
    <xf numFmtId="166" fontId="6" fillId="3" borderId="0" xfId="1" applyNumberFormat="1" applyFont="1" applyFill="1" applyBorder="1" applyAlignment="1">
      <alignment horizontal="center" vertical="center"/>
    </xf>
    <xf numFmtId="166" fontId="9" fillId="3" borderId="0" xfId="1" applyNumberFormat="1" applyFont="1" applyFill="1" applyBorder="1" applyAlignment="1">
      <alignment horizontal="center" vertical="center"/>
    </xf>
    <xf numFmtId="166" fontId="6" fillId="3" borderId="3" xfId="1" applyNumberFormat="1" applyFont="1" applyFill="1" applyBorder="1" applyAlignment="1">
      <alignment horizontal="center" vertical="center"/>
    </xf>
    <xf numFmtId="6" fontId="8" fillId="3" borderId="0" xfId="0" applyNumberFormat="1" applyFont="1" applyFill="1" applyBorder="1" applyAlignment="1">
      <alignment horizontal="right"/>
    </xf>
    <xf numFmtId="0" fontId="6" fillId="12" borderId="8" xfId="0" applyFont="1" applyFill="1" applyBorder="1"/>
    <xf numFmtId="6" fontId="6" fillId="12" borderId="8" xfId="0" applyNumberFormat="1" applyFont="1" applyFill="1" applyBorder="1"/>
    <xf numFmtId="5" fontId="6" fillId="0" borderId="0" xfId="0" applyNumberFormat="1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6" fontId="0" fillId="0" borderId="0" xfId="0" applyNumberFormat="1"/>
    <xf numFmtId="0" fontId="68" fillId="18" borderId="0" xfId="0" applyFont="1" applyFill="1" applyBorder="1" applyAlignment="1">
      <alignment horizontal="center"/>
    </xf>
    <xf numFmtId="184" fontId="68" fillId="18" borderId="33" xfId="6" applyNumberFormat="1" applyFont="1" applyFill="1" applyBorder="1" applyAlignment="1">
      <alignment horizontal="center"/>
    </xf>
    <xf numFmtId="0" fontId="51" fillId="13" borderId="0" xfId="1" applyFont="1" applyFill="1" applyBorder="1"/>
    <xf numFmtId="37" fontId="6" fillId="13" borderId="0" xfId="1" applyNumberFormat="1" applyFont="1" applyFill="1" applyBorder="1" applyAlignment="1">
      <alignment horizontal="center" vertical="center"/>
    </xf>
    <xf numFmtId="0" fontId="6" fillId="13" borderId="31" xfId="1" applyFont="1" applyFill="1" applyBorder="1" applyAlignment="1">
      <alignment horizontal="left" vertical="center" indent="1"/>
    </xf>
    <xf numFmtId="0" fontId="51" fillId="13" borderId="1" xfId="1" applyFont="1" applyFill="1" applyBorder="1"/>
    <xf numFmtId="9" fontId="6" fillId="13" borderId="1" xfId="1" applyNumberFormat="1" applyFont="1" applyFill="1" applyBorder="1" applyAlignment="1">
      <alignment horizontal="center" vertical="center"/>
    </xf>
    <xf numFmtId="0" fontId="55" fillId="14" borderId="30" xfId="1" applyFont="1" applyFill="1" applyBorder="1" applyAlignment="1">
      <alignment horizontal="center" vertical="center" wrapText="1"/>
    </xf>
    <xf numFmtId="3" fontId="44" fillId="13" borderId="30" xfId="1" applyNumberFormat="1" applyFont="1" applyFill="1" applyBorder="1" applyAlignment="1">
      <alignment horizontal="center"/>
    </xf>
    <xf numFmtId="37" fontId="6" fillId="13" borderId="30" xfId="1" applyNumberFormat="1" applyFont="1" applyFill="1" applyBorder="1" applyAlignment="1">
      <alignment horizontal="center" vertical="center"/>
    </xf>
    <xf numFmtId="5" fontId="44" fillId="13" borderId="0" xfId="1" applyNumberFormat="1" applyFont="1" applyFill="1" applyBorder="1" applyAlignment="1">
      <alignment horizontal="center"/>
    </xf>
    <xf numFmtId="5" fontId="44" fillId="13" borderId="33" xfId="1" applyNumberFormat="1" applyFont="1" applyFill="1" applyBorder="1" applyAlignment="1">
      <alignment horizontal="center"/>
    </xf>
    <xf numFmtId="37" fontId="6" fillId="13" borderId="1" xfId="1" applyNumberFormat="1" applyFont="1" applyFill="1" applyBorder="1" applyAlignment="1">
      <alignment horizontal="center" vertical="center"/>
    </xf>
    <xf numFmtId="164" fontId="64" fillId="0" borderId="0" xfId="0" applyNumberFormat="1" applyFont="1" applyBorder="1" applyAlignment="1">
      <alignment vertical="center"/>
    </xf>
    <xf numFmtId="164" fontId="64" fillId="5" borderId="0" xfId="0" applyNumberFormat="1" applyFont="1" applyFill="1" applyBorder="1" applyAlignment="1">
      <alignment vertical="center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Border="1" applyAlignment="1">
      <alignment vertical="center"/>
    </xf>
    <xf numFmtId="0" fontId="8" fillId="0" borderId="0" xfId="0" applyFont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3" fontId="8" fillId="0" borderId="0" xfId="0" applyNumberFormat="1" applyFont="1" applyAlignment="1">
      <alignment vertical="center"/>
    </xf>
    <xf numFmtId="3" fontId="8" fillId="0" borderId="0" xfId="0" applyNumberFormat="1" applyFont="1" applyBorder="1" applyAlignment="1">
      <alignment vertical="center"/>
    </xf>
    <xf numFmtId="5" fontId="8" fillId="0" borderId="0" xfId="0" applyNumberFormat="1" applyFont="1" applyAlignment="1">
      <alignment vertical="center"/>
    </xf>
    <xf numFmtId="0" fontId="8" fillId="0" borderId="0" xfId="0" applyFont="1" applyAlignment="1">
      <alignment horizontal="right" vertical="center"/>
    </xf>
    <xf numFmtId="37" fontId="6" fillId="13" borderId="31" xfId="1" applyNumberFormat="1" applyFont="1" applyFill="1" applyBorder="1" applyAlignment="1">
      <alignment horizontal="center" vertical="center"/>
    </xf>
    <xf numFmtId="0" fontId="3" fillId="20" borderId="5" xfId="0" applyFont="1" applyFill="1" applyBorder="1" applyAlignment="1">
      <alignment horizontal="center"/>
    </xf>
    <xf numFmtId="184" fontId="3" fillId="20" borderId="39" xfId="6" applyNumberFormat="1" applyFont="1" applyFill="1" applyBorder="1" applyAlignment="1">
      <alignment horizontal="center"/>
    </xf>
    <xf numFmtId="0" fontId="3" fillId="20" borderId="1" xfId="0" applyFont="1" applyFill="1" applyBorder="1" applyAlignment="1">
      <alignment horizontal="center"/>
    </xf>
    <xf numFmtId="184" fontId="3" fillId="20" borderId="34" xfId="6" applyNumberFormat="1" applyFont="1" applyFill="1" applyBorder="1" applyAlignment="1">
      <alignment horizontal="center"/>
    </xf>
    <xf numFmtId="0" fontId="11" fillId="18" borderId="0" xfId="0" applyFont="1" applyFill="1" applyBorder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7" xfId="0" applyFont="1" applyBorder="1" applyAlignment="1">
      <alignment horizontal="center" vertical="center"/>
    </xf>
    <xf numFmtId="0" fontId="70" fillId="0" borderId="7" xfId="0" applyFont="1" applyBorder="1" applyAlignment="1">
      <alignment horizontal="center" vertical="center" wrapText="1"/>
    </xf>
    <xf numFmtId="0" fontId="71" fillId="0" borderId="0" xfId="0" applyFont="1" applyAlignment="1">
      <alignment horizontal="left" vertical="center"/>
    </xf>
    <xf numFmtId="37" fontId="70" fillId="0" borderId="0" xfId="0" applyNumberFormat="1" applyFont="1" applyAlignment="1">
      <alignment horizontal="center" vertical="center"/>
    </xf>
    <xf numFmtId="37" fontId="71" fillId="0" borderId="0" xfId="0" applyNumberFormat="1" applyFont="1" applyAlignment="1">
      <alignment horizontal="center" vertical="center"/>
    </xf>
    <xf numFmtId="0" fontId="71" fillId="0" borderId="0" xfId="0" applyFont="1" applyAlignment="1">
      <alignment horizontal="left" vertical="center" indent="1"/>
    </xf>
    <xf numFmtId="164" fontId="71" fillId="0" borderId="0" xfId="0" applyNumberFormat="1" applyFont="1" applyAlignment="1">
      <alignment horizontal="center" vertical="center"/>
    </xf>
    <xf numFmtId="9" fontId="70" fillId="0" borderId="0" xfId="0" applyNumberFormat="1" applyFont="1" applyAlignment="1">
      <alignment horizontal="center" vertical="center"/>
    </xf>
    <xf numFmtId="9" fontId="71" fillId="0" borderId="0" xfId="0" applyNumberFormat="1" applyFont="1" applyAlignment="1">
      <alignment horizontal="center" vertical="center"/>
    </xf>
    <xf numFmtId="5" fontId="70" fillId="0" borderId="0" xfId="0" applyNumberFormat="1" applyFont="1" applyAlignment="1">
      <alignment horizontal="center" vertical="center"/>
    </xf>
    <xf numFmtId="5" fontId="71" fillId="0" borderId="0" xfId="0" applyNumberFormat="1" applyFont="1" applyAlignment="1">
      <alignment horizontal="center" vertical="center"/>
    </xf>
    <xf numFmtId="0" fontId="70" fillId="0" borderId="3" xfId="0" applyFont="1" applyBorder="1" applyAlignment="1">
      <alignment vertical="center"/>
    </xf>
    <xf numFmtId="5" fontId="70" fillId="0" borderId="3" xfId="0" applyNumberFormat="1" applyFont="1" applyBorder="1" applyAlignment="1">
      <alignment horizontal="center" vertical="center"/>
    </xf>
    <xf numFmtId="5" fontId="71" fillId="0" borderId="3" xfId="0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0" fontId="71" fillId="0" borderId="1" xfId="0" applyFont="1" applyBorder="1" applyAlignment="1">
      <alignment horizontal="left" vertical="center" indent="1"/>
    </xf>
    <xf numFmtId="164" fontId="70" fillId="0" borderId="1" xfId="0" applyNumberFormat="1" applyFont="1" applyBorder="1" applyAlignment="1">
      <alignment horizontal="center" vertical="center"/>
    </xf>
    <xf numFmtId="164" fontId="71" fillId="0" borderId="1" xfId="0" applyNumberFormat="1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1" fillId="0" borderId="0" xfId="0" applyFont="1" applyBorder="1" applyAlignment="1">
      <alignment horizontal="left" vertical="center"/>
    </xf>
    <xf numFmtId="37" fontId="70" fillId="0" borderId="0" xfId="0" applyNumberFormat="1" applyFont="1" applyBorder="1" applyAlignment="1">
      <alignment horizontal="center" vertical="center"/>
    </xf>
    <xf numFmtId="37" fontId="71" fillId="0" borderId="0" xfId="0" applyNumberFormat="1" applyFont="1" applyBorder="1" applyAlignment="1">
      <alignment horizontal="center" vertical="center"/>
    </xf>
    <xf numFmtId="0" fontId="71" fillId="0" borderId="0" xfId="0" applyFont="1" applyBorder="1" applyAlignment="1">
      <alignment horizontal="left" vertical="center" indent="1"/>
    </xf>
    <xf numFmtId="5" fontId="71" fillId="0" borderId="0" xfId="0" applyNumberFormat="1" applyFont="1" applyBorder="1" applyAlignment="1">
      <alignment horizontal="center" vertical="center"/>
    </xf>
    <xf numFmtId="164" fontId="71" fillId="0" borderId="0" xfId="0" applyNumberFormat="1" applyFont="1" applyBorder="1" applyAlignment="1">
      <alignment horizontal="center" vertical="center"/>
    </xf>
    <xf numFmtId="5" fontId="70" fillId="0" borderId="0" xfId="0" applyNumberFormat="1" applyFont="1" applyBorder="1" applyAlignment="1">
      <alignment horizontal="center" vertical="center"/>
    </xf>
    <xf numFmtId="0" fontId="71" fillId="0" borderId="5" xfId="0" applyFont="1" applyBorder="1" applyAlignment="1">
      <alignment horizontal="left" vertical="center" indent="1"/>
    </xf>
    <xf numFmtId="37" fontId="70" fillId="0" borderId="5" xfId="0" applyNumberFormat="1" applyFont="1" applyBorder="1" applyAlignment="1">
      <alignment horizontal="center" vertical="center"/>
    </xf>
    <xf numFmtId="37" fontId="71" fillId="0" borderId="5" xfId="0" applyNumberFormat="1" applyFont="1" applyBorder="1" applyAlignment="1">
      <alignment horizontal="center" vertical="center"/>
    </xf>
    <xf numFmtId="164" fontId="70" fillId="0" borderId="0" xfId="0" applyNumberFormat="1" applyFont="1" applyBorder="1" applyAlignment="1">
      <alignment horizontal="center" vertical="center"/>
    </xf>
    <xf numFmtId="5" fontId="70" fillId="0" borderId="1" xfId="0" applyNumberFormat="1" applyFont="1" applyBorder="1" applyAlignment="1">
      <alignment horizontal="center" vertical="center"/>
    </xf>
    <xf numFmtId="5" fontId="71" fillId="0" borderId="1" xfId="0" applyNumberFormat="1" applyFont="1" applyBorder="1" applyAlignment="1">
      <alignment horizontal="center" vertical="center"/>
    </xf>
    <xf numFmtId="0" fontId="70" fillId="0" borderId="0" xfId="0" applyFont="1"/>
    <xf numFmtId="0" fontId="4" fillId="16" borderId="0" xfId="0" applyFont="1" applyFill="1"/>
    <xf numFmtId="0" fontId="3" fillId="16" borderId="0" xfId="0" applyFont="1" applyFill="1"/>
    <xf numFmtId="0" fontId="26" fillId="16" borderId="0" xfId="0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0" fontId="6" fillId="0" borderId="0" xfId="0" applyNumberFormat="1" applyFont="1"/>
    <xf numFmtId="10" fontId="6" fillId="0" borderId="0" xfId="0" applyNumberFormat="1" applyFont="1" applyAlignment="1">
      <alignment horizontal="center"/>
    </xf>
    <xf numFmtId="183" fontId="6" fillId="0" borderId="0" xfId="0" applyNumberFormat="1" applyFont="1"/>
    <xf numFmtId="182" fontId="6" fillId="0" borderId="0" xfId="0" applyNumberFormat="1" applyFont="1"/>
    <xf numFmtId="3" fontId="8" fillId="0" borderId="0" xfId="0" applyNumberFormat="1" applyFont="1" applyAlignment="1">
      <alignment horizontal="center"/>
    </xf>
    <xf numFmtId="37" fontId="8" fillId="0" borderId="0" xfId="0" applyNumberFormat="1" applyFont="1" applyAlignment="1">
      <alignment horizontal="center"/>
    </xf>
    <xf numFmtId="9" fontId="8" fillId="0" borderId="0" xfId="0" applyNumberFormat="1" applyFont="1" applyAlignment="1">
      <alignment horizontal="center"/>
    </xf>
    <xf numFmtId="0" fontId="44" fillId="0" borderId="0" xfId="0" applyFont="1"/>
    <xf numFmtId="0" fontId="44" fillId="0" borderId="1" xfId="0" applyFont="1" applyBorder="1"/>
    <xf numFmtId="185" fontId="73" fillId="19" borderId="1" xfId="0" applyNumberFormat="1" applyFont="1" applyFill="1" applyBorder="1" applyAlignment="1">
      <alignment horizontal="center"/>
    </xf>
    <xf numFmtId="185" fontId="73" fillId="0" borderId="1" xfId="0" applyNumberFormat="1" applyFont="1" applyBorder="1" applyAlignment="1">
      <alignment horizontal="center"/>
    </xf>
    <xf numFmtId="0" fontId="73" fillId="0" borderId="0" xfId="0" applyFont="1" applyAlignment="1">
      <alignment vertical="center"/>
    </xf>
    <xf numFmtId="0" fontId="73" fillId="19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73" fillId="19" borderId="0" xfId="0" applyFont="1" applyFill="1" applyAlignment="1">
      <alignment horizontal="center" vertical="center" wrapText="1"/>
    </xf>
    <xf numFmtId="37" fontId="73" fillId="19" borderId="0" xfId="0" applyNumberFormat="1" applyFont="1" applyFill="1" applyAlignment="1">
      <alignment horizontal="center" vertical="center"/>
    </xf>
    <xf numFmtId="37" fontId="44" fillId="0" borderId="0" xfId="0" applyNumberFormat="1" applyFont="1" applyAlignment="1">
      <alignment horizontal="center" vertical="center"/>
    </xf>
    <xf numFmtId="3" fontId="6" fillId="3" borderId="5" xfId="0" applyNumberFormat="1" applyFont="1" applyFill="1" applyBorder="1" applyAlignment="1">
      <alignment horizontal="center"/>
    </xf>
    <xf numFmtId="0" fontId="73" fillId="0" borderId="5" xfId="0" applyFont="1" applyBorder="1" applyAlignment="1">
      <alignment vertical="center"/>
    </xf>
    <xf numFmtId="5" fontId="73" fillId="19" borderId="5" xfId="0" applyNumberFormat="1" applyFont="1" applyFill="1" applyBorder="1" applyAlignment="1">
      <alignment horizontal="center" vertical="center"/>
    </xf>
    <xf numFmtId="5" fontId="44" fillId="0" borderId="5" xfId="0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0" fontId="44" fillId="0" borderId="0" xfId="0" applyFont="1" applyAlignment="1">
      <alignment horizontal="left" vertical="center" indent="1"/>
    </xf>
    <xf numFmtId="0" fontId="44" fillId="0" borderId="1" xfId="0" applyFont="1" applyBorder="1" applyAlignment="1">
      <alignment horizontal="left" vertical="center" indent="1"/>
    </xf>
    <xf numFmtId="164" fontId="73" fillId="19" borderId="1" xfId="0" applyNumberFormat="1" applyFont="1" applyFill="1" applyBorder="1" applyAlignment="1">
      <alignment horizontal="center" vertical="center"/>
    </xf>
    <xf numFmtId="164" fontId="44" fillId="0" borderId="1" xfId="0" applyNumberFormat="1" applyFont="1" applyBorder="1" applyAlignment="1">
      <alignment horizontal="center" vertical="center"/>
    </xf>
    <xf numFmtId="5" fontId="73" fillId="19" borderId="0" xfId="0" applyNumberFormat="1" applyFont="1" applyFill="1" applyAlignment="1">
      <alignment horizontal="center" vertical="center"/>
    </xf>
    <xf numFmtId="5" fontId="44" fillId="0" borderId="0" xfId="0" applyNumberFormat="1" applyFont="1" applyAlignment="1">
      <alignment horizontal="center" vertical="center"/>
    </xf>
    <xf numFmtId="0" fontId="6" fillId="3" borderId="0" xfId="0" applyFont="1" applyFill="1" applyAlignment="1">
      <alignment horizontal="center"/>
    </xf>
    <xf numFmtId="0" fontId="71" fillId="0" borderId="0" xfId="0" applyFont="1"/>
    <xf numFmtId="3" fontId="6" fillId="0" borderId="0" xfId="0" applyNumberFormat="1" applyFont="1"/>
    <xf numFmtId="0" fontId="8" fillId="3" borderId="0" xfId="0" applyFont="1" applyFill="1"/>
    <xf numFmtId="0" fontId="9" fillId="3" borderId="0" xfId="0" applyFont="1" applyFill="1"/>
    <xf numFmtId="5" fontId="8" fillId="12" borderId="8" xfId="0" applyNumberFormat="1" applyFont="1" applyFill="1" applyBorder="1"/>
    <xf numFmtId="0" fontId="3" fillId="20" borderId="38" xfId="0" applyFont="1" applyFill="1" applyBorder="1" applyAlignment="1">
      <alignment horizontal="left"/>
    </xf>
    <xf numFmtId="0" fontId="3" fillId="20" borderId="31" xfId="0" applyFont="1" applyFill="1" applyBorder="1" applyAlignment="1">
      <alignment horizontal="left"/>
    </xf>
    <xf numFmtId="0" fontId="11" fillId="18" borderId="30" xfId="0" applyFont="1" applyFill="1" applyBorder="1" applyAlignment="1">
      <alignment horizontal="left"/>
    </xf>
    <xf numFmtId="0" fontId="6" fillId="3" borderId="30" xfId="0" applyFont="1" applyFill="1" applyBorder="1" applyAlignment="1">
      <alignment horizontal="left"/>
    </xf>
    <xf numFmtId="0" fontId="6" fillId="3" borderId="38" xfId="0" applyFont="1" applyFill="1" applyBorder="1" applyAlignment="1">
      <alignment horizontal="left"/>
    </xf>
    <xf numFmtId="0" fontId="6" fillId="3" borderId="31" xfId="0" applyFont="1" applyFill="1" applyBorder="1" applyAlignment="1">
      <alignment horizontal="left"/>
    </xf>
    <xf numFmtId="0" fontId="8" fillId="3" borderId="30" xfId="0" applyFont="1" applyFill="1" applyBorder="1" applyAlignment="1">
      <alignment horizontal="left"/>
    </xf>
    <xf numFmtId="0" fontId="6" fillId="3" borderId="30" xfId="0" applyFont="1" applyFill="1" applyBorder="1" applyAlignment="1">
      <alignment horizontal="left" wrapText="1"/>
    </xf>
    <xf numFmtId="164" fontId="6" fillId="3" borderId="33" xfId="6" applyNumberFormat="1" applyFont="1" applyFill="1" applyBorder="1" applyAlignment="1">
      <alignment horizontal="center"/>
    </xf>
    <xf numFmtId="179" fontId="6" fillId="3" borderId="33" xfId="6" applyNumberFormat="1" applyFont="1" applyFill="1" applyBorder="1" applyAlignment="1">
      <alignment horizontal="center"/>
    </xf>
    <xf numFmtId="164" fontId="6" fillId="3" borderId="39" xfId="6" applyNumberFormat="1" applyFont="1" applyFill="1" applyBorder="1" applyAlignment="1">
      <alignment horizontal="center"/>
    </xf>
    <xf numFmtId="164" fontId="6" fillId="3" borderId="34" xfId="6" applyNumberFormat="1" applyFont="1" applyFill="1" applyBorder="1" applyAlignment="1">
      <alignment horizontal="center"/>
    </xf>
    <xf numFmtId="179" fontId="68" fillId="18" borderId="33" xfId="6" applyNumberFormat="1" applyFont="1" applyFill="1" applyBorder="1" applyAlignment="1">
      <alignment horizontal="center"/>
    </xf>
    <xf numFmtId="179" fontId="11" fillId="18" borderId="33" xfId="6" applyNumberFormat="1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37" fontId="6" fillId="0" borderId="0" xfId="0" applyNumberFormat="1" applyFont="1" applyAlignment="1">
      <alignment horizontal="right"/>
    </xf>
    <xf numFmtId="173" fontId="3" fillId="20" borderId="5" xfId="6" applyNumberFormat="1" applyFont="1" applyFill="1" applyBorder="1" applyAlignment="1">
      <alignment horizontal="right"/>
    </xf>
    <xf numFmtId="173" fontId="3" fillId="20" borderId="1" xfId="6" applyNumberFormat="1" applyFont="1" applyFill="1" applyBorder="1" applyAlignment="1">
      <alignment horizontal="right"/>
    </xf>
    <xf numFmtId="173" fontId="68" fillId="18" borderId="0" xfId="6" applyNumberFormat="1" applyFont="1" applyFill="1" applyBorder="1" applyAlignment="1">
      <alignment horizontal="right"/>
    </xf>
    <xf numFmtId="173" fontId="6" fillId="3" borderId="0" xfId="6" applyNumberFormat="1" applyFont="1" applyFill="1" applyBorder="1" applyAlignment="1">
      <alignment horizontal="right"/>
    </xf>
    <xf numFmtId="173" fontId="6" fillId="3" borderId="5" xfId="6" applyNumberFormat="1" applyFont="1" applyFill="1" applyBorder="1" applyAlignment="1">
      <alignment horizontal="right"/>
    </xf>
    <xf numFmtId="173" fontId="6" fillId="3" borderId="1" xfId="6" applyNumberFormat="1" applyFont="1" applyFill="1" applyBorder="1" applyAlignment="1">
      <alignment horizontal="right"/>
    </xf>
    <xf numFmtId="173" fontId="11" fillId="18" borderId="0" xfId="6" applyNumberFormat="1" applyFont="1" applyFill="1" applyBorder="1" applyAlignment="1">
      <alignment horizontal="right"/>
    </xf>
    <xf numFmtId="0" fontId="71" fillId="0" borderId="0" xfId="0" applyFont="1" applyAlignment="1">
      <alignment horizontal="right"/>
    </xf>
    <xf numFmtId="0" fontId="70" fillId="0" borderId="0" xfId="0" applyFont="1" applyAlignment="1">
      <alignment horizontal="right" vertical="center"/>
    </xf>
    <xf numFmtId="0" fontId="71" fillId="0" borderId="3" xfId="0" applyFont="1" applyBorder="1" applyAlignment="1">
      <alignment horizontal="right" vertical="center"/>
    </xf>
    <xf numFmtId="0" fontId="71" fillId="0" borderId="0" xfId="0" applyFont="1" applyAlignment="1">
      <alignment horizontal="right" vertical="center"/>
    </xf>
    <xf numFmtId="0" fontId="71" fillId="0" borderId="1" xfId="0" applyFont="1" applyBorder="1" applyAlignment="1">
      <alignment horizontal="right" vertical="center"/>
    </xf>
    <xf numFmtId="0" fontId="70" fillId="0" borderId="0" xfId="0" applyFont="1" applyBorder="1" applyAlignment="1">
      <alignment horizontal="right" vertical="center"/>
    </xf>
    <xf numFmtId="0" fontId="71" fillId="0" borderId="5" xfId="0" applyFont="1" applyBorder="1" applyAlignment="1">
      <alignment horizontal="right" vertical="center"/>
    </xf>
    <xf numFmtId="0" fontId="71" fillId="0" borderId="0" xfId="0" applyFont="1" applyBorder="1" applyAlignment="1">
      <alignment horizontal="right" vertical="center"/>
    </xf>
    <xf numFmtId="0" fontId="71" fillId="0" borderId="0" xfId="0" applyFont="1" applyAlignment="1">
      <alignment horizontal="center"/>
    </xf>
    <xf numFmtId="0" fontId="71" fillId="0" borderId="3" xfId="0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1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5" xfId="0" applyFont="1" applyBorder="1" applyAlignment="1">
      <alignment horizontal="center" vertical="center"/>
    </xf>
    <xf numFmtId="5" fontId="6" fillId="13" borderId="34" xfId="1" applyNumberFormat="1" applyFont="1" applyFill="1" applyBorder="1" applyAlignment="1">
      <alignment horizontal="center" vertical="center"/>
    </xf>
    <xf numFmtId="5" fontId="6" fillId="0" borderId="0" xfId="1" applyNumberFormat="1" applyFont="1" applyAlignment="1">
      <alignment horizontal="center"/>
    </xf>
    <xf numFmtId="0" fontId="6" fillId="0" borderId="0" xfId="1" applyFont="1" applyAlignment="1">
      <alignment horizontal="center"/>
    </xf>
    <xf numFmtId="0" fontId="3" fillId="4" borderId="0" xfId="0" applyFont="1" applyFill="1" applyAlignment="1">
      <alignment horizontal="center" vertical="center"/>
    </xf>
    <xf numFmtId="0" fontId="8" fillId="0" borderId="1" xfId="1" applyFont="1" applyBorder="1" applyAlignment="1">
      <alignment horizontal="center"/>
    </xf>
    <xf numFmtId="0" fontId="33" fillId="0" borderId="1" xfId="1" applyFont="1" applyBorder="1" applyAlignment="1">
      <alignment horizontal="center" wrapText="1"/>
    </xf>
    <xf numFmtId="0" fontId="6" fillId="0" borderId="1" xfId="1" applyFont="1" applyBorder="1" applyAlignment="1">
      <alignment wrapText="1"/>
    </xf>
    <xf numFmtId="0" fontId="8" fillId="0" borderId="1" xfId="1" applyFont="1" applyBorder="1" applyAlignment="1">
      <alignment horizontal="center" wrapText="1"/>
    </xf>
    <xf numFmtId="0" fontId="16" fillId="0" borderId="5" xfId="1" applyFont="1" applyBorder="1" applyAlignment="1">
      <alignment horizontal="left"/>
    </xf>
    <xf numFmtId="5" fontId="6" fillId="0" borderId="0" xfId="1" applyNumberFormat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5" fontId="6" fillId="0" borderId="0" xfId="1" applyNumberFormat="1" applyFont="1" applyAlignment="1">
      <alignment horizontal="right"/>
    </xf>
    <xf numFmtId="5" fontId="6" fillId="0" borderId="0" xfId="1" applyNumberFormat="1" applyFont="1" applyBorder="1" applyAlignment="1"/>
    <xf numFmtId="0" fontId="6" fillId="0" borderId="0" xfId="1" applyFont="1" applyBorder="1" applyAlignment="1"/>
    <xf numFmtId="0" fontId="9" fillId="0" borderId="5" xfId="1" applyFont="1" applyBorder="1" applyAlignment="1">
      <alignment horizontal="left" wrapText="1"/>
    </xf>
    <xf numFmtId="0" fontId="6" fillId="0" borderId="0" xfId="1" applyFont="1" applyBorder="1" applyAlignment="1">
      <alignment horizontal="left" indent="1"/>
    </xf>
    <xf numFmtId="0" fontId="6" fillId="3" borderId="5" xfId="1" applyFont="1" applyFill="1" applyBorder="1" applyAlignment="1">
      <alignment horizontal="left"/>
    </xf>
    <xf numFmtId="0" fontId="8" fillId="3" borderId="3" xfId="1" applyFont="1" applyFill="1" applyBorder="1" applyAlignment="1">
      <alignment horizontal="left"/>
    </xf>
    <xf numFmtId="0" fontId="9" fillId="3" borderId="3" xfId="1" applyFont="1" applyFill="1" applyBorder="1" applyAlignment="1">
      <alignment horizontal="left"/>
    </xf>
    <xf numFmtId="5" fontId="6" fillId="0" borderId="0" xfId="1" applyNumberFormat="1" applyFont="1" applyBorder="1" applyAlignment="1">
      <alignment horizontal="right"/>
    </xf>
    <xf numFmtId="0" fontId="6" fillId="0" borderId="0" xfId="1" applyFont="1" applyBorder="1" applyAlignment="1">
      <alignment horizontal="right"/>
    </xf>
    <xf numFmtId="0" fontId="34" fillId="5" borderId="3" xfId="1" applyFont="1" applyFill="1" applyBorder="1" applyAlignment="1">
      <alignment horizontal="center"/>
    </xf>
    <xf numFmtId="5" fontId="8" fillId="5" borderId="3" xfId="1" applyNumberFormat="1" applyFont="1" applyFill="1" applyBorder="1" applyAlignment="1">
      <alignment horizontal="right"/>
    </xf>
    <xf numFmtId="0" fontId="8" fillId="5" borderId="3" xfId="1" applyFont="1" applyFill="1" applyBorder="1" applyAlignment="1">
      <alignment horizontal="right"/>
    </xf>
    <xf numFmtId="5" fontId="8" fillId="0" borderId="3" xfId="1" applyNumberFormat="1" applyFont="1" applyBorder="1" applyAlignment="1">
      <alignment horizontal="right"/>
    </xf>
    <xf numFmtId="0" fontId="6" fillId="0" borderId="3" xfId="1" applyFont="1" applyFill="1" applyBorder="1" applyAlignment="1"/>
    <xf numFmtId="5" fontId="6" fillId="0" borderId="3" xfId="1" applyNumberFormat="1" applyFont="1" applyBorder="1" applyAlignment="1"/>
    <xf numFmtId="0" fontId="6" fillId="0" borderId="3" xfId="1" applyFont="1" applyBorder="1" applyAlignment="1"/>
    <xf numFmtId="0" fontId="8" fillId="0" borderId="3" xfId="1" applyFont="1" applyFill="1" applyBorder="1" applyAlignment="1">
      <alignment horizontal="center"/>
    </xf>
    <xf numFmtId="0" fontId="8" fillId="0" borderId="3" xfId="1" applyFont="1" applyBorder="1" applyAlignment="1">
      <alignment horizontal="center"/>
    </xf>
    <xf numFmtId="5" fontId="6" fillId="0" borderId="0" xfId="1" applyNumberFormat="1" applyFont="1" applyFill="1" applyBorder="1" applyAlignment="1"/>
    <xf numFmtId="0" fontId="6" fillId="0" borderId="0" xfId="1" applyFont="1" applyFill="1" applyBorder="1" applyAlignment="1"/>
    <xf numFmtId="0" fontId="8" fillId="0" borderId="10" xfId="1" applyFont="1" applyBorder="1" applyAlignment="1">
      <alignment horizontal="center" vertical="center"/>
    </xf>
    <xf numFmtId="5" fontId="6" fillId="0" borderId="0" xfId="1" applyNumberFormat="1" applyFont="1" applyFill="1" applyBorder="1" applyAlignment="1">
      <alignment horizontal="center"/>
    </xf>
    <xf numFmtId="171" fontId="6" fillId="0" borderId="0" xfId="1" applyNumberFormat="1" applyFont="1" applyFill="1" applyBorder="1" applyAlignment="1">
      <alignment horizontal="center"/>
    </xf>
    <xf numFmtId="0" fontId="16" fillId="0" borderId="5" xfId="1" applyFont="1" applyBorder="1" applyAlignment="1">
      <alignment horizontal="left" vertical="center" wrapText="1"/>
    </xf>
    <xf numFmtId="5" fontId="6" fillId="0" borderId="5" xfId="1" applyNumberFormat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5" fontId="8" fillId="5" borderId="3" xfId="1" applyNumberFormat="1" applyFont="1" applyFill="1" applyBorder="1" applyAlignment="1">
      <alignment horizontal="center"/>
    </xf>
    <xf numFmtId="0" fontId="8" fillId="5" borderId="3" xfId="1" applyFont="1" applyFill="1" applyBorder="1" applyAlignment="1">
      <alignment horizontal="center"/>
    </xf>
    <xf numFmtId="0" fontId="3" fillId="4" borderId="5" xfId="1" applyFont="1" applyFill="1" applyBorder="1" applyAlignment="1">
      <alignment horizontal="center"/>
    </xf>
    <xf numFmtId="0" fontId="3" fillId="4" borderId="39" xfId="1" applyFont="1" applyFill="1" applyBorder="1" applyAlignment="1">
      <alignment horizontal="center"/>
    </xf>
    <xf numFmtId="0" fontId="3" fillId="4" borderId="5" xfId="1" applyFont="1" applyFill="1" applyBorder="1" applyAlignment="1">
      <alignment horizontal="center"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55" fillId="14" borderId="5" xfId="1" applyFont="1" applyFill="1" applyBorder="1" applyAlignment="1">
      <alignment horizontal="center"/>
    </xf>
    <xf numFmtId="0" fontId="55" fillId="14" borderId="39" xfId="1" applyFont="1" applyFill="1" applyBorder="1" applyAlignment="1">
      <alignment horizontal="center"/>
    </xf>
    <xf numFmtId="0" fontId="30" fillId="3" borderId="5" xfId="1" applyFont="1" applyFill="1" applyBorder="1" applyAlignment="1">
      <alignment horizontal="left"/>
    </xf>
    <xf numFmtId="0" fontId="55" fillId="14" borderId="38" xfId="1" applyFont="1" applyFill="1" applyBorder="1" applyAlignment="1">
      <alignment horizontal="center"/>
    </xf>
    <xf numFmtId="0" fontId="64" fillId="0" borderId="47" xfId="0" applyFont="1" applyBorder="1" applyAlignment="1">
      <alignment horizontal="center" vertical="center"/>
    </xf>
    <xf numFmtId="0" fontId="64" fillId="0" borderId="43" xfId="0" applyFont="1" applyBorder="1" applyAlignment="1">
      <alignment horizontal="center" vertical="center"/>
    </xf>
    <xf numFmtId="0" fontId="64" fillId="0" borderId="42" xfId="0" applyFont="1" applyBorder="1" applyAlignment="1">
      <alignment horizontal="right" vertical="center" wrapText="1"/>
    </xf>
    <xf numFmtId="0" fontId="8" fillId="0" borderId="7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wrapText="1"/>
    </xf>
    <xf numFmtId="0" fontId="58" fillId="16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3" fillId="4" borderId="11" xfId="0" applyFont="1" applyFill="1" applyBorder="1" applyAlignment="1">
      <alignment horizontal="left" wrapText="1"/>
    </xf>
    <xf numFmtId="0" fontId="3" fillId="4" borderId="12" xfId="0" applyFont="1" applyFill="1" applyBorder="1" applyAlignment="1">
      <alignment horizontal="left" wrapText="1"/>
    </xf>
    <xf numFmtId="0" fontId="3" fillId="4" borderId="13" xfId="0" applyFont="1" applyFill="1" applyBorder="1" applyAlignment="1">
      <alignment horizontal="left" wrapText="1"/>
    </xf>
    <xf numFmtId="0" fontId="16" fillId="3" borderId="9" xfId="0" applyFont="1" applyFill="1" applyBorder="1" applyAlignment="1">
      <alignment horizontal="left"/>
    </xf>
    <xf numFmtId="0" fontId="8" fillId="3" borderId="0" xfId="0" applyFont="1" applyFill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33" xfId="0" applyFont="1" applyFill="1" applyBorder="1" applyAlignment="1">
      <alignment horizontal="center"/>
    </xf>
    <xf numFmtId="0" fontId="10" fillId="3" borderId="30" xfId="0" applyNumberFormat="1" applyFont="1" applyFill="1" applyBorder="1" applyAlignment="1">
      <alignment horizontal="center"/>
    </xf>
    <xf numFmtId="0" fontId="10" fillId="3" borderId="33" xfId="0" applyNumberFormat="1" applyFont="1" applyFill="1" applyBorder="1" applyAlignment="1">
      <alignment horizontal="center"/>
    </xf>
    <xf numFmtId="3" fontId="10" fillId="3" borderId="30" xfId="0" applyNumberFormat="1" applyFont="1" applyFill="1" applyBorder="1" applyAlignment="1">
      <alignment horizontal="center"/>
    </xf>
    <xf numFmtId="3" fontId="10" fillId="3" borderId="33" xfId="0" applyNumberFormat="1" applyFont="1" applyFill="1" applyBorder="1" applyAlignment="1">
      <alignment horizontal="center"/>
    </xf>
    <xf numFmtId="3" fontId="6" fillId="3" borderId="30" xfId="0" applyNumberFormat="1" applyFont="1" applyFill="1" applyBorder="1" applyAlignment="1">
      <alignment horizontal="center"/>
    </xf>
    <xf numFmtId="3" fontId="6" fillId="3" borderId="33" xfId="0" applyNumberFormat="1" applyFont="1" applyFill="1" applyBorder="1" applyAlignment="1">
      <alignment horizontal="center"/>
    </xf>
    <xf numFmtId="4" fontId="6" fillId="3" borderId="31" xfId="0" applyNumberFormat="1" applyFont="1" applyFill="1" applyBorder="1" applyAlignment="1">
      <alignment horizontal="center"/>
    </xf>
    <xf numFmtId="4" fontId="6" fillId="3" borderId="34" xfId="0" applyNumberFormat="1" applyFont="1" applyFill="1" applyBorder="1" applyAlignment="1">
      <alignment horizontal="center"/>
    </xf>
    <xf numFmtId="4" fontId="6" fillId="3" borderId="30" xfId="0" applyNumberFormat="1" applyFont="1" applyFill="1" applyBorder="1" applyAlignment="1">
      <alignment horizontal="center"/>
    </xf>
    <xf numFmtId="4" fontId="6" fillId="3" borderId="33" xfId="0" applyNumberFormat="1" applyFont="1" applyFill="1" applyBorder="1" applyAlignment="1">
      <alignment horizontal="center"/>
    </xf>
    <xf numFmtId="4" fontId="6" fillId="3" borderId="32" xfId="0" applyNumberFormat="1" applyFont="1" applyFill="1" applyBorder="1" applyAlignment="1">
      <alignment horizontal="center"/>
    </xf>
    <xf numFmtId="4" fontId="6" fillId="3" borderId="36" xfId="0" applyNumberFormat="1" applyFont="1" applyFill="1" applyBorder="1" applyAlignment="1">
      <alignment horizontal="center"/>
    </xf>
    <xf numFmtId="0" fontId="3" fillId="4" borderId="22" xfId="0" applyFont="1" applyFill="1" applyBorder="1" applyAlignment="1">
      <alignment horizontal="left" wrapText="1"/>
    </xf>
    <xf numFmtId="0" fontId="3" fillId="4" borderId="23" xfId="0" applyFont="1" applyFill="1" applyBorder="1" applyAlignment="1">
      <alignment horizontal="left" wrapText="1"/>
    </xf>
    <xf numFmtId="0" fontId="3" fillId="4" borderId="24" xfId="0" applyFont="1" applyFill="1" applyBorder="1" applyAlignment="1">
      <alignment horizontal="left" wrapText="1"/>
    </xf>
    <xf numFmtId="0" fontId="11" fillId="3" borderId="30" xfId="0" applyFont="1" applyFill="1" applyBorder="1" applyAlignment="1">
      <alignment horizontal="center"/>
    </xf>
    <xf numFmtId="0" fontId="11" fillId="3" borderId="33" xfId="0" applyFont="1" applyFill="1" applyBorder="1" applyAlignment="1">
      <alignment horizontal="center"/>
    </xf>
    <xf numFmtId="0" fontId="56" fillId="0" borderId="41" xfId="0" applyFont="1" applyBorder="1" applyAlignment="1">
      <alignment horizontal="center"/>
    </xf>
    <xf numFmtId="0" fontId="16" fillId="0" borderId="9" xfId="0" applyFont="1" applyBorder="1" applyAlignment="1">
      <alignment horizontal="left"/>
    </xf>
    <xf numFmtId="0" fontId="3" fillId="16" borderId="0" xfId="0" applyFont="1" applyFill="1" applyAlignment="1">
      <alignment horizontal="center"/>
    </xf>
    <xf numFmtId="185" fontId="73" fillId="0" borderId="1" xfId="0" applyNumberFormat="1" applyFont="1" applyBorder="1" applyAlignment="1">
      <alignment horizontal="center"/>
    </xf>
    <xf numFmtId="0" fontId="70" fillId="0" borderId="7" xfId="0" applyFont="1" applyBorder="1" applyAlignment="1">
      <alignment horizontal="center" vertical="center"/>
    </xf>
    <xf numFmtId="0" fontId="26" fillId="16" borderId="0" xfId="0" applyFont="1" applyFill="1" applyAlignment="1">
      <alignment horizontal="center"/>
    </xf>
    <xf numFmtId="0" fontId="9" fillId="0" borderId="0" xfId="0" applyFont="1" applyAlignment="1">
      <alignment horizontal="left"/>
    </xf>
    <xf numFmtId="0" fontId="19" fillId="3" borderId="1" xfId="0" applyFont="1" applyFill="1" applyBorder="1" applyAlignment="1">
      <alignment horizontal="center"/>
    </xf>
    <xf numFmtId="166" fontId="69" fillId="13" borderId="33" xfId="1" applyNumberFormat="1" applyFont="1" applyFill="1" applyBorder="1" applyAlignment="1">
      <alignment horizontal="center"/>
    </xf>
    <xf numFmtId="166" fontId="9" fillId="15" borderId="34" xfId="1" applyNumberFormat="1" applyFont="1" applyFill="1" applyBorder="1" applyAlignment="1">
      <alignment horizontal="center" vertical="center"/>
    </xf>
  </cellXfs>
  <cellStyles count="11">
    <cellStyle name="Comma" xfId="6" builtinId="3"/>
    <cellStyle name="Followed Hyperlink" xfId="3" builtinId="9" hidden="1"/>
    <cellStyle name="Followed Hyperlink" xfId="4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Hyperlink" xfId="2" builtinId="8"/>
    <cellStyle name="Normal" xfId="0" builtinId="0"/>
    <cellStyle name="Normal 2" xfId="1"/>
    <cellStyle name="Percent" xfId="5" builtinId="5"/>
  </cellStyles>
  <dxfs count="0"/>
  <tableStyles count="0" defaultTableStyle="TableStyleMedium9" defaultPivotStyle="PivotStyleLight16"/>
  <colors>
    <mruColors>
      <color rgb="FFB7B7B7"/>
      <color rgb="FF871531"/>
      <color rgb="FFE1BE1D"/>
      <color rgb="FFFFFFCC"/>
      <color rgb="FFD15A5A"/>
      <color rgb="FF6ABBDB"/>
      <color rgb="FFA89F55"/>
      <color rgb="FF577483"/>
      <color rgb="FFA17A94"/>
      <color rgb="FFB232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theme" Target="theme/theme1.xml"/><Relationship Id="rId22" Type="http://schemas.openxmlformats.org/officeDocument/2006/relationships/styles" Target="styles.xml"/><Relationship Id="rId23" Type="http://schemas.openxmlformats.org/officeDocument/2006/relationships/sharedStrings" Target="sharedStrings.xml"/><Relationship Id="rId24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/Relationships>
</file>

<file path=xl/charts/_rels/chart17.xml.rels><?xml version="1.0" encoding="UTF-8" standalone="yes"?>
<Relationships xmlns="http://schemas.openxmlformats.org/package/2006/relationships"><Relationship Id="rId1" Type="http://schemas.microsoft.com/office/2011/relationships/chartStyle" Target="style17.xml"/><Relationship Id="rId2" Type="http://schemas.microsoft.com/office/2011/relationships/chartColorStyle" Target="colors17.xml"/></Relationships>
</file>

<file path=xl/charts/_rels/chart18.xml.rels><?xml version="1.0" encoding="UTF-8" standalone="yes"?>
<Relationships xmlns="http://schemas.openxmlformats.org/package/2006/relationships"><Relationship Id="rId1" Type="http://schemas.microsoft.com/office/2011/relationships/chartStyle" Target="style18.xml"/><Relationship Id="rId2" Type="http://schemas.microsoft.com/office/2011/relationships/chartColorStyle" Target="colors18.xml"/></Relationships>
</file>

<file path=xl/charts/_rels/chart19.xml.rels><?xml version="1.0" encoding="UTF-8" standalone="yes"?>
<Relationships xmlns="http://schemas.openxmlformats.org/package/2006/relationships"><Relationship Id="rId1" Type="http://schemas.microsoft.com/office/2011/relationships/chartStyle" Target="style19.xml"/><Relationship Id="rId2" Type="http://schemas.microsoft.com/office/2011/relationships/chartColorStyle" Target="colors19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20.xml.rels><?xml version="1.0" encoding="UTF-8" standalone="yes"?>
<Relationships xmlns="http://schemas.openxmlformats.org/package/2006/relationships"><Relationship Id="rId1" Type="http://schemas.microsoft.com/office/2011/relationships/chartStyle" Target="style20.xml"/><Relationship Id="rId2" Type="http://schemas.microsoft.com/office/2011/relationships/chartColorStyle" Target="colors20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Montserrat" panose="00000500000000000000" pitchFamily="50" charset="0"/>
              </a:rPr>
              <a:t>Public Benefits by SF</a:t>
            </a:r>
          </a:p>
        </c:rich>
      </c:tx>
      <c:layout>
        <c:manualLayout>
          <c:xMode val="edge"/>
          <c:yMode val="edge"/>
          <c:x val="0.562725797651482"/>
          <c:y val="0.05007229984912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0874891272261092"/>
          <c:y val="0.0457324646499185"/>
          <c:w val="0.352520873067969"/>
          <c:h val="0.704768962339512"/>
        </c:manualLayout>
      </c:layout>
      <c:doughnutChart>
        <c:varyColors val="1"/>
        <c:ser>
          <c:idx val="0"/>
          <c:order val="0"/>
          <c:spPr>
            <a:ln w="12700"/>
          </c:spPr>
          <c:dPt>
            <c:idx val="0"/>
            <c:bubble3D val="0"/>
            <c:spPr>
              <a:solidFill>
                <a:srgbClr val="D15A5A"/>
              </a:solidFill>
              <a:ln w="1270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30-4B18-A587-6B5E5F46E3EF}"/>
              </c:ext>
            </c:extLst>
          </c:dPt>
          <c:dPt>
            <c:idx val="1"/>
            <c:bubble3D val="0"/>
            <c:spPr>
              <a:solidFill>
                <a:srgbClr val="871531"/>
              </a:solidFill>
              <a:ln w="1270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30-4B18-A587-6B5E5F46E3EF}"/>
              </c:ext>
            </c:extLst>
          </c:dPt>
          <c:dPt>
            <c:idx val="2"/>
            <c:bubble3D val="0"/>
            <c:spPr>
              <a:solidFill>
                <a:srgbClr val="6ABBDB"/>
              </a:solidFill>
              <a:ln w="1270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A6-420A-93C2-6C65434906AA}"/>
              </c:ext>
            </c:extLst>
          </c:dPt>
          <c:dPt>
            <c:idx val="3"/>
            <c:bubble3D val="0"/>
            <c:spPr>
              <a:solidFill>
                <a:srgbClr val="B7B7B7"/>
              </a:solidFill>
              <a:ln w="1270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30-4B18-A587-6B5E5F46E3EF}"/>
              </c:ext>
            </c:extLst>
          </c:dPt>
          <c:dPt>
            <c:idx val="4"/>
            <c:bubble3D val="0"/>
            <c:spPr>
              <a:solidFill>
                <a:srgbClr val="A89F55"/>
              </a:solidFill>
              <a:ln w="1270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5A6-420A-93C2-6C65434906AA}"/>
              </c:ext>
            </c:extLst>
          </c:dPt>
          <c:dPt>
            <c:idx val="5"/>
            <c:bubble3D val="0"/>
            <c:spPr>
              <a:solidFill>
                <a:srgbClr val="E1BE1D"/>
              </a:solidFill>
              <a:ln w="1270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E30-4B18-A587-6B5E5F46E3EF}"/>
              </c:ext>
            </c:extLst>
          </c:dPt>
          <c:dLbls>
            <c:dLbl>
              <c:idx val="0"/>
              <c:layout>
                <c:manualLayout>
                  <c:x val="0.12999358265162"/>
                  <c:y val="-0.132875398387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E30-4B18-A587-6B5E5F46E3E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37529442515482"/>
                  <c:y val="-0.08597819895675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E30-4B18-A587-6B5E5F46E3E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39413407481447"/>
                  <c:y val="0.097702498814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5A6-420A-93C2-6C65434906A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39413407481447"/>
                  <c:y val="0.168048297960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E30-4B18-A587-6B5E5F46E3E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904303183663442"/>
                  <c:y val="0.273566996680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5A6-420A-93C2-6C65434906A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1877547617585"/>
                  <c:y val="-0.0898862989093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E30-4B18-A587-6B5E5F46E3E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'Parcel Breakdown'!$B$33:$B$38</c:f>
              <c:strCache>
                <c:ptCount val="6"/>
                <c:pt idx="0">
                  <c:v>Sports Museum / Community Rec Center</c:v>
                </c:pt>
                <c:pt idx="1">
                  <c:v>STEM Charter School</c:v>
                </c:pt>
                <c:pt idx="2">
                  <c:v>Test Kitchen</c:v>
                </c:pt>
                <c:pt idx="3">
                  <c:v>New Transit Station</c:v>
                </c:pt>
                <c:pt idx="4">
                  <c:v>Public Park Space</c:v>
                </c:pt>
                <c:pt idx="5">
                  <c:v>Affordable Housing</c:v>
                </c:pt>
              </c:strCache>
            </c:strRef>
          </c:cat>
          <c:val>
            <c:numRef>
              <c:f>'Parcel Breakdown'!$F$33:$F$38</c:f>
              <c:numCache>
                <c:formatCode>#,##0_);\(#,##0\)</c:formatCode>
                <c:ptCount val="6"/>
                <c:pt idx="0">
                  <c:v>60000.0</c:v>
                </c:pt>
                <c:pt idx="1">
                  <c:v>78210.0</c:v>
                </c:pt>
                <c:pt idx="2">
                  <c:v>19125.0</c:v>
                </c:pt>
                <c:pt idx="3">
                  <c:v>30000.0</c:v>
                </c:pt>
                <c:pt idx="4">
                  <c:v>1.731E6</c:v>
                </c:pt>
                <c:pt idx="5">
                  <c:v>323241.0151111111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A6-420A-93C2-6C6543490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5"/>
        <c:holeSize val="38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68541451821296"/>
          <c:y val="0.640444144554267"/>
          <c:w val="0.431458548178704"/>
          <c:h val="0.3595558554457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Montserrat" panose="00000500000000000000" pitchFamily="50" charset="0"/>
                <a:cs typeface="Arial" panose="020B0604020202020204" pitchFamily="34" charset="0"/>
              </a:rPr>
              <a:t>Project Breakdown by Gross SF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4366229955675"/>
          <c:y val="0.174767211980061"/>
          <c:w val="0.491144915982871"/>
          <c:h val="0.3495730424863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1BE1D">
                  <a:alpha val="7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8F-48A4-9D0B-2A92FB7BD7BB}"/>
              </c:ext>
            </c:extLst>
          </c:dPt>
          <c:dPt>
            <c:idx val="1"/>
            <c:bubble3D val="0"/>
            <c:spPr>
              <a:solidFill>
                <a:srgbClr val="E1BE1D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8F-48A4-9D0B-2A92FB7BD7BB}"/>
              </c:ext>
            </c:extLst>
          </c:dPt>
          <c:dPt>
            <c:idx val="2"/>
            <c:bubble3D val="0"/>
            <c:spPr>
              <a:solidFill>
                <a:srgbClr val="87153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8F-48A4-9D0B-2A92FB7BD7BB}"/>
              </c:ext>
            </c:extLst>
          </c:dPt>
          <c:dPt>
            <c:idx val="3"/>
            <c:bubble3D val="0"/>
            <c:spPr>
              <a:solidFill>
                <a:srgbClr val="A17A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8F-48A4-9D0B-2A92FB7BD7BB}"/>
              </c:ext>
            </c:extLst>
          </c:dPt>
          <c:dPt>
            <c:idx val="4"/>
            <c:bubble3D val="0"/>
            <c:spPr>
              <a:solidFill>
                <a:srgbClr val="D15A5A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A8F-48A4-9D0B-2A92FB7BD7BB}"/>
              </c:ext>
            </c:extLst>
          </c:dPt>
          <c:dPt>
            <c:idx val="5"/>
            <c:bubble3D val="0"/>
            <c:spPr>
              <a:solidFill>
                <a:srgbClr val="6ABBD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A8F-48A4-9D0B-2A92FB7BD7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A8F-48A4-9D0B-2A92FB7BD7BB}"/>
              </c:ext>
            </c:extLst>
          </c:dPt>
          <c:dPt>
            <c:idx val="7"/>
            <c:bubble3D val="0"/>
            <c:spPr>
              <a:solidFill>
                <a:srgbClr val="B7B7B7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A8F-48A4-9D0B-2A92FB7BD7BB}"/>
              </c:ext>
            </c:extLst>
          </c:dPt>
          <c:dLbls>
            <c:dLbl>
              <c:idx val="0"/>
              <c:layout>
                <c:manualLayout>
                  <c:x val="0.172270591083249"/>
                  <c:y val="-0.115539946409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A8F-48A4-9D0B-2A92FB7BD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8220927903036"/>
                  <c:y val="-0.087244449329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A8F-48A4-9D0B-2A92FB7BD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5583487065619"/>
                  <c:y val="0.0896024074195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A8F-48A4-9D0B-2A92FB7BD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132515839294807"/>
                  <c:y val="0.113181988319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A8F-48A4-9D0B-2A92FB7BD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15338238854061"/>
                  <c:y val="0.0730967007896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A8F-48A4-9D0B-2A92FB7BD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02086654924581"/>
                  <c:y val="-0.0825285331495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A8F-48A4-9D0B-2A92FB7BD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A8F-48A4-9D0B-2A92FB7BD7B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122577151347697"/>
                  <c:y val="-0.10610811404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A8F-48A4-9D0B-2A92FB7BD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'Loan Sizing'!$B$99:$B$106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Sizing'!$H$99:$H$106</c:f>
              <c:numCache>
                <c:formatCode>#,##0_);\(#,##0\)</c:formatCode>
                <c:ptCount val="8"/>
                <c:pt idx="0">
                  <c:v>125993.56</c:v>
                </c:pt>
                <c:pt idx="1">
                  <c:v>503974.24</c:v>
                </c:pt>
                <c:pt idx="2">
                  <c:v>244375.0</c:v>
                </c:pt>
                <c:pt idx="3">
                  <c:v>208084.2</c:v>
                </c:pt>
                <c:pt idx="4">
                  <c:v>79125.0</c:v>
                </c:pt>
                <c:pt idx="5">
                  <c:v>455632.0</c:v>
                </c:pt>
                <c:pt idx="6">
                  <c:v>0.0</c:v>
                </c:pt>
                <c:pt idx="7">
                  <c:v>83000.0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A8F-48A4-9D0B-2A92FB7BD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8"/>
      </c:doughnut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'Loan Sizing'!$B$122</c:f>
              <c:strCache>
                <c:ptCount val="1"/>
                <c:pt idx="0">
                  <c:v>Levered IRR with Opportunity Zone</c:v>
                </c:pt>
              </c:strCache>
            </c:strRef>
          </c:tx>
          <c:spPr>
            <a:solidFill>
              <a:srgbClr val="87153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Sizing'!$E$122</c:f>
              <c:numCache>
                <c:formatCode>0.0%</c:formatCode>
                <c:ptCount val="1"/>
                <c:pt idx="0">
                  <c:v>0.296855128238418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14-418D-9C32-A16414CCB83D}"/>
            </c:ext>
          </c:extLst>
        </c:ser>
        <c:ser>
          <c:idx val="1"/>
          <c:order val="1"/>
          <c:tx>
            <c:strRef>
              <c:f>'Loan Sizing'!$B$121</c:f>
              <c:strCache>
                <c:ptCount val="1"/>
                <c:pt idx="0">
                  <c:v>Levered IRR without Opportunity Zone</c:v>
                </c:pt>
              </c:strCache>
            </c:strRef>
          </c:tx>
          <c:spPr>
            <a:solidFill>
              <a:srgbClr val="871531">
                <a:alpha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Sizing'!$E$121</c:f>
              <c:numCache>
                <c:formatCode>0.0%</c:formatCode>
                <c:ptCount val="1"/>
                <c:pt idx="0">
                  <c:v>0.202130491698685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14-418D-9C32-A16414CCB83D}"/>
            </c:ext>
          </c:extLst>
        </c:ser>
        <c:ser>
          <c:idx val="2"/>
          <c:order val="2"/>
          <c:tx>
            <c:strRef>
              <c:f>'Loan Sizing'!$B$120</c:f>
              <c:strCache>
                <c:ptCount val="1"/>
                <c:pt idx="0">
                  <c:v>Unlevered IRR</c:v>
                </c:pt>
              </c:strCache>
            </c:strRef>
          </c:tx>
          <c:spPr>
            <a:solidFill>
              <a:srgbClr val="8715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Sizing'!$E$120</c:f>
              <c:numCache>
                <c:formatCode>0.0%</c:formatCode>
                <c:ptCount val="1"/>
                <c:pt idx="0">
                  <c:v>0.119721084724185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14-418D-9C32-A16414CCB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05923312"/>
        <c:axId val="1005802384"/>
      </c:barChart>
      <c:catAx>
        <c:axId val="1005923312"/>
        <c:scaling>
          <c:orientation val="minMax"/>
        </c:scaling>
        <c:delete val="1"/>
        <c:axPos val="l"/>
        <c:majorTickMark val="none"/>
        <c:minorTickMark val="none"/>
        <c:tickLblPos val="nextTo"/>
        <c:crossAx val="1005802384"/>
        <c:crosses val="autoZero"/>
        <c:auto val="1"/>
        <c:lblAlgn val="ctr"/>
        <c:lblOffset val="100"/>
        <c:noMultiLvlLbl val="0"/>
      </c:catAx>
      <c:valAx>
        <c:axId val="1005802384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592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'Loan Sizing'!$E$80</c:f>
              <c:strCache>
                <c:ptCount val="1"/>
                <c:pt idx="0">
                  <c:v>Yield-to-Cost</c:v>
                </c:pt>
              </c:strCache>
            </c:strRef>
          </c:tx>
          <c:spPr>
            <a:solidFill>
              <a:srgbClr val="871531">
                <a:alpha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'Loan Sizing'!$B$139:$B$146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Sizing'!$E$139:$E$146</c:f>
              <c:numCache>
                <c:formatCode>0.0%</c:formatCode>
                <c:ptCount val="8"/>
                <c:pt idx="0">
                  <c:v>0.0112956083420232</c:v>
                </c:pt>
                <c:pt idx="1">
                  <c:v>0.0601710393056952</c:v>
                </c:pt>
                <c:pt idx="2">
                  <c:v>0.0778952300102466</c:v>
                </c:pt>
                <c:pt idx="3">
                  <c:v>0.105601729100841</c:v>
                </c:pt>
                <c:pt idx="4" formatCode="General">
                  <c:v>0.0</c:v>
                </c:pt>
                <c:pt idx="5">
                  <c:v>0.0809174340804076</c:v>
                </c:pt>
                <c:pt idx="6">
                  <c:v>0.0</c:v>
                </c:pt>
                <c:pt idx="7">
                  <c:v>0.0201595062159816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C8-4218-AC4F-EC613C0B228E}"/>
            </c:ext>
          </c:extLst>
        </c:ser>
        <c:ser>
          <c:idx val="3"/>
          <c:order val="1"/>
          <c:tx>
            <c:strRef>
              <c:f>'Loan Sizing'!$F$80</c:f>
              <c:strCache>
                <c:ptCount val="1"/>
                <c:pt idx="0">
                  <c:v>Yield-to-Cost after Subsidies</c:v>
                </c:pt>
              </c:strCache>
            </c:strRef>
          </c:tx>
          <c:spPr>
            <a:solidFill>
              <a:srgbClr val="871531">
                <a:alpha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'Loan Sizing'!$B$139:$B$146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Sizing'!$F$139:$F$146</c:f>
              <c:numCache>
                <c:formatCode>0.0%</c:formatCode>
                <c:ptCount val="8"/>
                <c:pt idx="0">
                  <c:v>0.0314609127922959</c:v>
                </c:pt>
                <c:pt idx="1">
                  <c:v>0.0748906171590376</c:v>
                </c:pt>
                <c:pt idx="2">
                  <c:v>0.0969506579332161</c:v>
                </c:pt>
                <c:pt idx="3">
                  <c:v>0.131434968660662</c:v>
                </c:pt>
                <c:pt idx="4">
                  <c:v>0.0</c:v>
                </c:pt>
                <c:pt idx="5">
                  <c:v>0.100712180596055</c:v>
                </c:pt>
                <c:pt idx="6">
                  <c:v>0.0</c:v>
                </c:pt>
                <c:pt idx="7">
                  <c:v>0.0333386418370671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C8-4218-AC4F-EC613C0B228E}"/>
            </c:ext>
          </c:extLst>
        </c:ser>
        <c:ser>
          <c:idx val="4"/>
          <c:order val="2"/>
          <c:tx>
            <c:strRef>
              <c:f>'Loan Sizing'!$G$80</c:f>
              <c:strCache>
                <c:ptCount val="1"/>
                <c:pt idx="0">
                  <c:v>Exit Cap Rate</c:v>
                </c:pt>
              </c:strCache>
            </c:strRef>
          </c:tx>
          <c:spPr>
            <a:solidFill>
              <a:srgbClr val="871531"/>
            </a:solidFill>
            <a:ln>
              <a:noFill/>
            </a:ln>
            <a:effectLst/>
          </c:spPr>
          <c:invertIfNegative val="0"/>
          <c:cat>
            <c:strRef>
              <c:f>'Loan Sizing'!$B$139:$B$146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Sizing'!$G$139:$G$146</c:f>
              <c:numCache>
                <c:formatCode>0.0%</c:formatCode>
                <c:ptCount val="8"/>
                <c:pt idx="0">
                  <c:v>0.0575</c:v>
                </c:pt>
                <c:pt idx="1">
                  <c:v>0.055</c:v>
                </c:pt>
                <c:pt idx="2">
                  <c:v>0.065</c:v>
                </c:pt>
                <c:pt idx="3">
                  <c:v>0.08</c:v>
                </c:pt>
                <c:pt idx="4">
                  <c:v>0.0</c:v>
                </c:pt>
                <c:pt idx="5">
                  <c:v>0.065</c:v>
                </c:pt>
                <c:pt idx="6">
                  <c:v>0.0</c:v>
                </c:pt>
                <c:pt idx="7">
                  <c:v>0.065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0C8-4218-AC4F-EC613C0B2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22116112"/>
        <c:axId val="1021627440"/>
      </c:barChart>
      <c:catAx>
        <c:axId val="102211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1627440"/>
        <c:crosses val="autoZero"/>
        <c:auto val="1"/>
        <c:lblAlgn val="ctr"/>
        <c:lblOffset val="100"/>
        <c:noMultiLvlLbl val="0"/>
      </c:catAx>
      <c:valAx>
        <c:axId val="1021627440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2116112"/>
        <c:crossesAt val="1.0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Montserrat" panose="00000500000000000000" pitchFamily="50" charset="0"/>
                <a:cs typeface="Arial" panose="020B0604020202020204" pitchFamily="34" charset="0"/>
              </a:rPr>
              <a:t>Project Breakdown by Gross SF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0992021920415"/>
          <c:y val="0.179483128160035"/>
          <c:w val="0.517648083841833"/>
          <c:h val="0.36843670720621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1BE1D">
                  <a:alpha val="7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4F-4498-9B4C-5AB6146207B9}"/>
              </c:ext>
            </c:extLst>
          </c:dPt>
          <c:dPt>
            <c:idx val="1"/>
            <c:bubble3D val="0"/>
            <c:spPr>
              <a:solidFill>
                <a:srgbClr val="E1BE1D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4F-4498-9B4C-5AB6146207B9}"/>
              </c:ext>
            </c:extLst>
          </c:dPt>
          <c:dPt>
            <c:idx val="2"/>
            <c:bubble3D val="0"/>
            <c:spPr>
              <a:solidFill>
                <a:srgbClr val="87153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04F-4498-9B4C-5AB6146207B9}"/>
              </c:ext>
            </c:extLst>
          </c:dPt>
          <c:dPt>
            <c:idx val="3"/>
            <c:bubble3D val="0"/>
            <c:spPr>
              <a:solidFill>
                <a:srgbClr val="A17A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04F-4498-9B4C-5AB6146207B9}"/>
              </c:ext>
            </c:extLst>
          </c:dPt>
          <c:dPt>
            <c:idx val="4"/>
            <c:bubble3D val="0"/>
            <c:spPr>
              <a:solidFill>
                <a:srgbClr val="D15A5A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04F-4498-9B4C-5AB6146207B9}"/>
              </c:ext>
            </c:extLst>
          </c:dPt>
          <c:dPt>
            <c:idx val="5"/>
            <c:bubble3D val="0"/>
            <c:spPr>
              <a:solidFill>
                <a:srgbClr val="6ABBD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04F-4498-9B4C-5AB6146207B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04F-4498-9B4C-5AB6146207B9}"/>
              </c:ext>
            </c:extLst>
          </c:dPt>
          <c:dPt>
            <c:idx val="7"/>
            <c:bubble3D val="0"/>
            <c:spPr>
              <a:solidFill>
                <a:srgbClr val="B7B7B7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04F-4498-9B4C-5AB6146207B9}"/>
              </c:ext>
            </c:extLst>
          </c:dPt>
          <c:dLbls>
            <c:dLbl>
              <c:idx val="0"/>
              <c:layout>
                <c:manualLayout>
                  <c:x val="0.125890047330067"/>
                  <c:y val="-0.1249717787693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04F-4498-9B4C-5AB614620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59019007153768"/>
                  <c:y val="0.117897904499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04F-4498-9B4C-5AB614620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5890047330067"/>
                  <c:y val="0.09667628168947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04F-4498-9B4C-5AB614620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02086654924581"/>
                  <c:y val="0.0754546588795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04F-4498-9B4C-5AB614620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04F-4498-9B4C-5AB6146207B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0.205399550906951"/>
                  <c:y val="-0.087244449329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04F-4498-9B4C-5AB614620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04F-4498-9B4C-5AB6146207B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129202943312437"/>
                  <c:y val="-0.110824030229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04F-4498-9B4C-5AB6146207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'Loan Sizing'!$B$128:$B$135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Sizing'!$H$128:$H$135</c:f>
              <c:numCache>
                <c:formatCode>#,##0_);\(#,##0\)</c:formatCode>
                <c:ptCount val="8"/>
                <c:pt idx="0">
                  <c:v>90127.0</c:v>
                </c:pt>
                <c:pt idx="1">
                  <c:v>360508.0</c:v>
                </c:pt>
                <c:pt idx="2">
                  <c:v>154000.0</c:v>
                </c:pt>
                <c:pt idx="3">
                  <c:v>128434.0</c:v>
                </c:pt>
                <c:pt idx="4">
                  <c:v>0.0</c:v>
                </c:pt>
                <c:pt idx="5">
                  <c:v>149930.0</c:v>
                </c:pt>
                <c:pt idx="6">
                  <c:v>0.0</c:v>
                </c:pt>
                <c:pt idx="7">
                  <c:v>106000.0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04F-4498-9B4C-5AB614620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8"/>
      </c:doughnut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'Loan Sizing'!$B$151</c:f>
              <c:strCache>
                <c:ptCount val="1"/>
                <c:pt idx="0">
                  <c:v>Levered IRR with Opportunity Zone</c:v>
                </c:pt>
              </c:strCache>
            </c:strRef>
          </c:tx>
          <c:spPr>
            <a:solidFill>
              <a:srgbClr val="87153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Sizing'!$E$151</c:f>
              <c:numCache>
                <c:formatCode>0.0%</c:formatCode>
                <c:ptCount val="1"/>
                <c:pt idx="0">
                  <c:v>0.329641714129199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28-4758-A854-0EA1567219E2}"/>
            </c:ext>
          </c:extLst>
        </c:ser>
        <c:ser>
          <c:idx val="1"/>
          <c:order val="1"/>
          <c:tx>
            <c:strRef>
              <c:f>'Loan Sizing'!$B$150</c:f>
              <c:strCache>
                <c:ptCount val="1"/>
                <c:pt idx="0">
                  <c:v>Levered IRR without Opportunity Zone</c:v>
                </c:pt>
              </c:strCache>
            </c:strRef>
          </c:tx>
          <c:spPr>
            <a:solidFill>
              <a:srgbClr val="871531">
                <a:alpha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Sizing'!$E$150</c:f>
              <c:numCache>
                <c:formatCode>0.0%</c:formatCode>
                <c:ptCount val="1"/>
                <c:pt idx="0">
                  <c:v>0.253903633781083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28-4758-A854-0EA1567219E2}"/>
            </c:ext>
          </c:extLst>
        </c:ser>
        <c:ser>
          <c:idx val="2"/>
          <c:order val="2"/>
          <c:tx>
            <c:strRef>
              <c:f>'Loan Sizing'!$B$149</c:f>
              <c:strCache>
                <c:ptCount val="1"/>
                <c:pt idx="0">
                  <c:v>Unlevered IRR</c:v>
                </c:pt>
              </c:strCache>
            </c:strRef>
          </c:tx>
          <c:spPr>
            <a:solidFill>
              <a:srgbClr val="8715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Sizing'!$E$149</c:f>
              <c:numCache>
                <c:formatCode>0.0%</c:formatCode>
                <c:ptCount val="1"/>
                <c:pt idx="0">
                  <c:v>0.137856656012356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728-4758-A854-0EA156721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50781008"/>
        <c:axId val="958760896"/>
      </c:barChart>
      <c:catAx>
        <c:axId val="1050781008"/>
        <c:scaling>
          <c:orientation val="minMax"/>
        </c:scaling>
        <c:delete val="1"/>
        <c:axPos val="l"/>
        <c:majorTickMark val="none"/>
        <c:minorTickMark val="none"/>
        <c:tickLblPos val="nextTo"/>
        <c:crossAx val="958760896"/>
        <c:crosses val="autoZero"/>
        <c:auto val="1"/>
        <c:lblAlgn val="ctr"/>
        <c:lblOffset val="100"/>
        <c:noMultiLvlLbl val="0"/>
      </c:catAx>
      <c:valAx>
        <c:axId val="958760896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78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'Loan Sizing'!$E$80</c:f>
              <c:strCache>
                <c:ptCount val="1"/>
                <c:pt idx="0">
                  <c:v>Yield-to-Cost</c:v>
                </c:pt>
              </c:strCache>
            </c:strRef>
          </c:tx>
          <c:spPr>
            <a:solidFill>
              <a:srgbClr val="871531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'Loan Sizing'!$B$168:$B$175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Sizing'!$E$168:$E$175</c:f>
              <c:numCache>
                <c:formatCode>0.0%</c:formatCode>
                <c:ptCount val="8"/>
                <c:pt idx="0">
                  <c:v>0.011267604998615</c:v>
                </c:pt>
                <c:pt idx="1">
                  <c:v>0.0602547798657756</c:v>
                </c:pt>
                <c:pt idx="2">
                  <c:v>0.0748498158547652</c:v>
                </c:pt>
                <c:pt idx="3">
                  <c:v>0.0878227150662215</c:v>
                </c:pt>
                <c:pt idx="4">
                  <c:v>0.0393644181915782</c:v>
                </c:pt>
                <c:pt idx="5">
                  <c:v>0.0826513048365236</c:v>
                </c:pt>
                <c:pt idx="6">
                  <c:v>0.0663257317285334</c:v>
                </c:pt>
                <c:pt idx="7">
                  <c:v>0.0368888445813429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23-4070-B4DC-1EE2A73370B9}"/>
            </c:ext>
          </c:extLst>
        </c:ser>
        <c:ser>
          <c:idx val="3"/>
          <c:order val="1"/>
          <c:tx>
            <c:strRef>
              <c:f>'Loan Sizing'!$F$80</c:f>
              <c:strCache>
                <c:ptCount val="1"/>
                <c:pt idx="0">
                  <c:v>Yield-to-Cost after Subsidies</c:v>
                </c:pt>
              </c:strCache>
            </c:strRef>
          </c:tx>
          <c:spPr>
            <a:solidFill>
              <a:srgbClr val="871531">
                <a:alpha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'Loan Sizing'!$B$168:$B$175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Sizing'!$F$168:$F$175</c:f>
              <c:numCache>
                <c:formatCode>0.0%</c:formatCode>
                <c:ptCount val="8"/>
                <c:pt idx="0">
                  <c:v>0.0264086986812746</c:v>
                </c:pt>
                <c:pt idx="1">
                  <c:v>0.0718772216086248</c:v>
                </c:pt>
                <c:pt idx="2">
                  <c:v>0.0892874692023151</c:v>
                </c:pt>
                <c:pt idx="3">
                  <c:v>0.104762688821495</c:v>
                </c:pt>
                <c:pt idx="4">
                  <c:v>0.0722423181662271</c:v>
                </c:pt>
                <c:pt idx="5">
                  <c:v>0.0985937740907942</c:v>
                </c:pt>
                <c:pt idx="6">
                  <c:v>0.0791191890241026</c:v>
                </c:pt>
                <c:pt idx="7">
                  <c:v>0.0440042709103866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23-4070-B4DC-1EE2A73370B9}"/>
            </c:ext>
          </c:extLst>
        </c:ser>
        <c:ser>
          <c:idx val="4"/>
          <c:order val="2"/>
          <c:tx>
            <c:strRef>
              <c:f>'Loan Sizing'!$G$80</c:f>
              <c:strCache>
                <c:ptCount val="1"/>
                <c:pt idx="0">
                  <c:v>Exit Cap Rate</c:v>
                </c:pt>
              </c:strCache>
            </c:strRef>
          </c:tx>
          <c:spPr>
            <a:solidFill>
              <a:srgbClr val="871531"/>
            </a:solidFill>
            <a:ln>
              <a:noFill/>
            </a:ln>
            <a:effectLst/>
          </c:spPr>
          <c:invertIfNegative val="0"/>
          <c:cat>
            <c:strRef>
              <c:f>'Loan Sizing'!$B$168:$B$175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Sizing'!$G$168:$G$175</c:f>
              <c:numCache>
                <c:formatCode>0.0%</c:formatCode>
                <c:ptCount val="8"/>
                <c:pt idx="0">
                  <c:v>0.0575</c:v>
                </c:pt>
                <c:pt idx="1">
                  <c:v>0.055</c:v>
                </c:pt>
                <c:pt idx="2">
                  <c:v>0.065</c:v>
                </c:pt>
                <c:pt idx="3">
                  <c:v>0.08</c:v>
                </c:pt>
                <c:pt idx="4">
                  <c:v>0.0675</c:v>
                </c:pt>
                <c:pt idx="5">
                  <c:v>0.065</c:v>
                </c:pt>
                <c:pt idx="6">
                  <c:v>0.055</c:v>
                </c:pt>
                <c:pt idx="7">
                  <c:v>0.065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A23-4070-B4DC-1EE2A7337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21733360"/>
        <c:axId val="1006203552"/>
      </c:barChart>
      <c:catAx>
        <c:axId val="102173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6203552"/>
        <c:crosses val="autoZero"/>
        <c:auto val="1"/>
        <c:lblAlgn val="ctr"/>
        <c:lblOffset val="100"/>
        <c:noMultiLvlLbl val="0"/>
      </c:catAx>
      <c:valAx>
        <c:axId val="100620355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1733360"/>
        <c:crossesAt val="1.0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Montserrat" panose="00000500000000000000" pitchFamily="50" charset="0"/>
                <a:cs typeface="Arial" panose="020B0604020202020204" pitchFamily="34" charset="0"/>
              </a:rPr>
              <a:t>Project Breakdown by Gross SF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1114646026194"/>
          <c:y val="0.165335379620113"/>
          <c:w val="0.530899667771313"/>
          <c:h val="0.37786853956616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1BE1D">
                  <a:alpha val="7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85-466C-A97D-F034941B1117}"/>
              </c:ext>
            </c:extLst>
          </c:dPt>
          <c:dPt>
            <c:idx val="1"/>
            <c:bubble3D val="0"/>
            <c:spPr>
              <a:solidFill>
                <a:srgbClr val="E1BE1D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85-466C-A97D-F034941B1117}"/>
              </c:ext>
            </c:extLst>
          </c:dPt>
          <c:dPt>
            <c:idx val="2"/>
            <c:bubble3D val="0"/>
            <c:spPr>
              <a:solidFill>
                <a:srgbClr val="87153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85-466C-A97D-F034941B1117}"/>
              </c:ext>
            </c:extLst>
          </c:dPt>
          <c:dPt>
            <c:idx val="3"/>
            <c:bubble3D val="0"/>
            <c:spPr>
              <a:solidFill>
                <a:srgbClr val="A17A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85-466C-A97D-F034941B1117}"/>
              </c:ext>
            </c:extLst>
          </c:dPt>
          <c:dPt>
            <c:idx val="4"/>
            <c:bubble3D val="0"/>
            <c:spPr>
              <a:solidFill>
                <a:srgbClr val="D15A5A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C85-466C-A97D-F034941B1117}"/>
              </c:ext>
            </c:extLst>
          </c:dPt>
          <c:dPt>
            <c:idx val="5"/>
            <c:bubble3D val="0"/>
            <c:spPr>
              <a:solidFill>
                <a:srgbClr val="6ABBD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C85-466C-A97D-F034941B1117}"/>
              </c:ext>
            </c:extLst>
          </c:dPt>
          <c:dPt>
            <c:idx val="6"/>
            <c:bubble3D val="0"/>
            <c:spPr>
              <a:solidFill>
                <a:srgbClr val="57748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C85-466C-A97D-F034941B1117}"/>
              </c:ext>
            </c:extLst>
          </c:dPt>
          <c:dPt>
            <c:idx val="7"/>
            <c:bubble3D val="0"/>
            <c:spPr>
              <a:solidFill>
                <a:srgbClr val="B7B7B7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C85-466C-A97D-F034941B1117}"/>
              </c:ext>
            </c:extLst>
          </c:dPt>
          <c:dLbls>
            <c:dLbl>
              <c:idx val="0"/>
              <c:layout>
                <c:manualLayout>
                  <c:x val="0.152393215189028"/>
                  <c:y val="-0.122613820679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C85-466C-A97D-F034941B11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8220927903036"/>
                  <c:y val="-0.108466072139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C85-466C-A97D-F034941B11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38528510730653"/>
                  <c:y val="0.0424432456197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C85-466C-A97D-F034941B11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1902718765912"/>
                  <c:y val="0.06366486842965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C85-466C-A97D-F034941B11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62331903136139"/>
                  <c:y val="0.0919603655094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C85-466C-A97D-F034941B11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19214796697747"/>
                  <c:y val="0.0848864912395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C85-466C-A97D-F034941B11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215338238854061"/>
                  <c:y val="-0.06130691033966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C85-466C-A97D-F034941B11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159019007153768"/>
                  <c:y val="-0.108466072139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C85-466C-A97D-F034941B11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'Loan Sizing'!$B$157:$B$164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Sizing'!$H$157:$H$164</c:f>
              <c:numCache>
                <c:formatCode>#,##0_);\(#,##0\)</c:formatCode>
                <c:ptCount val="8"/>
                <c:pt idx="0">
                  <c:v>107120.4551111112</c:v>
                </c:pt>
                <c:pt idx="1">
                  <c:v>428481.8204444446</c:v>
                </c:pt>
                <c:pt idx="2">
                  <c:v>78330.0</c:v>
                </c:pt>
                <c:pt idx="3">
                  <c:v>22366.61333333333</c:v>
                </c:pt>
                <c:pt idx="4">
                  <c:v>78210.0</c:v>
                </c:pt>
                <c:pt idx="5">
                  <c:v>612540.111111111</c:v>
                </c:pt>
                <c:pt idx="6">
                  <c:v>234630.0</c:v>
                </c:pt>
                <c:pt idx="7">
                  <c:v>198000.0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C85-466C-A97D-F034941B1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8"/>
      </c:doughnut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'Loan Sizing'!$B$180</c:f>
              <c:strCache>
                <c:ptCount val="1"/>
                <c:pt idx="0">
                  <c:v>Levered IRR with Opportunity Zone</c:v>
                </c:pt>
              </c:strCache>
            </c:strRef>
          </c:tx>
          <c:spPr>
            <a:solidFill>
              <a:srgbClr val="87153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Sizing'!$E$180</c:f>
              <c:numCache>
                <c:formatCode>0.0%</c:formatCode>
                <c:ptCount val="1"/>
                <c:pt idx="0">
                  <c:v>0.290780669013676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F5-462F-B37F-C2A83422657D}"/>
            </c:ext>
          </c:extLst>
        </c:ser>
        <c:ser>
          <c:idx val="1"/>
          <c:order val="1"/>
          <c:tx>
            <c:strRef>
              <c:f>'Loan Sizing'!$B$179</c:f>
              <c:strCache>
                <c:ptCount val="1"/>
                <c:pt idx="0">
                  <c:v>Levered IRR without Opportunity Zone</c:v>
                </c:pt>
              </c:strCache>
            </c:strRef>
          </c:tx>
          <c:spPr>
            <a:solidFill>
              <a:srgbClr val="871531">
                <a:alpha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Sizing'!$E$179</c:f>
              <c:numCache>
                <c:formatCode>0.0%</c:formatCode>
                <c:ptCount val="1"/>
                <c:pt idx="0">
                  <c:v>0.241480097084296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F5-462F-B37F-C2A83422657D}"/>
            </c:ext>
          </c:extLst>
        </c:ser>
        <c:ser>
          <c:idx val="2"/>
          <c:order val="2"/>
          <c:tx>
            <c:strRef>
              <c:f>'Loan Sizing'!$B$178</c:f>
              <c:strCache>
                <c:ptCount val="1"/>
                <c:pt idx="0">
                  <c:v>Unlevered IRR</c:v>
                </c:pt>
              </c:strCache>
            </c:strRef>
          </c:tx>
          <c:spPr>
            <a:solidFill>
              <a:srgbClr val="8715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Sizing'!$E$178</c:f>
              <c:numCache>
                <c:formatCode>0.0%</c:formatCode>
                <c:ptCount val="1"/>
                <c:pt idx="0">
                  <c:v>0.145093192757954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EF5-462F-B37F-C2A834226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98756224"/>
        <c:axId val="1006505792"/>
      </c:barChart>
      <c:catAx>
        <c:axId val="998756224"/>
        <c:scaling>
          <c:orientation val="minMax"/>
        </c:scaling>
        <c:delete val="1"/>
        <c:axPos val="l"/>
        <c:majorTickMark val="none"/>
        <c:minorTickMark val="none"/>
        <c:tickLblPos val="nextTo"/>
        <c:crossAx val="1006505792"/>
        <c:crosses val="autoZero"/>
        <c:auto val="1"/>
        <c:lblAlgn val="ctr"/>
        <c:lblOffset val="100"/>
        <c:noMultiLvlLbl val="0"/>
      </c:catAx>
      <c:valAx>
        <c:axId val="1006505792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875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'Loan Sizing'!$B$91:$D$91</c:f>
              <c:strCache>
                <c:ptCount val="3"/>
                <c:pt idx="0">
                  <c:v>Unlevered IRR</c:v>
                </c:pt>
              </c:strCache>
            </c:strRef>
          </c:tx>
          <c:spPr>
            <a:solidFill>
              <a:srgbClr val="8715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'Loan Sizing'!$E$90:$H$90</c:f>
              <c:strCache>
                <c:ptCount val="4"/>
                <c:pt idx="0">
                  <c:v>Total</c:v>
                </c:pt>
                <c:pt idx="1">
                  <c:v>Phase I</c:v>
                </c:pt>
                <c:pt idx="2">
                  <c:v>Phase II</c:v>
                </c:pt>
                <c:pt idx="3">
                  <c:v>Phase III</c:v>
                </c:pt>
              </c:strCache>
            </c:strRef>
          </c:cat>
          <c:val>
            <c:numRef>
              <c:f>'Loan Sizing'!$E$91:$H$91</c:f>
              <c:numCache>
                <c:formatCode>0.0%</c:formatCode>
                <c:ptCount val="4"/>
                <c:pt idx="0">
                  <c:v>0.129456601449283</c:v>
                </c:pt>
                <c:pt idx="1">
                  <c:v>0.119721084724185</c:v>
                </c:pt>
                <c:pt idx="2">
                  <c:v>0.137856656012356</c:v>
                </c:pt>
                <c:pt idx="3">
                  <c:v>0.145093192757954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EB-43F5-A860-F9F8649F61CD}"/>
            </c:ext>
          </c:extLst>
        </c:ser>
        <c:ser>
          <c:idx val="1"/>
          <c:order val="1"/>
          <c:tx>
            <c:strRef>
              <c:f>'Loan Sizing'!$B$92:$D$92</c:f>
              <c:strCache>
                <c:ptCount val="3"/>
                <c:pt idx="0">
                  <c:v>Levered IRR without Opportunity Zone</c:v>
                </c:pt>
              </c:strCache>
            </c:strRef>
          </c:tx>
          <c:spPr>
            <a:solidFill>
              <a:srgbClr val="871531">
                <a:alpha val="74902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'Loan Sizing'!$E$90:$H$90</c:f>
              <c:strCache>
                <c:ptCount val="4"/>
                <c:pt idx="0">
                  <c:v>Total</c:v>
                </c:pt>
                <c:pt idx="1">
                  <c:v>Phase I</c:v>
                </c:pt>
                <c:pt idx="2">
                  <c:v>Phase II</c:v>
                </c:pt>
                <c:pt idx="3">
                  <c:v>Phase III</c:v>
                </c:pt>
              </c:strCache>
            </c:strRef>
          </c:cat>
          <c:val>
            <c:numRef>
              <c:f>'Loan Sizing'!$E$92:$H$92</c:f>
              <c:numCache>
                <c:formatCode>0.0%</c:formatCode>
                <c:ptCount val="4"/>
                <c:pt idx="0">
                  <c:v>0.220853443330291</c:v>
                </c:pt>
                <c:pt idx="1">
                  <c:v>0.202130491698685</c:v>
                </c:pt>
                <c:pt idx="2">
                  <c:v>0.253903633781083</c:v>
                </c:pt>
                <c:pt idx="3">
                  <c:v>0.241480097084296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EB-43F5-A860-F9F8649F61CD}"/>
            </c:ext>
          </c:extLst>
        </c:ser>
        <c:ser>
          <c:idx val="2"/>
          <c:order val="2"/>
          <c:tx>
            <c:strRef>
              <c:f>'Loan Sizing'!$B$93:$D$93</c:f>
              <c:strCache>
                <c:ptCount val="3"/>
                <c:pt idx="0">
                  <c:v>Levered IRR with Opportunity Zone</c:v>
                </c:pt>
              </c:strCache>
            </c:strRef>
          </c:tx>
          <c:spPr>
            <a:solidFill>
              <a:srgbClr val="871531">
                <a:alpha val="50196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'Loan Sizing'!$E$90:$H$90</c:f>
              <c:strCache>
                <c:ptCount val="4"/>
                <c:pt idx="0">
                  <c:v>Total</c:v>
                </c:pt>
                <c:pt idx="1">
                  <c:v>Phase I</c:v>
                </c:pt>
                <c:pt idx="2">
                  <c:v>Phase II</c:v>
                </c:pt>
                <c:pt idx="3">
                  <c:v>Phase III</c:v>
                </c:pt>
              </c:strCache>
            </c:strRef>
          </c:cat>
          <c:val>
            <c:numRef>
              <c:f>'Loan Sizing'!$E$93:$H$93</c:f>
              <c:numCache>
                <c:formatCode>0.0%</c:formatCode>
                <c:ptCount val="4"/>
                <c:pt idx="0">
                  <c:v>0.301160056151406</c:v>
                </c:pt>
                <c:pt idx="1">
                  <c:v>0.296855128238418</c:v>
                </c:pt>
                <c:pt idx="2">
                  <c:v>0.329641714129199</c:v>
                </c:pt>
                <c:pt idx="3">
                  <c:v>0.290780669013675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7EB-43F5-A860-F9F8649F61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050729344"/>
        <c:axId val="961028880"/>
      </c:barChart>
      <c:catAx>
        <c:axId val="10507293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1028880"/>
        <c:crosses val="autoZero"/>
        <c:auto val="1"/>
        <c:lblAlgn val="ctr"/>
        <c:lblOffset val="100"/>
        <c:noMultiLvlLbl val="0"/>
      </c:catAx>
      <c:valAx>
        <c:axId val="961028880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crossAx val="105072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'Market Comps'!$J$3</c:f>
              <c:strCache>
                <c:ptCount val="1"/>
                <c:pt idx="0">
                  <c:v>Phase 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[&gt;999999]\ #,,&quot;M&quot;;#,&quot;K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Comps'!$B$5:$B$12</c:f>
              <c:strCache>
                <c:ptCount val="8"/>
                <c:pt idx="0">
                  <c:v>Retail</c:v>
                </c:pt>
                <c:pt idx="1">
                  <c:v>Office</c:v>
                </c:pt>
                <c:pt idx="2">
                  <c:v>Industrial</c:v>
                </c:pt>
                <c:pt idx="3">
                  <c:v>Affordable Residential</c:v>
                </c:pt>
                <c:pt idx="4">
                  <c:v>Market Rate and WF Residential</c:v>
                </c:pt>
                <c:pt idx="5">
                  <c:v>Hotel</c:v>
                </c:pt>
                <c:pt idx="6">
                  <c:v>Parking</c:v>
                </c:pt>
                <c:pt idx="7">
                  <c:v>Community Facility</c:v>
                </c:pt>
              </c:strCache>
            </c:strRef>
          </c:cat>
          <c:val>
            <c:numRef>
              <c:f>'Market Comps'!$J$5:$J$12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40-4E70-A5F6-DE9B286B5044}"/>
            </c:ext>
          </c:extLst>
        </c:ser>
        <c:ser>
          <c:idx val="1"/>
          <c:order val="1"/>
          <c:tx>
            <c:strRef>
              <c:f>'Market Comps'!$K$3</c:f>
              <c:strCache>
                <c:ptCount val="1"/>
                <c:pt idx="0">
                  <c:v>Phase II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[&gt;999999]\ #,,&quot;M&quot;;#,&quot;K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Comps'!$B$5:$B$12</c:f>
              <c:strCache>
                <c:ptCount val="8"/>
                <c:pt idx="0">
                  <c:v>Retail</c:v>
                </c:pt>
                <c:pt idx="1">
                  <c:v>Office</c:v>
                </c:pt>
                <c:pt idx="2">
                  <c:v>Industrial</c:v>
                </c:pt>
                <c:pt idx="3">
                  <c:v>Affordable Residential</c:v>
                </c:pt>
                <c:pt idx="4">
                  <c:v>Market Rate and WF Residential</c:v>
                </c:pt>
                <c:pt idx="5">
                  <c:v>Hotel</c:v>
                </c:pt>
                <c:pt idx="6">
                  <c:v>Parking</c:v>
                </c:pt>
                <c:pt idx="7">
                  <c:v>Community Facility</c:v>
                </c:pt>
              </c:strCache>
            </c:strRef>
          </c:cat>
          <c:val>
            <c:numRef>
              <c:f>'Market Comps'!$K$5:$K$12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E40-4E70-A5F6-DE9B286B5044}"/>
            </c:ext>
          </c:extLst>
        </c:ser>
        <c:ser>
          <c:idx val="2"/>
          <c:order val="2"/>
          <c:tx>
            <c:strRef>
              <c:f>'Market Comps'!$L$3</c:f>
              <c:strCache>
                <c:ptCount val="1"/>
                <c:pt idx="0">
                  <c:v>Phase III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[&gt;999999]\ #,,&quot;M&quot;;#,&quot;K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'Market Comps'!$B$5:$B$12</c:f>
              <c:strCache>
                <c:ptCount val="8"/>
                <c:pt idx="0">
                  <c:v>Retail</c:v>
                </c:pt>
                <c:pt idx="1">
                  <c:v>Office</c:v>
                </c:pt>
                <c:pt idx="2">
                  <c:v>Industrial</c:v>
                </c:pt>
                <c:pt idx="3">
                  <c:v>Affordable Residential</c:v>
                </c:pt>
                <c:pt idx="4">
                  <c:v>Market Rate and WF Residential</c:v>
                </c:pt>
                <c:pt idx="5">
                  <c:v>Hotel</c:v>
                </c:pt>
                <c:pt idx="6">
                  <c:v>Parking</c:v>
                </c:pt>
                <c:pt idx="7">
                  <c:v>Community Facility</c:v>
                </c:pt>
              </c:strCache>
            </c:strRef>
          </c:cat>
          <c:val>
            <c:numRef>
              <c:f>'Market Comps'!$L$5:$L$12</c:f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E40-4E70-A5F6-DE9B286B5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8445632"/>
        <c:axId val="998448192"/>
      </c:barChart>
      <c:catAx>
        <c:axId val="9984456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8448192"/>
        <c:crosses val="autoZero"/>
        <c:auto val="1"/>
        <c:lblAlgn val="ctr"/>
        <c:lblOffset val="100"/>
        <c:noMultiLvlLbl val="0"/>
      </c:catAx>
      <c:valAx>
        <c:axId val="998448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8445632"/>
        <c:crossesAt val="1.0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Montserrat" panose="00000500000000000000" pitchFamily="50" charset="0"/>
              </a:rPr>
              <a:t>Public Benefits by NPV </a:t>
            </a:r>
          </a:p>
          <a:p>
            <a:pPr>
              <a:defRPr b="1">
                <a:latin typeface="Montserrat" panose="00000500000000000000" pitchFamily="50" charset="0"/>
              </a:defRPr>
            </a:pPr>
            <a:r>
              <a:rPr lang="en-US" b="1">
                <a:latin typeface="Montserrat" panose="00000500000000000000" pitchFamily="50" charset="0"/>
              </a:rPr>
              <a:t>of Cost / Foregone Revenue</a:t>
            </a:r>
          </a:p>
        </c:rich>
      </c:tx>
      <c:layout>
        <c:manualLayout>
          <c:xMode val="edge"/>
          <c:yMode val="edge"/>
          <c:x val="0.616233600634723"/>
          <c:y val="0.07187070540516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3736352113149"/>
          <c:y val="0.215806591607364"/>
          <c:w val="0.326480678874635"/>
          <c:h val="0.67980913385904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D15A5A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2F-4E78-A754-18E561B07F1D}"/>
              </c:ext>
            </c:extLst>
          </c:dPt>
          <c:dPt>
            <c:idx val="1"/>
            <c:bubble3D val="0"/>
            <c:spPr>
              <a:solidFill>
                <a:srgbClr val="87153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2F-4E78-A754-18E561B07F1D}"/>
              </c:ext>
            </c:extLst>
          </c:dPt>
          <c:dPt>
            <c:idx val="2"/>
            <c:bubble3D val="0"/>
            <c:spPr>
              <a:solidFill>
                <a:srgbClr val="6ABBD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2F-4E78-A754-18E561B07F1D}"/>
              </c:ext>
            </c:extLst>
          </c:dPt>
          <c:dPt>
            <c:idx val="3"/>
            <c:bubble3D val="0"/>
            <c:spPr>
              <a:solidFill>
                <a:srgbClr val="B7B7B7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12F-4E78-A754-18E561B07F1D}"/>
              </c:ext>
            </c:extLst>
          </c:dPt>
          <c:dPt>
            <c:idx val="4"/>
            <c:bubble3D val="0"/>
            <c:spPr>
              <a:solidFill>
                <a:srgbClr val="A89F5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12F-4E78-A754-18E561B07F1D}"/>
              </c:ext>
            </c:extLst>
          </c:dPt>
          <c:dPt>
            <c:idx val="5"/>
            <c:bubble3D val="0"/>
            <c:spPr>
              <a:solidFill>
                <a:srgbClr val="E1BE1D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12F-4E78-A754-18E561B07F1D}"/>
              </c:ext>
            </c:extLst>
          </c:dPt>
          <c:dLbls>
            <c:dLbl>
              <c:idx val="0"/>
              <c:layout>
                <c:manualLayout>
                  <c:x val="0.103396726801571"/>
                  <c:y val="-0.172236934897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12F-4E78-A754-18E561B07F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655631021268"/>
                  <c:y val="-0.2192106444151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12F-4E78-A754-18E561B07F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29715893623789"/>
                  <c:y val="0.1565790317251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12F-4E78-A754-18E561B07F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845973219285584"/>
                  <c:y val="0.199638265449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12F-4E78-A754-18E561B07F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88357202903161"/>
                  <c:y val="0.191809313863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12F-4E78-A754-18E561B07F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110916488750777"/>
                  <c:y val="-0.176151410690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12F-4E78-A754-18E561B07F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'Parcel Breakdown'!$B$33:$B$38</c:f>
              <c:strCache>
                <c:ptCount val="6"/>
                <c:pt idx="0">
                  <c:v>Sports Museum / Community Rec Center</c:v>
                </c:pt>
                <c:pt idx="1">
                  <c:v>STEM Charter School</c:v>
                </c:pt>
                <c:pt idx="2">
                  <c:v>Test Kitchen</c:v>
                </c:pt>
                <c:pt idx="3">
                  <c:v>New Transit Station</c:v>
                </c:pt>
                <c:pt idx="4">
                  <c:v>Public Park Space</c:v>
                </c:pt>
                <c:pt idx="5">
                  <c:v>Affordable Housing</c:v>
                </c:pt>
              </c:strCache>
            </c:strRef>
          </c:cat>
          <c:val>
            <c:numRef>
              <c:f>'Parcel Breakdown'!$G$33:$G$38</c:f>
              <c:numCache>
                <c:formatCode>"$"#,##0_);\("$"#,##0\)</c:formatCode>
                <c:ptCount val="6"/>
                <c:pt idx="0">
                  <c:v>8.18181818181818E6</c:v>
                </c:pt>
                <c:pt idx="1">
                  <c:v>4.66678001202315E6</c:v>
                </c:pt>
                <c:pt idx="2">
                  <c:v>1.65832310164782E6</c:v>
                </c:pt>
                <c:pt idx="3">
                  <c:v>2.48368529223662E6</c:v>
                </c:pt>
                <c:pt idx="4">
                  <c:v>1.66008233698981E7</c:v>
                </c:pt>
                <c:pt idx="5">
                  <c:v>7.24683695052066E6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12F-4E78-A754-18E561B07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8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257051812196"/>
          <c:y val="0.320948794957909"/>
          <c:w val="0.33742948187804"/>
          <c:h val="0.67898894330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'Public Benefits'!$B$3</c:f>
              <c:strCache>
                <c:ptCount val="1"/>
                <c:pt idx="0">
                  <c:v>Public Benefits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numFmt formatCode="[&gt;999999]\ #,,&quot;M&quot;;#,&quot;K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'Public Benefits'!$B$28:$B$34</c:f>
              <c:strCache>
                <c:ptCount val="7"/>
                <c:pt idx="0">
                  <c:v>Public Parks</c:v>
                </c:pt>
                <c:pt idx="1">
                  <c:v>New Transit Station</c:v>
                </c:pt>
                <c:pt idx="2">
                  <c:v>New Boat Docks</c:v>
                </c:pt>
                <c:pt idx="3">
                  <c:v>Sports Museum and Community Recreation Space</c:v>
                </c:pt>
                <c:pt idx="4">
                  <c:v>Value of Discounted Rent at Charter School</c:v>
                </c:pt>
                <c:pt idx="5">
                  <c:v>Value of Discounted Rent at Test Kitchen</c:v>
                </c:pt>
                <c:pt idx="6">
                  <c:v>Value of Discounted Rent in Affordable Units</c:v>
                </c:pt>
              </c:strCache>
            </c:strRef>
          </c:cat>
          <c:val>
            <c:numRef>
              <c:f>'Public Benefits'!$F$4:$F$10</c:f>
              <c:numCache>
                <c:formatCode>"$"#,##0_);\("$"#,##0\)</c:formatCode>
                <c:ptCount val="7"/>
                <c:pt idx="0">
                  <c:v>1.66008233698981E7</c:v>
                </c:pt>
                <c:pt idx="1">
                  <c:v>2.48368529223662E6</c:v>
                </c:pt>
                <c:pt idx="2">
                  <c:v>1.86276396917746E6</c:v>
                </c:pt>
                <c:pt idx="3">
                  <c:v>8.18181818181818E6</c:v>
                </c:pt>
                <c:pt idx="4">
                  <c:v>4.66678001202315E6</c:v>
                </c:pt>
                <c:pt idx="5">
                  <c:v>1.65832310164782E6</c:v>
                </c:pt>
                <c:pt idx="6">
                  <c:v>7.24683695052066E6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56-4538-B412-31A98320BBB9}"/>
            </c:ext>
          </c:extLst>
        </c:ser>
        <c:ser>
          <c:idx val="1"/>
          <c:order val="1"/>
          <c:tx>
            <c:strRef>
              <c:f>'Public Benefits'!$B$27</c:f>
              <c:strCache>
                <c:ptCount val="1"/>
                <c:pt idx="0">
                  <c:v>Public Benefit Expenditures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numFmt formatCode="[&gt;999999]\ #,,&quot;M&quot;;#,&quot;K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'Public Benefits'!$B$28:$B$34</c:f>
              <c:strCache>
                <c:ptCount val="7"/>
                <c:pt idx="0">
                  <c:v>Public Parks</c:v>
                </c:pt>
                <c:pt idx="1">
                  <c:v>New Transit Station</c:v>
                </c:pt>
                <c:pt idx="2">
                  <c:v>New Boat Docks</c:v>
                </c:pt>
                <c:pt idx="3">
                  <c:v>Sports Museum and Community Recreation Space</c:v>
                </c:pt>
                <c:pt idx="4">
                  <c:v>Value of Discounted Rent at Charter School</c:v>
                </c:pt>
                <c:pt idx="5">
                  <c:v>Value of Discounted Rent at Test Kitchen</c:v>
                </c:pt>
                <c:pt idx="6">
                  <c:v>Value of Discounted Rent in Affordable Units</c:v>
                </c:pt>
              </c:strCache>
            </c:strRef>
          </c:cat>
          <c:val>
            <c:numRef>
              <c:f>'Public Benefits'!$F$28:$F$34</c:f>
              <c:numCache>
                <c:formatCode>"$"#,##0_);\("$"#,##0\)</c:formatCode>
                <c:ptCount val="7"/>
                <c:pt idx="0">
                  <c:v>2.124E7</c:v>
                </c:pt>
                <c:pt idx="1">
                  <c:v>4.0E6</c:v>
                </c:pt>
                <c:pt idx="2">
                  <c:v>3.0E6</c:v>
                </c:pt>
                <c:pt idx="3">
                  <c:v>9.9E6</c:v>
                </c:pt>
                <c:pt idx="4">
                  <c:v>3.124171154016E6</c:v>
                </c:pt>
                <c:pt idx="5">
                  <c:v>1.793925E6</c:v>
                </c:pt>
                <c:pt idx="6">
                  <c:v>7.45670029857381E6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56-4538-B412-31A98320B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48906432"/>
        <c:axId val="960791952"/>
      </c:barChart>
      <c:catAx>
        <c:axId val="10489064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0791952"/>
        <c:crosses val="autoZero"/>
        <c:auto val="1"/>
        <c:lblAlgn val="ctr"/>
        <c:lblOffset val="100"/>
        <c:noMultiLvlLbl val="0"/>
      </c:catAx>
      <c:valAx>
        <c:axId val="960791952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\(&quot;$&quot;#,##0\)" sourceLinked="1"/>
        <c:majorTickMark val="none"/>
        <c:minorTickMark val="none"/>
        <c:tickLblPos val="nextTo"/>
        <c:crossAx val="104890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'S&amp;U'!$X$48:$Z$48</c:f>
              <c:strCache>
                <c:ptCount val="1"/>
                <c:pt idx="0">
                  <c:v>Construction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40-431B-84F6-25D13BFC6D18}"/>
              </c:ext>
            </c:extLst>
          </c:dPt>
          <c:dPt>
            <c:idx val="1"/>
            <c:bubble3D val="0"/>
            <c:spPr>
              <a:solidFill>
                <a:schemeClr val="accent2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40-431B-84F6-25D13BFC6D18}"/>
              </c:ext>
            </c:extLst>
          </c:dPt>
          <c:dPt>
            <c:idx val="2"/>
            <c:bubble3D val="0"/>
            <c:spPr>
              <a:solidFill>
                <a:schemeClr val="accent2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40-431B-84F6-25D13BFC6D18}"/>
              </c:ext>
            </c:extLst>
          </c:dPt>
          <c:dPt>
            <c:idx val="3"/>
            <c:bubble3D val="0"/>
            <c:spPr>
              <a:solidFill>
                <a:schemeClr val="accent2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40-431B-84F6-25D13BFC6D18}"/>
              </c:ext>
            </c:extLst>
          </c:dPt>
          <c:dPt>
            <c:idx val="4"/>
            <c:bubble3D val="0"/>
            <c:spPr>
              <a:solidFill>
                <a:schemeClr val="accent2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40-431B-84F6-25D13BFC6D18}"/>
              </c:ext>
            </c:extLst>
          </c:dPt>
          <c:dPt>
            <c:idx val="5"/>
            <c:bubble3D val="0"/>
            <c:spPr>
              <a:solidFill>
                <a:schemeClr val="accent2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540-431B-84F6-25D13BFC6D18}"/>
              </c:ext>
            </c:extLst>
          </c:dPt>
          <c:dPt>
            <c:idx val="6"/>
            <c:bubble3D val="0"/>
            <c:spPr>
              <a:solidFill>
                <a:schemeClr val="accent2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540-431B-84F6-25D13BFC6D18}"/>
              </c:ext>
            </c:extLst>
          </c:dPt>
          <c:dPt>
            <c:idx val="7"/>
            <c:bubble3D val="0"/>
            <c:spPr>
              <a:solidFill>
                <a:schemeClr val="accent2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540-431B-84F6-25D13BFC6D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'S&amp;U'!$U$51:$U$58</c:f>
              <c:strCache>
                <c:ptCount val="8"/>
                <c:pt idx="0">
                  <c:v>Senior Bank Loan</c:v>
                </c:pt>
                <c:pt idx="1">
                  <c:v>Senior EB-5 Loan</c:v>
                </c:pt>
                <c:pt idx="2">
                  <c:v>Senior IRB Loan</c:v>
                </c:pt>
                <c:pt idx="3">
                  <c:v>TIF Loan</c:v>
                </c:pt>
                <c:pt idx="4">
                  <c:v>LIHTC Equity</c:v>
                </c:pt>
                <c:pt idx="5">
                  <c:v>NMTC Equity</c:v>
                </c:pt>
                <c:pt idx="6">
                  <c:v>HTC Equity</c:v>
                </c:pt>
                <c:pt idx="7">
                  <c:v>Fund Equity</c:v>
                </c:pt>
              </c:strCache>
            </c:strRef>
          </c:cat>
          <c:val>
            <c:numRef>
              <c:f>'S&amp;U'!$W$51:$W$58</c:f>
              <c:numCache>
                <c:formatCode>"$"#,##0.0_);\("$"#,##0.0\)</c:formatCode>
                <c:ptCount val="8"/>
                <c:pt idx="0">
                  <c:v>611.3440747494734</c:v>
                </c:pt>
                <c:pt idx="1">
                  <c:v>0.0</c:v>
                </c:pt>
                <c:pt idx="2">
                  <c:v>0.0</c:v>
                </c:pt>
                <c:pt idx="3">
                  <c:v>182.0489164868032</c:v>
                </c:pt>
                <c:pt idx="4">
                  <c:v>32.17213292426045</c:v>
                </c:pt>
                <c:pt idx="5">
                  <c:v>11.0760000000624</c:v>
                </c:pt>
                <c:pt idx="6">
                  <c:v>3.256330767477236</c:v>
                </c:pt>
                <c:pt idx="7">
                  <c:v>179.0093363210457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540-431B-84F6-25D13BFC6D1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'S&amp;U'!$AC$48:$AE$48</c:f>
              <c:strCache>
                <c:ptCount val="1"/>
                <c:pt idx="0">
                  <c:v>Permanent</c:v>
                </c:pt>
              </c:strCache>
            </c:strRef>
          </c:tx>
          <c:dPt>
            <c:idx val="0"/>
            <c:bubble3D val="0"/>
            <c:spPr>
              <a:solidFill>
                <a:schemeClr val="accent2">
                  <a:shade val="4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CC-4EA7-ACE5-4116A63D3C21}"/>
              </c:ext>
            </c:extLst>
          </c:dPt>
          <c:dPt>
            <c:idx val="1"/>
            <c:bubble3D val="0"/>
            <c:spPr>
              <a:solidFill>
                <a:schemeClr val="accent2">
                  <a:shade val="61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CC-4EA7-ACE5-4116A63D3C21}"/>
              </c:ext>
            </c:extLst>
          </c:dPt>
          <c:dPt>
            <c:idx val="2"/>
            <c:bubble3D val="0"/>
            <c:spPr>
              <a:solidFill>
                <a:schemeClr val="accent2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CC-4EA7-ACE5-4116A63D3C21}"/>
              </c:ext>
            </c:extLst>
          </c:dPt>
          <c:dPt>
            <c:idx val="3"/>
            <c:bubble3D val="0"/>
            <c:spPr>
              <a:solidFill>
                <a:schemeClr val="accent2">
                  <a:shade val="9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CC-4EA7-ACE5-4116A63D3C21}"/>
              </c:ext>
            </c:extLst>
          </c:dPt>
          <c:dPt>
            <c:idx val="4"/>
            <c:bubble3D val="0"/>
            <c:spPr>
              <a:solidFill>
                <a:schemeClr val="accent2">
                  <a:tint val="9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CC-4EA7-ACE5-4116A63D3C21}"/>
              </c:ext>
            </c:extLst>
          </c:dPt>
          <c:dPt>
            <c:idx val="5"/>
            <c:bubble3D val="0"/>
            <c:spPr>
              <a:solidFill>
                <a:schemeClr val="accent2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CC-4EA7-ACE5-4116A63D3C21}"/>
              </c:ext>
            </c:extLst>
          </c:dPt>
          <c:dPt>
            <c:idx val="6"/>
            <c:bubble3D val="0"/>
            <c:spPr>
              <a:solidFill>
                <a:schemeClr val="accent2">
                  <a:tint val="62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CC-4EA7-ACE5-4116A63D3C21}"/>
              </c:ext>
            </c:extLst>
          </c:dPt>
          <c:dPt>
            <c:idx val="7"/>
            <c:bubble3D val="0"/>
            <c:spPr>
              <a:solidFill>
                <a:schemeClr val="accent2">
                  <a:tint val="4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CC-4EA7-ACE5-4116A63D3C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'S&amp;U'!$U$51:$U$58</c:f>
              <c:strCache>
                <c:ptCount val="8"/>
                <c:pt idx="0">
                  <c:v>Senior Bank Loan</c:v>
                </c:pt>
                <c:pt idx="1">
                  <c:v>Senior EB-5 Loan</c:v>
                </c:pt>
                <c:pt idx="2">
                  <c:v>Senior IRB Loan</c:v>
                </c:pt>
                <c:pt idx="3">
                  <c:v>TIF Loan</c:v>
                </c:pt>
                <c:pt idx="4">
                  <c:v>LIHTC Equity</c:v>
                </c:pt>
                <c:pt idx="5">
                  <c:v>NMTC Equity</c:v>
                </c:pt>
                <c:pt idx="6">
                  <c:v>HTC Equity</c:v>
                </c:pt>
                <c:pt idx="7">
                  <c:v>Fund Equity</c:v>
                </c:pt>
              </c:strCache>
            </c:strRef>
          </c:cat>
          <c:val>
            <c:numRef>
              <c:f>'S&amp;U'!$AB$51:$AB$58</c:f>
              <c:numCache>
                <c:formatCode>"$"#,##0.0_);\("$"#,##0.0\)</c:formatCode>
                <c:ptCount val="8"/>
                <c:pt idx="0">
                  <c:v>570.1044936801016</c:v>
                </c:pt>
                <c:pt idx="1">
                  <c:v>106.1563287209053</c:v>
                </c:pt>
                <c:pt idx="2">
                  <c:v>39.06536633029146</c:v>
                </c:pt>
                <c:pt idx="3">
                  <c:v>182.0489164868032</c:v>
                </c:pt>
                <c:pt idx="4">
                  <c:v>32.17213292426045</c:v>
                </c:pt>
                <c:pt idx="5">
                  <c:v>11.0760000000624</c:v>
                </c:pt>
                <c:pt idx="6">
                  <c:v>3.256330767477236</c:v>
                </c:pt>
                <c:pt idx="7">
                  <c:v>75.0272223392206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1CC-4EA7-ACE5-4116A63D3C2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00" b="1"/>
              <a:t>Public and Private Infrastructure Sources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89165098644834"/>
          <c:y val="0.133824171165667"/>
          <c:w val="0.375372435164288"/>
          <c:h val="0.60983816066730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F4-4793-9FCE-F7A139C460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F4-4793-9FCE-F7A139C460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6F4-4793-9FCE-F7A139C460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6F4-4793-9FCE-F7A139C46033}"/>
              </c:ext>
            </c:extLst>
          </c:dPt>
          <c:cat>
            <c:strRef>
              <c:f>Infra!$L$31:$L$34</c:f>
              <c:strCache>
                <c:ptCount val="4"/>
                <c:pt idx="0">
                  <c:v>Private Contributions</c:v>
                </c:pt>
                <c:pt idx="1">
                  <c:v>Cincinnati Foundation Grant1</c:v>
                </c:pt>
                <c:pt idx="2">
                  <c:v>City Parks &amp; Rec Budget</c:v>
                </c:pt>
                <c:pt idx="3">
                  <c:v>City Street Improvements Budget</c:v>
                </c:pt>
              </c:strCache>
            </c:strRef>
          </c:cat>
          <c:val>
            <c:numRef>
              <c:f>Infra!$N$31:$N$34</c:f>
              <c:numCache>
                <c:formatCode>"$"#,##0_);\("$"#,##0\)</c:formatCode>
                <c:ptCount val="4"/>
                <c:pt idx="0">
                  <c:v>7.48955361319149E7</c:v>
                </c:pt>
                <c:pt idx="1">
                  <c:v>5.0E6</c:v>
                </c:pt>
                <c:pt idx="2">
                  <c:v>699999.9999999998</c:v>
                </c:pt>
                <c:pt idx="3">
                  <c:v>1.7114E7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4D-4B24-BBDD-C027481E2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000456448325502339"/>
          <c:y val="0.756478872361383"/>
          <c:w val="0.99421352456964"/>
          <c:h val="0.2129084946947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'Loan Sizing'!$E$80</c:f>
              <c:strCache>
                <c:ptCount val="1"/>
                <c:pt idx="0">
                  <c:v>Yield-to-Cost</c:v>
                </c:pt>
              </c:strCache>
            </c:strRef>
          </c:tx>
          <c:spPr>
            <a:solidFill>
              <a:srgbClr val="871531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'Loan Sizing'!$B$81:$B$88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Sizing'!$E$81:$E$88</c:f>
              <c:numCache>
                <c:formatCode>0.0%</c:formatCode>
                <c:ptCount val="8"/>
                <c:pt idx="0">
                  <c:v>0.0126615152835062</c:v>
                </c:pt>
                <c:pt idx="1">
                  <c:v>0.0596277886383155</c:v>
                </c:pt>
                <c:pt idx="2">
                  <c:v>0.0733977174166929</c:v>
                </c:pt>
                <c:pt idx="3">
                  <c:v>0.101650610551137</c:v>
                </c:pt>
                <c:pt idx="4">
                  <c:v>0.0255250080773478</c:v>
                </c:pt>
                <c:pt idx="5">
                  <c:v>0.0801492709910665</c:v>
                </c:pt>
                <c:pt idx="6">
                  <c:v>0.0661773667238327</c:v>
                </c:pt>
                <c:pt idx="7">
                  <c:v>0.030301957342056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40-494B-B848-2F3B452C4600}"/>
            </c:ext>
          </c:extLst>
        </c:ser>
        <c:ser>
          <c:idx val="3"/>
          <c:order val="1"/>
          <c:tx>
            <c:strRef>
              <c:f>'Loan Sizing'!$F$80</c:f>
              <c:strCache>
                <c:ptCount val="1"/>
                <c:pt idx="0">
                  <c:v>Yield-to-Cost after Subsidies</c:v>
                </c:pt>
              </c:strCache>
            </c:strRef>
          </c:tx>
          <c:spPr>
            <a:solidFill>
              <a:srgbClr val="871531">
                <a:alpha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'Loan Sizing'!$B$81:$B$88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Sizing'!$F$81:$F$88</c:f>
              <c:numCache>
                <c:formatCode>0.0%</c:formatCode>
                <c:ptCount val="8"/>
                <c:pt idx="0">
                  <c:v>0.0326756128148713</c:v>
                </c:pt>
                <c:pt idx="1">
                  <c:v>0.0734813266305437</c:v>
                </c:pt>
                <c:pt idx="2">
                  <c:v>0.0893645563881354</c:v>
                </c:pt>
                <c:pt idx="3">
                  <c:v>0.12376354521918</c:v>
                </c:pt>
                <c:pt idx="4">
                  <c:v>0.0495067516027507</c:v>
                </c:pt>
                <c:pt idx="5">
                  <c:v>0.0975848336847615</c:v>
                </c:pt>
                <c:pt idx="6">
                  <c:v>0.0805735004896114</c:v>
                </c:pt>
                <c:pt idx="7">
                  <c:v>0.0368938036613816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40-494B-B848-2F3B452C4600}"/>
            </c:ext>
          </c:extLst>
        </c:ser>
        <c:ser>
          <c:idx val="4"/>
          <c:order val="2"/>
          <c:tx>
            <c:strRef>
              <c:f>'Loan Sizing'!$G$80</c:f>
              <c:strCache>
                <c:ptCount val="1"/>
                <c:pt idx="0">
                  <c:v>Exit Cap Rate</c:v>
                </c:pt>
              </c:strCache>
            </c:strRef>
          </c:tx>
          <c:spPr>
            <a:solidFill>
              <a:srgbClr val="871531"/>
            </a:solidFill>
            <a:ln>
              <a:noFill/>
            </a:ln>
            <a:effectLst/>
          </c:spPr>
          <c:invertIfNegative val="0"/>
          <c:cat>
            <c:strRef>
              <c:f>'Loan Sizing'!$B$81:$B$88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Sizing'!$G$81:$G$88</c:f>
              <c:numCache>
                <c:formatCode>0.0%</c:formatCode>
                <c:ptCount val="8"/>
                <c:pt idx="0">
                  <c:v>0.0575</c:v>
                </c:pt>
                <c:pt idx="1">
                  <c:v>0.055</c:v>
                </c:pt>
                <c:pt idx="2">
                  <c:v>0.065</c:v>
                </c:pt>
                <c:pt idx="3">
                  <c:v>0.08</c:v>
                </c:pt>
                <c:pt idx="4">
                  <c:v>0.0675</c:v>
                </c:pt>
                <c:pt idx="5">
                  <c:v>0.065</c:v>
                </c:pt>
                <c:pt idx="6">
                  <c:v>0.055</c:v>
                </c:pt>
                <c:pt idx="7">
                  <c:v>0.065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40-494B-B848-2F3B452C4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6481280"/>
        <c:axId val="916540864"/>
      </c:barChart>
      <c:catAx>
        <c:axId val="10064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6540864"/>
        <c:crosses val="autoZero"/>
        <c:auto val="1"/>
        <c:lblAlgn val="ctr"/>
        <c:lblOffset val="100"/>
        <c:noMultiLvlLbl val="0"/>
      </c:catAx>
      <c:valAx>
        <c:axId val="91654086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6481280"/>
        <c:crossesAt val="1.0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Montserrat" panose="00000500000000000000" pitchFamily="50" charset="0"/>
                <a:cs typeface="Arial" panose="020B0604020202020204" pitchFamily="34" charset="0"/>
              </a:rPr>
              <a:t>Project Breakdown by Gross SF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4427542008565"/>
          <c:y val="0.195988685512387"/>
          <c:w val="0.491145176840822"/>
          <c:h val="0.34957329305618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E1BE1D">
                  <a:alpha val="70000"/>
                </a:srgb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CD-4E08-B981-BF20889CBC0E}"/>
              </c:ext>
            </c:extLst>
          </c:dPt>
          <c:dPt>
            <c:idx val="1"/>
            <c:bubble3D val="0"/>
            <c:spPr>
              <a:solidFill>
                <a:srgbClr val="E1BE1D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CD-4E08-B981-BF20889CBC0E}"/>
              </c:ext>
            </c:extLst>
          </c:dPt>
          <c:dPt>
            <c:idx val="2"/>
            <c:bubble3D val="0"/>
            <c:spPr>
              <a:solidFill>
                <a:srgbClr val="B2325A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CD-4E08-B981-BF20889CBC0E}"/>
              </c:ext>
            </c:extLst>
          </c:dPt>
          <c:dPt>
            <c:idx val="3"/>
            <c:bubble3D val="0"/>
            <c:spPr>
              <a:solidFill>
                <a:srgbClr val="A17A9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CD-4E08-B981-BF20889CBC0E}"/>
              </c:ext>
            </c:extLst>
          </c:dPt>
          <c:dPt>
            <c:idx val="4"/>
            <c:bubble3D val="0"/>
            <c:spPr>
              <a:solidFill>
                <a:srgbClr val="D15A5A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4CD-4E08-B981-BF20889CBC0E}"/>
              </c:ext>
            </c:extLst>
          </c:dPt>
          <c:dPt>
            <c:idx val="5"/>
            <c:bubble3D val="0"/>
            <c:spPr>
              <a:solidFill>
                <a:srgbClr val="6ABBDB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4CD-4E08-B981-BF20889CBC0E}"/>
              </c:ext>
            </c:extLst>
          </c:dPt>
          <c:dPt>
            <c:idx val="6"/>
            <c:bubble3D val="0"/>
            <c:spPr>
              <a:solidFill>
                <a:srgbClr val="57748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54CD-4E08-B981-BF20889CBC0E}"/>
              </c:ext>
            </c:extLst>
          </c:dPt>
          <c:dPt>
            <c:idx val="7"/>
            <c:bubble3D val="0"/>
            <c:spPr>
              <a:solidFill>
                <a:srgbClr val="B7B7B7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54CD-4E08-B981-BF20889CBC0E}"/>
              </c:ext>
            </c:extLst>
          </c:dPt>
          <c:dLbls>
            <c:dLbl>
              <c:idx val="0"/>
              <c:layout>
                <c:manualLayout>
                  <c:x val="0.152393215189028"/>
                  <c:y val="-0.11318200933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4CD-4E08-B981-BF20889CBC0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00430206933396"/>
                  <c:y val="-0.064843859513944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Montserrat" panose="00000500000000000000" pitchFamily="50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4CD-4E08-B981-BF20889CBC0E}"/>
                </c:ext>
                <c:ext xmlns:c15="http://schemas.microsoft.com/office/drawing/2012/chart" uri="{CE6537A1-D6FC-4f65-9D91-7224C49458BB}">
                  <c15:layout>
                    <c:manualLayout>
                      <c:w val="0.209010607527734"/>
                      <c:h val="0.0827643443250715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.238528510730653"/>
                  <c:y val="0.0990342581667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4CD-4E08-B981-BF20889CBC0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298160638413316"/>
                  <c:y val="0.117897926388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4CD-4E08-B981-BF20889CBC0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39141631259547"/>
                  <c:y val="0.094318341111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4CD-4E08-B981-BF20889CBC0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02086654924581"/>
                  <c:y val="-0.0117897926388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4CD-4E08-B981-BF20889CBC0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245154302695393"/>
                  <c:y val="-0.08252854847229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4CD-4E08-B981-BF20889CBC0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132515839294807"/>
                  <c:y val="-0.115539967861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4CD-4E08-B981-BF20889CBC0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'Loan Sizing'!$B$81:$B$88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Sizing'!$H$70:$H$77</c:f>
              <c:numCache>
                <c:formatCode>#,##0_);\(#,##0\)</c:formatCode>
                <c:ptCount val="8"/>
                <c:pt idx="0">
                  <c:v>323241.0151111111</c:v>
                </c:pt>
                <c:pt idx="1">
                  <c:v>1.29296406044444E6</c:v>
                </c:pt>
                <c:pt idx="2">
                  <c:v>476705.0</c:v>
                </c:pt>
                <c:pt idx="3">
                  <c:v>358884.8133333333</c:v>
                </c:pt>
                <c:pt idx="4">
                  <c:v>157335.0</c:v>
                </c:pt>
                <c:pt idx="5">
                  <c:v>1.21810211111111E6</c:v>
                </c:pt>
                <c:pt idx="6">
                  <c:v>234630.0</c:v>
                </c:pt>
                <c:pt idx="7">
                  <c:v>387000.0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B2-451F-BD40-270E827F6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8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185851899463"/>
          <c:y val="0.650593992033071"/>
          <c:w val="0.675308803642829"/>
          <c:h val="0.3187525471057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'Loan Sizing'!$B$93</c:f>
              <c:strCache>
                <c:ptCount val="1"/>
                <c:pt idx="0">
                  <c:v>Levered IRR with Opportunity Zone</c:v>
                </c:pt>
              </c:strCache>
            </c:strRef>
          </c:tx>
          <c:spPr>
            <a:solidFill>
              <a:srgbClr val="871531">
                <a:alpha val="50196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Sizing'!$E$93</c:f>
              <c:numCache>
                <c:formatCode>0.0%</c:formatCode>
                <c:ptCount val="1"/>
                <c:pt idx="0">
                  <c:v>0.301160056151406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DD-4816-A7EF-60F6D419F023}"/>
            </c:ext>
          </c:extLst>
        </c:ser>
        <c:ser>
          <c:idx val="1"/>
          <c:order val="1"/>
          <c:tx>
            <c:strRef>
              <c:f>'Loan Sizing'!$B$92</c:f>
              <c:strCache>
                <c:ptCount val="1"/>
                <c:pt idx="0">
                  <c:v>Levered IRR without Opportunity Zone</c:v>
                </c:pt>
              </c:strCache>
            </c:strRef>
          </c:tx>
          <c:spPr>
            <a:solidFill>
              <a:srgbClr val="871531">
                <a:alpha val="74902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Sizing'!$E$92</c:f>
              <c:numCache>
                <c:formatCode>0.0%</c:formatCode>
                <c:ptCount val="1"/>
                <c:pt idx="0">
                  <c:v>0.220853443330291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DD-4816-A7EF-60F6D419F023}"/>
            </c:ext>
          </c:extLst>
        </c:ser>
        <c:ser>
          <c:idx val="2"/>
          <c:order val="2"/>
          <c:tx>
            <c:strRef>
              <c:f>'Loan Sizing'!$B$91</c:f>
              <c:strCache>
                <c:ptCount val="1"/>
                <c:pt idx="0">
                  <c:v>Unlevered IRR</c:v>
                </c:pt>
              </c:strCache>
            </c:strRef>
          </c:tx>
          <c:spPr>
            <a:solidFill>
              <a:srgbClr val="8715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0000500000000000000" pitchFamily="50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'Loan Sizing'!$E$91</c:f>
              <c:numCache>
                <c:formatCode>0.0%</c:formatCode>
                <c:ptCount val="1"/>
                <c:pt idx="0">
                  <c:v>0.129456601449283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9DD-4816-A7EF-60F6D419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62198272"/>
        <c:axId val="917427488"/>
      </c:barChart>
      <c:catAx>
        <c:axId val="962198272"/>
        <c:scaling>
          <c:orientation val="minMax"/>
        </c:scaling>
        <c:delete val="1"/>
        <c:axPos val="l"/>
        <c:majorTickMark val="none"/>
        <c:minorTickMark val="none"/>
        <c:tickLblPos val="nextTo"/>
        <c:crossAx val="917427488"/>
        <c:crosses val="autoZero"/>
        <c:auto val="1"/>
        <c:lblAlgn val="ctr"/>
        <c:lblOffset val="100"/>
        <c:noMultiLvlLbl val="0"/>
      </c:catAx>
      <c:valAx>
        <c:axId val="917427488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219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'Loan Sizing'!$E$80</c:f>
              <c:strCache>
                <c:ptCount val="1"/>
                <c:pt idx="0">
                  <c:v>Yield-to-Cost</c:v>
                </c:pt>
              </c:strCache>
            </c:strRef>
          </c:tx>
          <c:spPr>
            <a:solidFill>
              <a:srgbClr val="871531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'Loan Sizing'!$B$110:$B$117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Sizing'!$E$110:$E$117</c:f>
              <c:numCache>
                <c:formatCode>0.0%</c:formatCode>
                <c:ptCount val="8"/>
                <c:pt idx="0">
                  <c:v>0.0148762094174681</c:v>
                </c:pt>
                <c:pt idx="1">
                  <c:v>0.0586581289399211</c:v>
                </c:pt>
                <c:pt idx="2">
                  <c:v>0.0700005134451328</c:v>
                </c:pt>
                <c:pt idx="3">
                  <c:v>0.100558547329856</c:v>
                </c:pt>
                <c:pt idx="4">
                  <c:v>0.0104805401464748</c:v>
                </c:pt>
                <c:pt idx="5">
                  <c:v>0.0763918320198073</c:v>
                </c:pt>
                <c:pt idx="6">
                  <c:v>0.0</c:v>
                </c:pt>
                <c:pt idx="7">
                  <c:v>0.0232734879051181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8A-4BED-B8D0-3C30989A428A}"/>
            </c:ext>
          </c:extLst>
        </c:ser>
        <c:ser>
          <c:idx val="3"/>
          <c:order val="1"/>
          <c:tx>
            <c:strRef>
              <c:f>'Loan Sizing'!$F$80</c:f>
              <c:strCache>
                <c:ptCount val="1"/>
                <c:pt idx="0">
                  <c:v>Yield-to-Cost after Subsidies</c:v>
                </c:pt>
              </c:strCache>
            </c:strRef>
          </c:tx>
          <c:spPr>
            <a:solidFill>
              <a:srgbClr val="871531">
                <a:alpha val="75000"/>
              </a:srgbClr>
            </a:solidFill>
            <a:ln>
              <a:noFill/>
            </a:ln>
            <a:effectLst/>
          </c:spPr>
          <c:invertIfNegative val="0"/>
          <c:cat>
            <c:strRef>
              <c:f>'Loan Sizing'!$B$110:$B$117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Sizing'!$F$110:$F$117</c:f>
              <c:numCache>
                <c:formatCode>0.0%</c:formatCode>
                <c:ptCount val="8"/>
                <c:pt idx="0">
                  <c:v>0.0404396488763547</c:v>
                </c:pt>
                <c:pt idx="1">
                  <c:v>0.0743822734666995</c:v>
                </c:pt>
                <c:pt idx="2">
                  <c:v>0.0859568681582442</c:v>
                </c:pt>
                <c:pt idx="3">
                  <c:v>0.123480491350854</c:v>
                </c:pt>
                <c:pt idx="4">
                  <c:v>0.0211765940896756</c:v>
                </c:pt>
                <c:pt idx="5">
                  <c:v>0.0938050638505692</c:v>
                </c:pt>
                <c:pt idx="6">
                  <c:v>0.0</c:v>
                </c:pt>
                <c:pt idx="7">
                  <c:v>0.0285785922557661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8A-4BED-B8D0-3C30989A428A}"/>
            </c:ext>
          </c:extLst>
        </c:ser>
        <c:ser>
          <c:idx val="4"/>
          <c:order val="2"/>
          <c:tx>
            <c:strRef>
              <c:f>'Loan Sizing'!$G$80</c:f>
              <c:strCache>
                <c:ptCount val="1"/>
                <c:pt idx="0">
                  <c:v>Exit Cap Rate</c:v>
                </c:pt>
              </c:strCache>
            </c:strRef>
          </c:tx>
          <c:spPr>
            <a:solidFill>
              <a:srgbClr val="871531"/>
            </a:solidFill>
            <a:ln>
              <a:noFill/>
            </a:ln>
            <a:effectLst/>
          </c:spPr>
          <c:invertIfNegative val="0"/>
          <c:cat>
            <c:strRef>
              <c:f>'Loan Sizing'!$B$110:$B$117</c:f>
              <c:strCache>
                <c:ptCount val="8"/>
                <c:pt idx="0">
                  <c:v>Affordable Residential</c:v>
                </c:pt>
                <c:pt idx="1">
                  <c:v>Market Rate and WF Residential</c:v>
                </c:pt>
                <c:pt idx="2">
                  <c:v>Retail</c:v>
                </c:pt>
                <c:pt idx="3">
                  <c:v>Hotel</c:v>
                </c:pt>
                <c:pt idx="4">
                  <c:v>Community Facility</c:v>
                </c:pt>
                <c:pt idx="5">
                  <c:v>Office</c:v>
                </c:pt>
                <c:pt idx="6">
                  <c:v>Industrial</c:v>
                </c:pt>
                <c:pt idx="7">
                  <c:v>Parking</c:v>
                </c:pt>
              </c:strCache>
            </c:strRef>
          </c:cat>
          <c:val>
            <c:numRef>
              <c:f>'Loan Sizing'!$G$110:$G$117</c:f>
              <c:numCache>
                <c:formatCode>0.0%</c:formatCode>
                <c:ptCount val="8"/>
                <c:pt idx="0">
                  <c:v>0.0575</c:v>
                </c:pt>
                <c:pt idx="1">
                  <c:v>0.055</c:v>
                </c:pt>
                <c:pt idx="2">
                  <c:v>0.065</c:v>
                </c:pt>
                <c:pt idx="3">
                  <c:v>0.08</c:v>
                </c:pt>
                <c:pt idx="4">
                  <c:v>0.0675</c:v>
                </c:pt>
                <c:pt idx="5">
                  <c:v>0.065</c:v>
                </c:pt>
                <c:pt idx="6">
                  <c:v>0.0</c:v>
                </c:pt>
                <c:pt idx="7">
                  <c:v>0.065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8A-4BED-B8D0-3C30989A4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00814800"/>
        <c:axId val="1000781504"/>
      </c:barChart>
      <c:catAx>
        <c:axId val="100081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0781504"/>
        <c:crosses val="autoZero"/>
        <c:auto val="1"/>
        <c:lblAlgn val="ctr"/>
        <c:lblOffset val="100"/>
        <c:noMultiLvlLbl val="0"/>
      </c:catAx>
      <c:valAx>
        <c:axId val="100078150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0000500000000000000" pitchFamily="50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00814800"/>
        <c:crossesAt val="1.0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ontserrat" panose="00000500000000000000" pitchFamily="50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1" Type="http://schemas.openxmlformats.org/officeDocument/2006/relationships/chart" Target="../charts/chart16.xml"/><Relationship Id="rId12" Type="http://schemas.openxmlformats.org/officeDocument/2006/relationships/chart" Target="../charts/chart17.xml"/><Relationship Id="rId13" Type="http://schemas.openxmlformats.org/officeDocument/2006/relationships/chart" Target="../charts/chart18.xml"/><Relationship Id="rId1" Type="http://schemas.openxmlformats.org/officeDocument/2006/relationships/chart" Target="../charts/chart6.xml"/><Relationship Id="rId2" Type="http://schemas.openxmlformats.org/officeDocument/2006/relationships/chart" Target="../charts/chart7.xml"/><Relationship Id="rId3" Type="http://schemas.openxmlformats.org/officeDocument/2006/relationships/chart" Target="../charts/chart8.xml"/><Relationship Id="rId4" Type="http://schemas.openxmlformats.org/officeDocument/2006/relationships/chart" Target="../charts/chart9.xml"/><Relationship Id="rId5" Type="http://schemas.openxmlformats.org/officeDocument/2006/relationships/chart" Target="../charts/chart10.xml"/><Relationship Id="rId6" Type="http://schemas.openxmlformats.org/officeDocument/2006/relationships/chart" Target="../charts/chart11.xml"/><Relationship Id="rId7" Type="http://schemas.openxmlformats.org/officeDocument/2006/relationships/chart" Target="../charts/chart12.xml"/><Relationship Id="rId8" Type="http://schemas.openxmlformats.org/officeDocument/2006/relationships/chart" Target="../charts/chart13.xml"/><Relationship Id="rId9" Type="http://schemas.openxmlformats.org/officeDocument/2006/relationships/chart" Target="../charts/chart14.xml"/><Relationship Id="rId10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34638</xdr:colOff>
      <xdr:row>0</xdr:row>
      <xdr:rowOff>34636</xdr:rowOff>
    </xdr:from>
    <xdr:to>
      <xdr:col>2</xdr:col>
      <xdr:colOff>404093</xdr:colOff>
      <xdr:row>0</xdr:row>
      <xdr:rowOff>851968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38" y="34636"/>
          <a:ext cx="2563091" cy="8173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23091</xdr:colOff>
      <xdr:row>0</xdr:row>
      <xdr:rowOff>34637</xdr:rowOff>
    </xdr:from>
    <xdr:to>
      <xdr:col>1</xdr:col>
      <xdr:colOff>2586182</xdr:colOff>
      <xdr:row>0</xdr:row>
      <xdr:rowOff>851969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364" y="34637"/>
          <a:ext cx="2563091" cy="8173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577272</xdr:colOff>
      <xdr:row>39</xdr:row>
      <xdr:rowOff>117764</xdr:rowOff>
    </xdr:from>
    <xdr:to>
      <xdr:col>7</xdr:col>
      <xdr:colOff>968374</xdr:colOff>
      <xdr:row>55</xdr:row>
      <xdr:rowOff>150091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565727</xdr:colOff>
      <xdr:row>55</xdr:row>
      <xdr:rowOff>199159</xdr:rowOff>
    </xdr:from>
    <xdr:to>
      <xdr:col>7</xdr:col>
      <xdr:colOff>971260</xdr:colOff>
      <xdr:row>72</xdr:row>
      <xdr:rowOff>25111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42332</xdr:colOff>
      <xdr:row>59</xdr:row>
      <xdr:rowOff>169334</xdr:rowOff>
    </xdr:from>
    <xdr:to>
      <xdr:col>25</xdr:col>
      <xdr:colOff>776111</xdr:colOff>
      <xdr:row>76</xdr:row>
      <xdr:rowOff>112889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</xdr:colOff>
      <xdr:row>59</xdr:row>
      <xdr:rowOff>169334</xdr:rowOff>
    </xdr:from>
    <xdr:to>
      <xdr:col>32</xdr:col>
      <xdr:colOff>1044224</xdr:colOff>
      <xdr:row>76</xdr:row>
      <xdr:rowOff>112889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864097</xdr:colOff>
      <xdr:row>30</xdr:row>
      <xdr:rowOff>16685</xdr:rowOff>
    </xdr:from>
    <xdr:to>
      <xdr:col>19</xdr:col>
      <xdr:colOff>286372</xdr:colOff>
      <xdr:row>45</xdr:row>
      <xdr:rowOff>161864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949804E-A74B-4E6A-ADE3-64F75992E3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981363</xdr:colOff>
      <xdr:row>69</xdr:row>
      <xdr:rowOff>69273</xdr:rowOff>
    </xdr:from>
    <xdr:to>
      <xdr:col>14</xdr:col>
      <xdr:colOff>923635</xdr:colOff>
      <xdr:row>85</xdr:row>
      <xdr:rowOff>46182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854363</xdr:colOff>
      <xdr:row>69</xdr:row>
      <xdr:rowOff>47770</xdr:rowOff>
    </xdr:from>
    <xdr:to>
      <xdr:col>17</xdr:col>
      <xdr:colOff>1789545</xdr:colOff>
      <xdr:row>95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161637</xdr:colOff>
      <xdr:row>84</xdr:row>
      <xdr:rowOff>187036</xdr:rowOff>
    </xdr:from>
    <xdr:to>
      <xdr:col>14</xdr:col>
      <xdr:colOff>819728</xdr:colOff>
      <xdr:row>95</xdr:row>
      <xdr:rowOff>173181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981363</xdr:colOff>
      <xdr:row>98</xdr:row>
      <xdr:rowOff>69273</xdr:rowOff>
    </xdr:from>
    <xdr:to>
      <xdr:col>14</xdr:col>
      <xdr:colOff>923635</xdr:colOff>
      <xdr:row>114</xdr:row>
      <xdr:rowOff>46182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854363</xdr:colOff>
      <xdr:row>98</xdr:row>
      <xdr:rowOff>47770</xdr:rowOff>
    </xdr:from>
    <xdr:to>
      <xdr:col>17</xdr:col>
      <xdr:colOff>1789545</xdr:colOff>
      <xdr:row>124</xdr:row>
      <xdr:rowOff>127000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161637</xdr:colOff>
      <xdr:row>113</xdr:row>
      <xdr:rowOff>187036</xdr:rowOff>
    </xdr:from>
    <xdr:to>
      <xdr:col>14</xdr:col>
      <xdr:colOff>819728</xdr:colOff>
      <xdr:row>124</xdr:row>
      <xdr:rowOff>173181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981363</xdr:colOff>
      <xdr:row>127</xdr:row>
      <xdr:rowOff>69273</xdr:rowOff>
    </xdr:from>
    <xdr:to>
      <xdr:col>14</xdr:col>
      <xdr:colOff>923635</xdr:colOff>
      <xdr:row>143</xdr:row>
      <xdr:rowOff>46182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854363</xdr:colOff>
      <xdr:row>127</xdr:row>
      <xdr:rowOff>47770</xdr:rowOff>
    </xdr:from>
    <xdr:to>
      <xdr:col>17</xdr:col>
      <xdr:colOff>1789545</xdr:colOff>
      <xdr:row>153</xdr:row>
      <xdr:rowOff>127000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161637</xdr:colOff>
      <xdr:row>142</xdr:row>
      <xdr:rowOff>187036</xdr:rowOff>
    </xdr:from>
    <xdr:to>
      <xdr:col>14</xdr:col>
      <xdr:colOff>819728</xdr:colOff>
      <xdr:row>153</xdr:row>
      <xdr:rowOff>173181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981363</xdr:colOff>
      <xdr:row>156</xdr:row>
      <xdr:rowOff>69273</xdr:rowOff>
    </xdr:from>
    <xdr:to>
      <xdr:col>14</xdr:col>
      <xdr:colOff>923635</xdr:colOff>
      <xdr:row>172</xdr:row>
      <xdr:rowOff>46182</xdr:rowOff>
    </xdr:to>
    <xdr:graphicFrame macro="">
      <xdr:nvGraphicFramePr>
        <xdr:cNvPr id="16" name="Chart 15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854363</xdr:colOff>
      <xdr:row>156</xdr:row>
      <xdr:rowOff>47770</xdr:rowOff>
    </xdr:from>
    <xdr:to>
      <xdr:col>17</xdr:col>
      <xdr:colOff>1789545</xdr:colOff>
      <xdr:row>182</xdr:row>
      <xdr:rowOff>127000</xdr:rowOff>
    </xdr:to>
    <xdr:graphicFrame macro="">
      <xdr:nvGraphicFramePr>
        <xdr:cNvPr id="17" name="Chart 16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161637</xdr:colOff>
      <xdr:row>171</xdr:row>
      <xdr:rowOff>187036</xdr:rowOff>
    </xdr:from>
    <xdr:to>
      <xdr:col>14</xdr:col>
      <xdr:colOff>819728</xdr:colOff>
      <xdr:row>182</xdr:row>
      <xdr:rowOff>173181</xdr:rowOff>
    </xdr:to>
    <xdr:graphicFrame macro="">
      <xdr:nvGraphicFramePr>
        <xdr:cNvPr id="18" name="Chart 17">
          <a:extLs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546100</xdr:colOff>
      <xdr:row>82</xdr:row>
      <xdr:rowOff>158750</xdr:rowOff>
    </xdr:from>
    <xdr:to>
      <xdr:col>24</xdr:col>
      <xdr:colOff>419100</xdr:colOff>
      <xdr:row>96</xdr:row>
      <xdr:rowOff>57150</xdr:rowOff>
    </xdr:to>
    <xdr:graphicFrame macro="">
      <xdr:nvGraphicFramePr>
        <xdr:cNvPr id="22" name="Chart 21">
          <a:extLst>
            <a:ext uri="{FF2B5EF4-FFF2-40B4-BE49-F238E27FC236}">
              <a16:creationId xmlns="" xmlns:a16="http://schemas.microsoft.com/office/drawing/2014/main" id="{00000000-0008-0000-09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43542</xdr:colOff>
      <xdr:row>15</xdr:row>
      <xdr:rowOff>117021</xdr:rowOff>
    </xdr:from>
    <xdr:to>
      <xdr:col>12</xdr:col>
      <xdr:colOff>121595</xdr:colOff>
      <xdr:row>27</xdr:row>
      <xdr:rowOff>55336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EDB15664-3983-4571-BD23-3B3368DE3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269874</xdr:colOff>
      <xdr:row>48</xdr:row>
      <xdr:rowOff>17463</xdr:rowOff>
    </xdr:from>
    <xdr:to>
      <xdr:col>10</xdr:col>
      <xdr:colOff>666750</xdr:colOff>
      <xdr:row>68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  <pageSetUpPr fitToPage="1"/>
  </sheetPr>
  <dimension ref="B1:P148"/>
  <sheetViews>
    <sheetView showGridLines="0" showWhiteSpace="0" view="pageBreakPreview" topLeftCell="E114" zoomScale="110" zoomScaleNormal="70" zoomScaleSheetLayoutView="110" workbookViewId="0">
      <selection activeCell="W136" sqref="W136"/>
    </sheetView>
  </sheetViews>
  <sheetFormatPr baseColWidth="10" defaultColWidth="9.1640625" defaultRowHeight="14.25" customHeight="1" outlineLevelRow="1" x14ac:dyDescent="0.2"/>
  <cols>
    <col min="1" max="1" width="5" style="389" customWidth="1"/>
    <col min="2" max="2" width="31.5" style="229" customWidth="1"/>
    <col min="3" max="3" width="25.83203125" style="229" customWidth="1"/>
    <col min="4" max="4" width="14.5" style="250" customWidth="1"/>
    <col min="5" max="5" width="15.5" style="229" customWidth="1"/>
    <col min="6" max="6" width="15.5" style="229" bestFit="1" customWidth="1"/>
    <col min="7" max="7" width="15" style="229" bestFit="1" customWidth="1"/>
    <col min="8" max="8" width="15.5" style="229" bestFit="1" customWidth="1"/>
    <col min="9" max="9" width="16.5" style="229" customWidth="1"/>
    <col min="10" max="10" width="17.1640625" style="229" customWidth="1"/>
    <col min="11" max="11" width="14" style="229" bestFit="1" customWidth="1"/>
    <col min="12" max="13" width="13.83203125" style="229" bestFit="1" customWidth="1"/>
    <col min="14" max="14" width="16.83203125" style="229" bestFit="1" customWidth="1"/>
    <col min="15" max="15" width="5.83203125" style="389" customWidth="1"/>
    <col min="16" max="16" width="18" style="389" bestFit="1" customWidth="1"/>
    <col min="17" max="16384" width="9.1640625" style="389"/>
  </cols>
  <sheetData>
    <row r="1" spans="2:16" ht="95.25" customHeight="1" x14ac:dyDescent="0.2"/>
    <row r="2" spans="2:16" ht="19" customHeight="1" x14ac:dyDescent="0.2">
      <c r="B2" s="316" t="s">
        <v>732</v>
      </c>
      <c r="D2" s="706"/>
    </row>
    <row r="3" spans="2:16" ht="19" customHeight="1" x14ac:dyDescent="0.2">
      <c r="B3" s="316"/>
      <c r="D3" s="706"/>
    </row>
    <row r="4" spans="2:16" s="579" customFormat="1" ht="19" customHeight="1" x14ac:dyDescent="0.2">
      <c r="B4" s="36" t="s">
        <v>22</v>
      </c>
      <c r="C4" s="37"/>
      <c r="D4" s="37"/>
      <c r="E4" s="36"/>
      <c r="F4" s="45"/>
      <c r="G4" s="45"/>
      <c r="H4" s="45"/>
      <c r="I4" s="1000"/>
      <c r="J4" s="1000"/>
      <c r="K4" s="1000"/>
      <c r="L4" s="1000"/>
      <c r="M4" s="1000"/>
      <c r="N4" s="1000"/>
    </row>
    <row r="5" spans="2:16" ht="19" customHeight="1" x14ac:dyDescent="0.2">
      <c r="B5" s="228"/>
      <c r="C5" s="228"/>
      <c r="D5" s="281" t="s">
        <v>21</v>
      </c>
      <c r="F5" s="276" t="s">
        <v>375</v>
      </c>
      <c r="G5" s="263"/>
      <c r="H5" s="271" t="s">
        <v>378</v>
      </c>
      <c r="I5" s="263"/>
      <c r="J5" s="263"/>
      <c r="K5" s="263"/>
      <c r="L5" s="263"/>
      <c r="M5" s="263"/>
      <c r="N5" s="285" t="s">
        <v>428</v>
      </c>
    </row>
    <row r="6" spans="2:16" ht="19" customHeight="1" x14ac:dyDescent="0.2">
      <c r="B6" s="231"/>
      <c r="C6" s="231"/>
      <c r="D6" s="282" t="s">
        <v>54</v>
      </c>
      <c r="E6" s="232">
        <v>2021</v>
      </c>
      <c r="F6" s="277">
        <f>E6+1</f>
        <v>2022</v>
      </c>
      <c r="G6" s="232">
        <f t="shared" ref="G6:L6" si="0">F6+1</f>
        <v>2023</v>
      </c>
      <c r="H6" s="272">
        <f t="shared" si="0"/>
        <v>2024</v>
      </c>
      <c r="I6" s="232">
        <f t="shared" si="0"/>
        <v>2025</v>
      </c>
      <c r="J6" s="232">
        <f t="shared" si="0"/>
        <v>2026</v>
      </c>
      <c r="K6" s="232">
        <f t="shared" si="0"/>
        <v>2027</v>
      </c>
      <c r="L6" s="232">
        <f t="shared" si="0"/>
        <v>2028</v>
      </c>
      <c r="M6" s="232">
        <f>L6+1</f>
        <v>2029</v>
      </c>
      <c r="N6" s="286">
        <f>M6+1</f>
        <v>2030</v>
      </c>
    </row>
    <row r="7" spans="2:16" ht="19" customHeight="1" x14ac:dyDescent="0.2">
      <c r="B7" s="231"/>
      <c r="C7" s="231"/>
      <c r="D7" s="282">
        <v>2020</v>
      </c>
      <c r="E7" s="232">
        <f>+D7+1</f>
        <v>2021</v>
      </c>
      <c r="F7" s="277">
        <f t="shared" ref="F7:M7" si="1">+E7+1</f>
        <v>2022</v>
      </c>
      <c r="G7" s="232">
        <f t="shared" si="1"/>
        <v>2023</v>
      </c>
      <c r="H7" s="272">
        <f t="shared" si="1"/>
        <v>2024</v>
      </c>
      <c r="I7" s="232">
        <f t="shared" si="1"/>
        <v>2025</v>
      </c>
      <c r="J7" s="232">
        <f t="shared" si="1"/>
        <v>2026</v>
      </c>
      <c r="K7" s="232">
        <f t="shared" si="1"/>
        <v>2027</v>
      </c>
      <c r="L7" s="232">
        <f t="shared" si="1"/>
        <v>2028</v>
      </c>
      <c r="M7" s="232">
        <f t="shared" si="1"/>
        <v>2029</v>
      </c>
      <c r="N7" s="286">
        <f>+M7+1</f>
        <v>2030</v>
      </c>
    </row>
    <row r="8" spans="2:16" ht="19" customHeight="1" x14ac:dyDescent="0.2">
      <c r="B8" s="269" t="s">
        <v>0</v>
      </c>
      <c r="C8" s="264"/>
      <c r="D8" s="282"/>
      <c r="E8" s="255"/>
      <c r="F8" s="278"/>
      <c r="G8" s="255"/>
      <c r="H8" s="273"/>
      <c r="I8" s="255"/>
      <c r="J8" s="255"/>
      <c r="K8" s="255"/>
      <c r="L8" s="255"/>
      <c r="M8" s="260"/>
      <c r="N8" s="287"/>
    </row>
    <row r="9" spans="2:16" ht="19" customHeight="1" x14ac:dyDescent="0.2">
      <c r="B9" s="291" t="s">
        <v>934</v>
      </c>
      <c r="C9" s="292"/>
      <c r="D9" s="283">
        <f ca="1">+SUMIF('Phase I Pro Forma'!$F$6:$Z$6,'Official Summary'!D$7,'Phase I Pro Forma'!$F$49:$Z$49)+SUMIF('Phase II Pro Forma'!$F$6:$Z$6,'Official Summary'!D$7,'Phase II Pro Forma'!$F$49:$Z$49)+SUMIF('Phase III Pro Forma'!$F$6:$Z$6,'Official Summary'!D$7,'Phase III Pro Forma'!$F$49:$Z$49)</f>
        <v>0</v>
      </c>
      <c r="E9" s="265">
        <f ca="1">+SUMIF('Phase I Pro Forma'!$F$6:$Z$6,'Official Summary'!E$7,'Phase I Pro Forma'!$F$49:$Z$49)+SUMIF('Phase II Pro Forma'!$F$6:$Z$6,'Official Summary'!E$7,'Phase II Pro Forma'!$F$49:$Z$49)+SUMIF('Phase III Pro Forma'!$F$6:$Z$6,'Official Summary'!E$7,'Phase III Pro Forma'!$F$49:$Z$49)</f>
        <v>0</v>
      </c>
      <c r="F9" s="279">
        <f ca="1">+SUMIF('Phase I Pro Forma'!$F$6:$Z$6,'Official Summary'!F$7,'Phase I Pro Forma'!$F$49:$Z$49)+SUMIF('Phase II Pro Forma'!$F$6:$Z$6,'Official Summary'!F$7,'Phase II Pro Forma'!$F$49:$Z$49)+SUMIF('Phase III Pro Forma'!$F$6:$Z$6,'Official Summary'!F$7,'Phase III Pro Forma'!$F$49:$Z$49)</f>
        <v>0</v>
      </c>
      <c r="G9" s="265">
        <f ca="1">+SUMIF('Phase I Pro Forma'!$F$6:$Z$6,'Official Summary'!G$7,'Phase I Pro Forma'!$F$49:$Z$49)+SUMIF('Phase II Pro Forma'!$F$6:$Z$6,'Official Summary'!G$7,'Phase II Pro Forma'!$F$49:$Z$49)+SUMIF('Phase III Pro Forma'!$F$6:$Z$6,'Official Summary'!G$7,'Phase III Pro Forma'!$F$49:$Z$49)</f>
        <v>3454042.4709418081</v>
      </c>
      <c r="H9" s="274">
        <f ca="1">+SUMIF('Phase I Pro Forma'!$F$6:$Z$6,'Official Summary'!H$7,'Phase I Pro Forma'!$F$49:$Z$49)+SUMIF('Phase II Pro Forma'!$F$6:$Z$6,'Official Summary'!H$7,'Phase II Pro Forma'!$F$49:$Z$49)+SUMIF('Phase III Pro Forma'!$F$6:$Z$6,'Official Summary'!H$7,'Phase III Pro Forma'!$F$49:$Z$49)</f>
        <v>7130434.8110135663</v>
      </c>
      <c r="I9" s="265">
        <f ca="1">+SUMIF('Phase I Pro Forma'!$F$6:$Z$6,'Official Summary'!I$7,'Phase I Pro Forma'!$F$49:$Z$49)+SUMIF('Phase II Pro Forma'!$F$6:$Z$6,'Official Summary'!I$7,'Phase II Pro Forma'!$F$49:$Z$49)+SUMIF('Phase III Pro Forma'!$F$6:$Z$6,'Official Summary'!I$7,'Phase III Pro Forma'!$F$49:$Z$49)</f>
        <v>9906162.6587533876</v>
      </c>
      <c r="J9" s="265">
        <f ca="1">+SUMIF('Phase I Pro Forma'!$F$6:$Z$6,'Official Summary'!J$7,'Phase I Pro Forma'!$F$49:$Z$49)+SUMIF('Phase II Pro Forma'!$F$6:$Z$6,'Official Summary'!J$7,'Phase II Pro Forma'!$F$49:$Z$49)+SUMIF('Phase III Pro Forma'!$F$6:$Z$6,'Official Summary'!J$7,'Phase III Pro Forma'!$F$49:$Z$49)</f>
        <v>12851141.071732849</v>
      </c>
      <c r="K9" s="265">
        <f ca="1">+SUMIF('Phase I Pro Forma'!$F$6:$Z$6,'Official Summary'!K$7,'Phase I Pro Forma'!$F$49:$Z$49)+SUMIF('Phase II Pro Forma'!$F$6:$Z$6,'Official Summary'!K$7,'Phase II Pro Forma'!$F$49:$Z$49)+SUMIF('Phase III Pro Forma'!$F$6:$Z$6,'Official Summary'!K$7,'Phase III Pro Forma'!$F$49:$Z$49)</f>
        <v>16535200.589811482</v>
      </c>
      <c r="L9" s="265">
        <f ca="1">+SUMIF('Phase I Pro Forma'!$F$6:$Z$6,'Official Summary'!L$7,'Phase I Pro Forma'!$F$49:$Z$49)+SUMIF('Phase II Pro Forma'!$F$6:$Z$6,'Official Summary'!L$7,'Phase II Pro Forma'!$F$49:$Z$49)+SUMIF('Phase III Pro Forma'!$F$6:$Z$6,'Official Summary'!L$7,'Phase III Pro Forma'!$F$49:$Z$49)</f>
        <v>20494166.399796732</v>
      </c>
      <c r="M9" s="265">
        <f ca="1">+SUMIF('Phase I Pro Forma'!$F$6:$Z$6,'Official Summary'!M$7,'Phase I Pro Forma'!$F$49:$Z$49)+SUMIF('Phase II Pro Forma'!$F$6:$Z$6,'Official Summary'!M$7,'Phase II Pro Forma'!$F$49:$Z$49)+SUMIF('Phase III Pro Forma'!$F$6:$Z$6,'Official Summary'!M$7,'Phase III Pro Forma'!$F$49:$Z$49)</f>
        <v>21247753.481389966</v>
      </c>
      <c r="N9" s="288">
        <f ca="1">+SUMIF('Phase I Pro Forma'!$F$6:$Z$6,'Official Summary'!N$7,'Phase I Pro Forma'!$F$49:$Z$49)+SUMIF('Phase II Pro Forma'!$F$6:$Z$6,'Official Summary'!N$7,'Phase II Pro Forma'!$F$49:$Z$49)+SUMIF('Phase III Pro Forma'!$F$6:$Z$6,'Official Summary'!N$7,'Phase III Pro Forma'!$F$49:$Z$49)</f>
        <v>22009068.894462693</v>
      </c>
    </row>
    <row r="10" spans="2:16" ht="19" customHeight="1" x14ac:dyDescent="0.2">
      <c r="B10" s="291" t="s">
        <v>921</v>
      </c>
      <c r="C10" s="292"/>
      <c r="D10" s="284" t="s">
        <v>491</v>
      </c>
      <c r="E10" s="259" t="s">
        <v>491</v>
      </c>
      <c r="F10" s="280" t="s">
        <v>491</v>
      </c>
      <c r="G10" s="259" t="s">
        <v>491</v>
      </c>
      <c r="H10" s="275" t="s">
        <v>491</v>
      </c>
      <c r="I10" s="259" t="s">
        <v>491</v>
      </c>
      <c r="J10" s="259" t="s">
        <v>491</v>
      </c>
      <c r="K10" s="259" t="s">
        <v>491</v>
      </c>
      <c r="L10" s="259" t="s">
        <v>491</v>
      </c>
      <c r="M10" s="259" t="s">
        <v>491</v>
      </c>
      <c r="N10" s="289" t="s">
        <v>491</v>
      </c>
    </row>
    <row r="11" spans="2:16" ht="19" customHeight="1" x14ac:dyDescent="0.2">
      <c r="B11" s="291" t="s">
        <v>424</v>
      </c>
      <c r="C11" s="292"/>
      <c r="D11" s="284">
        <f ca="1">+SUMIF('Phase I Pro Forma'!$F$6:$Z$6,'Official Summary'!D$7,'Phase I Pro Forma'!$F$26:$Z$26)+SUMIF('Phase II Pro Forma'!$F$6:$Z$6,'Official Summary'!D$7,'Phase II Pro Forma'!$F$26:$Z$26)+SUMIF('Phase III Pro Forma'!$F$6:$Z$6,'Official Summary'!D$7,'Phase III Pro Forma'!$F$26:$Z$26)</f>
        <v>0</v>
      </c>
      <c r="E11" s="259">
        <f ca="1">+SUMIF('Phase I Pro Forma'!$F$6:$Z$6,'Official Summary'!E$7,'Phase I Pro Forma'!$F$26:$Z$26)+SUMIF('Phase II Pro Forma'!$F$6:$Z$6,'Official Summary'!E$7,'Phase II Pro Forma'!$F$26:$Z$26)+SUMIF('Phase III Pro Forma'!$F$6:$Z$6,'Official Summary'!E$7,'Phase III Pro Forma'!$F$26:$Z$26)</f>
        <v>0</v>
      </c>
      <c r="F11" s="280">
        <f ca="1">+SUMIF('Phase I Pro Forma'!$F$6:$Z$6,'Official Summary'!F$7,'Phase I Pro Forma'!$F$26:$Z$26)+SUMIF('Phase II Pro Forma'!$F$6:$Z$6,'Official Summary'!F$7,'Phase II Pro Forma'!$F$26:$Z$26)+SUMIF('Phase III Pro Forma'!$F$6:$Z$6,'Official Summary'!F$7,'Phase III Pro Forma'!$F$26:$Z$26)</f>
        <v>0</v>
      </c>
      <c r="G11" s="259">
        <f ca="1">+SUMIF('Phase I Pro Forma'!$F$6:$Z$6,'Official Summary'!G$7,'Phase I Pro Forma'!$F$26:$Z$26)+SUMIF('Phase II Pro Forma'!$F$6:$Z$6,'Official Summary'!G$7,'Phase II Pro Forma'!$F$26:$Z$26)+SUMIF('Phase III Pro Forma'!$F$6:$Z$6,'Official Summary'!G$7,'Phase III Pro Forma'!$F$26:$Z$26)</f>
        <v>213092.90858120978</v>
      </c>
      <c r="H11" s="275">
        <f ca="1">+SUMIF('Phase I Pro Forma'!$F$6:$Z$6,'Official Summary'!H$7,'Phase I Pro Forma'!$F$26:$Z$26)+SUMIF('Phase II Pro Forma'!$F$6:$Z$6,'Official Summary'!H$7,'Phase II Pro Forma'!$F$26:$Z$26)+SUMIF('Phase III Pro Forma'!$F$6:$Z$6,'Official Summary'!H$7,'Phase III Pro Forma'!$F$26:$Z$26)</f>
        <v>425054.96217634692</v>
      </c>
      <c r="I11" s="259">
        <f ca="1">+SUMIF('Phase I Pro Forma'!$F$6:$Z$6,'Official Summary'!I$7,'Phase I Pro Forma'!$F$26:$Z$26)+SUMIF('Phase II Pro Forma'!$F$6:$Z$6,'Official Summary'!I$7,'Phase II Pro Forma'!$F$26:$Z$26)+SUMIF('Phase III Pro Forma'!$F$6:$Z$6,'Official Summary'!I$7,'Phase III Pro Forma'!$F$26:$Z$26)</f>
        <v>537588.21099721466</v>
      </c>
      <c r="J11" s="259">
        <f ca="1">+SUMIF('Phase I Pro Forma'!$F$6:$Z$6,'Official Summary'!J$7,'Phase I Pro Forma'!$F$26:$Z$26)+SUMIF('Phase II Pro Forma'!$F$6:$Z$6,'Official Summary'!J$7,'Phase II Pro Forma'!$F$26:$Z$26)+SUMIF('Phase III Pro Forma'!$F$6:$Z$6,'Official Summary'!J$7,'Phase III Pro Forma'!$F$26:$Z$26)</f>
        <v>647385.97384071618</v>
      </c>
      <c r="K11" s="259">
        <f ca="1">+SUMIF('Phase I Pro Forma'!$F$6:$Z$6,'Official Summary'!K$7,'Phase I Pro Forma'!$F$26:$Z$26)+SUMIF('Phase II Pro Forma'!$F$6:$Z$6,'Official Summary'!K$7,'Phase II Pro Forma'!$F$26:$Z$26)+SUMIF('Phase III Pro Forma'!$F$6:$Z$6,'Official Summary'!K$7,'Phase III Pro Forma'!$F$26:$Z$26)</f>
        <v>791728.48430505954</v>
      </c>
      <c r="L11" s="259">
        <f ca="1">+SUMIF('Phase I Pro Forma'!$F$6:$Z$6,'Official Summary'!L$7,'Phase I Pro Forma'!$F$26:$Z$26)+SUMIF('Phase II Pro Forma'!$F$6:$Z$6,'Official Summary'!L$7,'Phase II Pro Forma'!$F$26:$Z$26)+SUMIF('Phase III Pro Forma'!$F$6:$Z$6,'Official Summary'!L$7,'Phase III Pro Forma'!$F$26:$Z$26)</f>
        <v>932664.06328260375</v>
      </c>
      <c r="M11" s="259">
        <f ca="1">+SUMIF('Phase I Pro Forma'!$F$6:$Z$6,'Official Summary'!M$7,'Phase I Pro Forma'!$F$26:$Z$26)+SUMIF('Phase II Pro Forma'!$F$6:$Z$6,'Official Summary'!M$7,'Phase II Pro Forma'!$F$26:$Z$26)+SUMIF('Phase III Pro Forma'!$F$6:$Z$6,'Official Summary'!M$7,'Phase III Pro Forma'!$F$26:$Z$26)</f>
        <v>925401.51676071191</v>
      </c>
      <c r="N11" s="289">
        <f ca="1">+SUMIF('Phase I Pro Forma'!$F$6:$Z$6,'Official Summary'!N$7,'Phase I Pro Forma'!$F$26:$Z$26)+SUMIF('Phase II Pro Forma'!$F$6:$Z$6,'Official Summary'!N$7,'Phase II Pro Forma'!$F$26:$Z$26)+SUMIF('Phase III Pro Forma'!$F$6:$Z$6,'Official Summary'!N$7,'Phase III Pro Forma'!$F$26:$Z$26)</f>
        <v>918835.41109415982</v>
      </c>
    </row>
    <row r="12" spans="2:16" ht="19" customHeight="1" x14ac:dyDescent="0.2">
      <c r="B12" s="291" t="s">
        <v>425</v>
      </c>
      <c r="C12" s="292"/>
      <c r="D12" s="284" t="s">
        <v>491</v>
      </c>
      <c r="E12" s="259" t="s">
        <v>491</v>
      </c>
      <c r="F12" s="280" t="s">
        <v>491</v>
      </c>
      <c r="G12" s="259" t="s">
        <v>491</v>
      </c>
      <c r="H12" s="275" t="s">
        <v>491</v>
      </c>
      <c r="I12" s="259" t="s">
        <v>491</v>
      </c>
      <c r="J12" s="259" t="s">
        <v>491</v>
      </c>
      <c r="K12" s="259" t="s">
        <v>491</v>
      </c>
      <c r="L12" s="259" t="s">
        <v>491</v>
      </c>
      <c r="M12" s="259" t="s">
        <v>491</v>
      </c>
      <c r="N12" s="289" t="s">
        <v>491</v>
      </c>
    </row>
    <row r="13" spans="2:16" ht="19" customHeight="1" x14ac:dyDescent="0.2">
      <c r="B13" s="1012" t="s">
        <v>24</v>
      </c>
      <c r="C13" s="1012"/>
      <c r="D13" s="284">
        <f ca="1">+SUMIF('Phase I Pro Forma'!$F$6:$Z$6,'Official Summary'!D$7,'Phase I Pro Forma'!$F$112:$Z$112)+SUMIF('Phase II Pro Forma'!$F$6:$Z$6,'Official Summary'!D$7,'Phase II Pro Forma'!$F$112:$Z$112)+SUMIF('Phase III Pro Forma'!$F$6:$Z$6,'Official Summary'!D$7,'Phase III Pro Forma'!$F$112:$Z$112)</f>
        <v>0</v>
      </c>
      <c r="E13" s="259">
        <f ca="1">+SUMIF('Phase I Pro Forma'!$F$6:$Z$6,'Official Summary'!E$7,'Phase I Pro Forma'!$F$112:$Z$112)+SUMIF('Phase II Pro Forma'!$F$6:$Z$6,'Official Summary'!E$7,'Phase II Pro Forma'!$F$112:$Z$112)+SUMIF('Phase III Pro Forma'!$F$6:$Z$6,'Official Summary'!E$7,'Phase III Pro Forma'!$F$112:$Z$112)</f>
        <v>0</v>
      </c>
      <c r="F13" s="280">
        <f ca="1">+SUMIF('Phase I Pro Forma'!$F$6:$Z$6,'Official Summary'!F$7,'Phase I Pro Forma'!$F$112:$Z$112)+SUMIF('Phase II Pro Forma'!$F$6:$Z$6,'Official Summary'!F$7,'Phase II Pro Forma'!$F$112:$Z$112)+SUMIF('Phase III Pro Forma'!$F$6:$Z$6,'Official Summary'!F$7,'Phase III Pro Forma'!$F$112:$Z$112)</f>
        <v>0</v>
      </c>
      <c r="G13" s="259">
        <f ca="1">+SUMIF('Phase I Pro Forma'!$F$6:$Z$6,'Official Summary'!G$7,'Phase I Pro Forma'!$F$112:$Z$112)+SUMIF('Phase II Pro Forma'!$F$6:$Z$6,'Official Summary'!G$7,'Phase II Pro Forma'!$F$112:$Z$112)+SUMIF('Phase III Pro Forma'!$F$6:$Z$6,'Official Summary'!G$7,'Phase III Pro Forma'!$F$112:$Z$112)</f>
        <v>4114857.9959164495</v>
      </c>
      <c r="H13" s="275">
        <f ca="1">+SUMIF('Phase I Pro Forma'!$F$6:$Z$6,'Official Summary'!H$7,'Phase I Pro Forma'!$F$112:$Z$112)+SUMIF('Phase II Pro Forma'!$F$6:$Z$6,'Official Summary'!H$7,'Phase II Pro Forma'!$F$112:$Z$112)+SUMIF('Phase III Pro Forma'!$F$6:$Z$6,'Official Summary'!H$7,'Phase III Pro Forma'!$F$112:$Z$112)</f>
        <v>8213799.8906974243</v>
      </c>
      <c r="I13" s="259">
        <f ca="1">+SUMIF('Phase I Pro Forma'!$F$6:$Z$6,'Official Summary'!I$7,'Phase I Pro Forma'!$F$112:$Z$112)+SUMIF('Phase II Pro Forma'!$F$6:$Z$6,'Official Summary'!I$7,'Phase II Pro Forma'!$F$112:$Z$112)+SUMIF('Phase III Pro Forma'!$F$6:$Z$6,'Official Summary'!I$7,'Phase III Pro Forma'!$F$112:$Z$112)</f>
        <v>9612151.0241554715</v>
      </c>
      <c r="J13" s="259">
        <f ca="1">+SUMIF('Phase I Pro Forma'!$F$6:$Z$6,'Official Summary'!J$7,'Phase I Pro Forma'!$F$112:$Z$112)+SUMIF('Phase II Pro Forma'!$F$6:$Z$6,'Official Summary'!J$7,'Phase II Pro Forma'!$F$112:$Z$112)+SUMIF('Phase III Pro Forma'!$F$6:$Z$6,'Official Summary'!J$7,'Phase III Pro Forma'!$F$112:$Z$112)</f>
        <v>11890490.297175974</v>
      </c>
      <c r="K13" s="259">
        <f ca="1">+SUMIF('Phase I Pro Forma'!$F$6:$Z$6,'Official Summary'!K$7,'Phase I Pro Forma'!$F$112:$Z$112)+SUMIF('Phase II Pro Forma'!$F$6:$Z$6,'Official Summary'!K$7,'Phase II Pro Forma'!$F$112:$Z$112)+SUMIF('Phase III Pro Forma'!$F$6:$Z$6,'Official Summary'!K$7,'Phase III Pro Forma'!$F$112:$Z$112)</f>
        <v>18295828.945133783</v>
      </c>
      <c r="L13" s="259">
        <f ca="1">+SUMIF('Phase I Pro Forma'!$F$6:$Z$6,'Official Summary'!L$7,'Phase I Pro Forma'!$F$112:$Z$112)+SUMIF('Phase II Pro Forma'!$F$6:$Z$6,'Official Summary'!L$7,'Phase II Pro Forma'!$F$112:$Z$112)+SUMIF('Phase III Pro Forma'!$F$6:$Z$6,'Official Summary'!L$7,'Phase III Pro Forma'!$F$112:$Z$112)</f>
        <v>24986321.626949549</v>
      </c>
      <c r="M13" s="259">
        <f ca="1">+SUMIF('Phase I Pro Forma'!$F$6:$Z$6,'Official Summary'!M$7,'Phase I Pro Forma'!$F$112:$Z$112)+SUMIF('Phase II Pro Forma'!$F$6:$Z$6,'Official Summary'!M$7,'Phase II Pro Forma'!$F$112:$Z$112)+SUMIF('Phase III Pro Forma'!$F$6:$Z$6,'Official Summary'!M$7,'Phase III Pro Forma'!$F$112:$Z$112)</f>
        <v>24952680.273718391</v>
      </c>
      <c r="N13" s="289">
        <f ca="1">+SUMIF('Phase I Pro Forma'!$F$6:$Z$6,'Official Summary'!N$7,'Phase I Pro Forma'!$F$112:$Z$112)+SUMIF('Phase II Pro Forma'!$F$6:$Z$6,'Official Summary'!N$7,'Phase II Pro Forma'!$F$112:$Z$112)+SUMIF('Phase III Pro Forma'!$F$6:$Z$6,'Official Summary'!N$7,'Phase III Pro Forma'!$F$112:$Z$112)</f>
        <v>26291099.582320608</v>
      </c>
      <c r="P13" s="749"/>
    </row>
    <row r="14" spans="2:16" ht="19" customHeight="1" x14ac:dyDescent="0.2">
      <c r="B14" s="1012" t="s">
        <v>25</v>
      </c>
      <c r="C14" s="1012"/>
      <c r="D14" s="284">
        <f ca="1">+SUMIF('Phase I Pro Forma'!$F$6:$Z$6,'Official Summary'!D$7,'Phase I Pro Forma'!$F$70:$Z$70)+SUMIF('Phase II Pro Forma'!$F$6:$Z$6,'Official Summary'!D$7,'Phase II Pro Forma'!$F$70:$Z$70)+SUMIF('Phase III Pro Forma'!$F$6:$Z$6,'Official Summary'!D$7,'Phase III Pro Forma'!$F$70:$Z$70)</f>
        <v>0</v>
      </c>
      <c r="E14" s="259">
        <f ca="1">+SUMIF('Phase I Pro Forma'!$F$6:$Z$6,'Official Summary'!E$7,'Phase I Pro Forma'!$F$70:$Z$70)+SUMIF('Phase II Pro Forma'!$F$6:$Z$6,'Official Summary'!E$7,'Phase II Pro Forma'!$F$70:$Z$70)+SUMIF('Phase III Pro Forma'!$F$6:$Z$6,'Official Summary'!E$7,'Phase III Pro Forma'!$F$70:$Z$70)</f>
        <v>0</v>
      </c>
      <c r="F14" s="280">
        <f ca="1">+SUMIF('Phase I Pro Forma'!$F$6:$Z$6,'Official Summary'!F$7,'Phase I Pro Forma'!$F$70:$Z$70)+SUMIF('Phase II Pro Forma'!$F$6:$Z$6,'Official Summary'!F$7,'Phase II Pro Forma'!$F$70:$Z$70)+SUMIF('Phase III Pro Forma'!$F$6:$Z$6,'Official Summary'!F$7,'Phase III Pro Forma'!$F$70:$Z$70)</f>
        <v>0</v>
      </c>
      <c r="G14" s="259">
        <f ca="1">+SUMIF('Phase I Pro Forma'!$F$6:$Z$6,'Official Summary'!G$7,'Phase I Pro Forma'!$F$70:$Z$70)+SUMIF('Phase II Pro Forma'!$F$6:$Z$6,'Official Summary'!G$7,'Phase II Pro Forma'!$F$70:$Z$70)+SUMIF('Phase III Pro Forma'!$F$6:$Z$6,'Official Summary'!G$7,'Phase III Pro Forma'!$F$70:$Z$70)</f>
        <v>2014078.7978442148</v>
      </c>
      <c r="H14" s="275">
        <f ca="1">+SUMIF('Phase I Pro Forma'!$F$6:$Z$6,'Official Summary'!H$7,'Phase I Pro Forma'!$F$70:$Z$70)+SUMIF('Phase II Pro Forma'!$F$6:$Z$6,'Official Summary'!H$7,'Phase II Pro Forma'!$F$70:$Z$70)+SUMIF('Phase III Pro Forma'!$F$6:$Z$6,'Official Summary'!H$7,'Phase III Pro Forma'!$F$70:$Z$70)</f>
        <v>4012634.0778745976</v>
      </c>
      <c r="I14" s="259">
        <f ca="1">+SUMIF('Phase I Pro Forma'!$F$6:$Z$6,'Official Summary'!I$7,'Phase I Pro Forma'!$F$70:$Z$70)+SUMIF('Phase II Pro Forma'!$F$6:$Z$6,'Official Summary'!I$7,'Phase II Pro Forma'!$F$70:$Z$70)+SUMIF('Phase III Pro Forma'!$F$6:$Z$6,'Official Summary'!I$7,'Phase III Pro Forma'!$F$70:$Z$70)</f>
        <v>5390618.5163747268</v>
      </c>
      <c r="J14" s="259">
        <f ca="1">+SUMIF('Phase I Pro Forma'!$F$6:$Z$6,'Official Summary'!J$7,'Phase I Pro Forma'!$F$70:$Z$70)+SUMIF('Phase II Pro Forma'!$F$6:$Z$6,'Official Summary'!J$7,'Phase II Pro Forma'!$F$70:$Z$70)+SUMIF('Phase III Pro Forma'!$F$6:$Z$6,'Official Summary'!J$7,'Phase III Pro Forma'!$F$70:$Z$70)</f>
        <v>7227071.0251791347</v>
      </c>
      <c r="K14" s="259">
        <f ca="1">+SUMIF('Phase I Pro Forma'!$F$6:$Z$6,'Official Summary'!K$7,'Phase I Pro Forma'!$F$70:$Z$70)+SUMIF('Phase II Pro Forma'!$F$6:$Z$6,'Official Summary'!K$7,'Phase II Pro Forma'!$F$70:$Z$70)+SUMIF('Phase III Pro Forma'!$F$6:$Z$6,'Official Summary'!K$7,'Phase III Pro Forma'!$F$70:$Z$70)</f>
        <v>7944970.1354817012</v>
      </c>
      <c r="L14" s="259">
        <f ca="1">+SUMIF('Phase I Pro Forma'!$F$6:$Z$6,'Official Summary'!L$7,'Phase I Pro Forma'!$F$70:$Z$70)+SUMIF('Phase II Pro Forma'!$F$6:$Z$6,'Official Summary'!L$7,'Phase II Pro Forma'!$F$70:$Z$70)+SUMIF('Phase III Pro Forma'!$F$6:$Z$6,'Official Summary'!L$7,'Phase III Pro Forma'!$F$70:$Z$70)</f>
        <v>8964083.3012791332</v>
      </c>
      <c r="M14" s="259">
        <f ca="1">+SUMIF('Phase I Pro Forma'!$F$6:$Z$6,'Official Summary'!M$7,'Phase I Pro Forma'!$F$70:$Z$70)+SUMIF('Phase II Pro Forma'!$F$6:$Z$6,'Official Summary'!M$7,'Phase II Pro Forma'!$F$70:$Z$70)+SUMIF('Phase III Pro Forma'!$F$6:$Z$6,'Official Summary'!M$7,'Phase III Pro Forma'!$F$70:$Z$70)</f>
        <v>8945259.9743079767</v>
      </c>
      <c r="N14" s="289">
        <f ca="1">+SUMIF('Phase I Pro Forma'!$F$6:$Z$6,'Official Summary'!N$7,'Phase I Pro Forma'!$F$70:$Z$70)+SUMIF('Phase II Pro Forma'!$F$6:$Z$6,'Official Summary'!N$7,'Phase II Pro Forma'!$F$70:$Z$70)+SUMIF('Phase III Pro Forma'!$F$6:$Z$6,'Official Summary'!N$7,'Phase III Pro Forma'!$F$70:$Z$70)</f>
        <v>9079974.8315244336</v>
      </c>
    </row>
    <row r="15" spans="2:16" ht="19" customHeight="1" x14ac:dyDescent="0.2">
      <c r="B15" s="292" t="s">
        <v>145</v>
      </c>
      <c r="C15" s="293"/>
      <c r="D15" s="284">
        <f ca="1">+SUMIF('Phase I Pro Forma'!$F$6:$Z$6,'Official Summary'!D$7,'Phase I Pro Forma'!$F$91:$Z$91)+SUMIF('Phase II Pro Forma'!$F$6:$Z$6,'Official Summary'!D$7,'Phase II Pro Forma'!$F$91:$Z$91)+SUMIF('Phase III Pro Forma'!$F$6:$Z$6,'Official Summary'!D$7,'Phase III Pro Forma'!$F$91:$Z$91)</f>
        <v>0</v>
      </c>
      <c r="E15" s="259">
        <f ca="1">+SUMIF('Phase I Pro Forma'!$F$6:$Z$6,'Official Summary'!E$7,'Phase I Pro Forma'!$F$91:$Z$91)+SUMIF('Phase II Pro Forma'!$F$6:$Z$6,'Official Summary'!E$7,'Phase II Pro Forma'!$F$91:$Z$91)+SUMIF('Phase III Pro Forma'!$F$6:$Z$6,'Official Summary'!E$7,'Phase III Pro Forma'!$F$91:$Z$91)</f>
        <v>0</v>
      </c>
      <c r="F15" s="280">
        <f ca="1">+SUMIF('Phase I Pro Forma'!$F$6:$Z$6,'Official Summary'!F$7,'Phase I Pro Forma'!$F$91:$Z$91)+SUMIF('Phase II Pro Forma'!$F$6:$Z$6,'Official Summary'!F$7,'Phase II Pro Forma'!$F$91:$Z$91)+SUMIF('Phase III Pro Forma'!$F$6:$Z$6,'Official Summary'!F$7,'Phase III Pro Forma'!$F$91:$Z$91)</f>
        <v>0</v>
      </c>
      <c r="G15" s="259">
        <f ca="1">+SUMIF('Phase I Pro Forma'!$F$6:$Z$6,'Official Summary'!G$7,'Phase I Pro Forma'!$F$91:$Z$91)+SUMIF('Phase II Pro Forma'!$F$6:$Z$6,'Official Summary'!G$7,'Phase II Pro Forma'!$F$91:$Z$91)+SUMIF('Phase III Pro Forma'!$F$6:$Z$6,'Official Summary'!G$7,'Phase III Pro Forma'!$F$91:$Z$91)</f>
        <v>90843.75</v>
      </c>
      <c r="H15" s="275">
        <f ca="1">+SUMIF('Phase I Pro Forma'!$F$6:$Z$6,'Official Summary'!H$7,'Phase I Pro Forma'!$F$91:$Z$91)+SUMIF('Phase II Pro Forma'!$F$6:$Z$6,'Official Summary'!H$7,'Phase II Pro Forma'!$F$91:$Z$91)+SUMIF('Phase III Pro Forma'!$F$6:$Z$6,'Official Summary'!H$7,'Phase III Pro Forma'!$F$91:$Z$91)</f>
        <v>181687.5</v>
      </c>
      <c r="I15" s="259">
        <f ca="1">+SUMIF('Phase I Pro Forma'!$F$6:$Z$6,'Official Summary'!I$7,'Phase I Pro Forma'!$F$91:$Z$91)+SUMIF('Phase II Pro Forma'!$F$6:$Z$6,'Official Summary'!I$7,'Phase II Pro Forma'!$F$91:$Z$91)+SUMIF('Phase III Pro Forma'!$F$6:$Z$6,'Official Summary'!I$7,'Phase III Pro Forma'!$F$91:$Z$91)</f>
        <v>181687.5</v>
      </c>
      <c r="J15" s="259">
        <f ca="1">+SUMIF('Phase I Pro Forma'!$F$6:$Z$6,'Official Summary'!J$7,'Phase I Pro Forma'!$F$91:$Z$91)+SUMIF('Phase II Pro Forma'!$F$6:$Z$6,'Official Summary'!J$7,'Phase II Pro Forma'!$F$91:$Z$91)+SUMIF('Phase III Pro Forma'!$F$6:$Z$6,'Official Summary'!J$7,'Phase III Pro Forma'!$F$91:$Z$91)</f>
        <v>190771.875</v>
      </c>
      <c r="K15" s="259">
        <f ca="1">+SUMIF('Phase I Pro Forma'!$F$6:$Z$6,'Official Summary'!K$7,'Phase I Pro Forma'!$F$91:$Z$91)+SUMIF('Phase II Pro Forma'!$F$6:$Z$6,'Official Summary'!K$7,'Phase II Pro Forma'!$F$91:$Z$91)+SUMIF('Phase III Pro Forma'!$F$6:$Z$6,'Official Summary'!K$7,'Phase III Pro Forma'!$F$91:$Z$91)</f>
        <v>562269.375</v>
      </c>
      <c r="L15" s="259">
        <f ca="1">+SUMIF('Phase I Pro Forma'!$F$6:$Z$6,'Official Summary'!L$7,'Phase I Pro Forma'!$F$91:$Z$91)+SUMIF('Phase II Pro Forma'!$F$6:$Z$6,'Official Summary'!L$7,'Phase II Pro Forma'!$F$91:$Z$91)+SUMIF('Phase III Pro Forma'!$F$6:$Z$6,'Official Summary'!L$7,'Phase III Pro Forma'!$F$91:$Z$91)</f>
        <v>933766.87499999977</v>
      </c>
      <c r="M15" s="259">
        <f ca="1">+SUMIF('Phase I Pro Forma'!$F$6:$Z$6,'Official Summary'!M$7,'Phase I Pro Forma'!$F$91:$Z$91)+SUMIF('Phase II Pro Forma'!$F$6:$Z$6,'Official Summary'!M$7,'Phase II Pro Forma'!$F$91:$Z$91)+SUMIF('Phase III Pro Forma'!$F$6:$Z$6,'Official Summary'!M$7,'Phase III Pro Forma'!$F$91:$Z$91)</f>
        <v>933766.87499999965</v>
      </c>
      <c r="N15" s="289">
        <f ca="1">+SUMIF('Phase I Pro Forma'!$F$6:$Z$6,'Official Summary'!N$7,'Phase I Pro Forma'!$F$91:$Z$91)+SUMIF('Phase II Pro Forma'!$F$6:$Z$6,'Official Summary'!N$7,'Phase II Pro Forma'!$F$91:$Z$91)+SUMIF('Phase III Pro Forma'!$F$6:$Z$6,'Official Summary'!N$7,'Phase III Pro Forma'!$F$91:$Z$91)</f>
        <v>970916.62499999977</v>
      </c>
    </row>
    <row r="16" spans="2:16" ht="19" customHeight="1" x14ac:dyDescent="0.2">
      <c r="B16" s="292" t="s">
        <v>26</v>
      </c>
      <c r="C16" s="292"/>
      <c r="D16" s="284">
        <f ca="1">+SUMIF('Phase I Pro Forma'!$F$6:$Z$6,'Official Summary'!D$7,'Phase I Pro Forma'!$F$206:$Z$206)+SUMIF('Phase II Pro Forma'!$F$6:$Z$6,'Official Summary'!D$7,'Phase II Pro Forma'!$F$206:$Z$206)+SUMIF('Phase III Pro Forma'!$F$6:$Z$6,'Official Summary'!D$7,'Phase III Pro Forma'!$F$206:$Z$206)</f>
        <v>0</v>
      </c>
      <c r="E16" s="259">
        <f ca="1">+SUMIF('Phase I Pro Forma'!$F$6:$Z$6,'Official Summary'!E$7,'Phase I Pro Forma'!$F$206:$Z$206)+SUMIF('Phase II Pro Forma'!$F$6:$Z$6,'Official Summary'!E$7,'Phase II Pro Forma'!$F$206:$Z$206)+SUMIF('Phase III Pro Forma'!$F$6:$Z$6,'Official Summary'!E$7,'Phase III Pro Forma'!$F$206:$Z$206)</f>
        <v>0</v>
      </c>
      <c r="F16" s="280">
        <f ca="1">+SUMIF('Phase I Pro Forma'!$F$6:$Z$6,'Official Summary'!F$7,'Phase I Pro Forma'!$F$206:$Z$206)+SUMIF('Phase II Pro Forma'!$F$6:$Z$6,'Official Summary'!F$7,'Phase II Pro Forma'!$F$206:$Z$206)+SUMIF('Phase III Pro Forma'!$F$6:$Z$6,'Official Summary'!F$7,'Phase III Pro Forma'!$F$206:$Z$206)</f>
        <v>0</v>
      </c>
      <c r="G16" s="259">
        <f ca="1">+SUMIF('Phase I Pro Forma'!$F$6:$Z$6,'Official Summary'!G$7,'Phase I Pro Forma'!$F$206:$Z$206)+SUMIF('Phase II Pro Forma'!$F$6:$Z$6,'Official Summary'!G$7,'Phase II Pro Forma'!$F$206:$Z$206)+SUMIF('Phase III Pro Forma'!$F$6:$Z$6,'Official Summary'!G$7,'Phase III Pro Forma'!$F$206:$Z$206)</f>
        <v>2177551.5664158845</v>
      </c>
      <c r="H16" s="275">
        <f ca="1">+SUMIF('Phase I Pro Forma'!$F$6:$Z$6,'Official Summary'!H$7,'Phase I Pro Forma'!$F$206:$Z$206)+SUMIF('Phase II Pro Forma'!$F$6:$Z$6,'Official Summary'!H$7,'Phase II Pro Forma'!$F$206:$Z$206)+SUMIF('Phase III Pro Forma'!$F$6:$Z$6,'Official Summary'!H$7,'Phase III Pro Forma'!$F$206:$Z$206)</f>
        <v>5149708.49248611</v>
      </c>
      <c r="I16" s="259">
        <f ca="1">+SUMIF('Phase I Pro Forma'!$F$6:$Z$6,'Official Summary'!I$7,'Phase I Pro Forma'!$F$206:$Z$206)+SUMIF('Phase II Pro Forma'!$F$6:$Z$6,'Official Summary'!I$7,'Phase II Pro Forma'!$F$206:$Z$206)+SUMIF('Phase III Pro Forma'!$F$6:$Z$6,'Official Summary'!I$7,'Phase III Pro Forma'!$F$206:$Z$206)</f>
        <v>6924381.5483684316</v>
      </c>
      <c r="J16" s="259">
        <f ca="1">+SUMIF('Phase I Pro Forma'!$F$6:$Z$6,'Official Summary'!J$7,'Phase I Pro Forma'!$F$206:$Z$206)+SUMIF('Phase II Pro Forma'!$F$6:$Z$6,'Official Summary'!J$7,'Phase II Pro Forma'!$F$206:$Z$206)+SUMIF('Phase III Pro Forma'!$F$6:$Z$6,'Official Summary'!J$7,'Phase III Pro Forma'!$F$206:$Z$206)</f>
        <v>8936846.1518524718</v>
      </c>
      <c r="K16" s="259">
        <f ca="1">+SUMIF('Phase I Pro Forma'!$F$6:$Z$6,'Official Summary'!K$7,'Phase I Pro Forma'!$F$206:$Z$206)+SUMIF('Phase II Pro Forma'!$F$6:$Z$6,'Official Summary'!K$7,'Phase II Pro Forma'!$F$206:$Z$206)+SUMIF('Phase III Pro Forma'!$F$6:$Z$6,'Official Summary'!K$7,'Phase III Pro Forma'!$F$206:$Z$206)</f>
        <v>9496549.3069507759</v>
      </c>
      <c r="L16" s="259">
        <f ca="1">+SUMIF('Phase I Pro Forma'!$F$6:$Z$6,'Official Summary'!L$7,'Phase I Pro Forma'!$F$206:$Z$206)+SUMIF('Phase II Pro Forma'!$F$6:$Z$6,'Official Summary'!L$7,'Phase II Pro Forma'!$F$206:$Z$206)+SUMIF('Phase III Pro Forma'!$F$6:$Z$6,'Official Summary'!L$7,'Phase III Pro Forma'!$F$206:$Z$206)</f>
        <v>10041436.519591456</v>
      </c>
      <c r="M16" s="259">
        <f ca="1">+SUMIF('Phase I Pro Forma'!$F$6:$Z$6,'Official Summary'!M$7,'Phase I Pro Forma'!$F$206:$Z$206)+SUMIF('Phase II Pro Forma'!$F$6:$Z$6,'Official Summary'!M$7,'Phase II Pro Forma'!$F$206:$Z$206)+SUMIF('Phase III Pro Forma'!$F$6:$Z$6,'Official Summary'!M$7,'Phase III Pro Forma'!$F$206:$Z$206)</f>
        <v>10309038.813330185</v>
      </c>
      <c r="N16" s="289">
        <f ca="1">+SUMIF('Phase I Pro Forma'!$F$6:$Z$6,'Official Summary'!N$7,'Phase I Pro Forma'!$F$206:$Z$206)+SUMIF('Phase II Pro Forma'!$F$6:$Z$6,'Official Summary'!N$7,'Phase II Pro Forma'!$F$206:$Z$206)+SUMIF('Phase III Pro Forma'!$F$6:$Z$6,'Official Summary'!N$7,'Phase III Pro Forma'!$F$206:$Z$206)</f>
        <v>10544663.79339852</v>
      </c>
    </row>
    <row r="17" spans="2:14" ht="19" customHeight="1" x14ac:dyDescent="0.2">
      <c r="B17" s="292" t="s">
        <v>499</v>
      </c>
      <c r="C17" s="292"/>
      <c r="D17" s="284">
        <f ca="1">+SUMIF('Phase I Pro Forma'!$F$6:$Z$6,'Official Summary'!D$7,'Phase I Pro Forma'!$F$134:$Z$134)+SUMIF('Phase II Pro Forma'!$F$6:$Z$6,'Official Summary'!D$7,'Phase II Pro Forma'!$F$134:$Z$134)+SUMIF('Phase III Pro Forma'!$F$6:$Z$6,'Official Summary'!D$7,'Phase III Pro Forma'!$F$134:$Z$134)</f>
        <v>0</v>
      </c>
      <c r="E17" s="259">
        <f ca="1">+SUMIF('Phase I Pro Forma'!$F$6:$Z$6,'Official Summary'!E$7,'Phase I Pro Forma'!$F$134:$Z$134)+SUMIF('Phase II Pro Forma'!$F$6:$Z$6,'Official Summary'!E$7,'Phase II Pro Forma'!$F$134:$Z$134)+SUMIF('Phase III Pro Forma'!$F$6:$Z$6,'Official Summary'!E$7,'Phase III Pro Forma'!$F$134:$Z$134)</f>
        <v>0</v>
      </c>
      <c r="F17" s="280">
        <f ca="1">+SUMIF('Phase I Pro Forma'!$F$6:$Z$6,'Official Summary'!F$7,'Phase I Pro Forma'!$F$134:$Z$134)+SUMIF('Phase II Pro Forma'!$F$6:$Z$6,'Official Summary'!F$7,'Phase II Pro Forma'!$F$134:$Z$134)+SUMIF('Phase III Pro Forma'!$F$6:$Z$6,'Official Summary'!F$7,'Phase III Pro Forma'!$F$134:$Z$134)</f>
        <v>0</v>
      </c>
      <c r="G17" s="259">
        <f ca="1">+SUMIF('Phase I Pro Forma'!$F$6:$Z$6,'Official Summary'!G$7,'Phase I Pro Forma'!$F$134:$Z$134)+SUMIF('Phase II Pro Forma'!$F$6:$Z$6,'Official Summary'!G$7,'Phase II Pro Forma'!$F$134:$Z$134)+SUMIF('Phase III Pro Forma'!$F$6:$Z$6,'Official Summary'!G$7,'Phase III Pro Forma'!$F$134:$Z$134)</f>
        <v>92064.429826056774</v>
      </c>
      <c r="H17" s="275">
        <f ca="1">+SUMIF('Phase I Pro Forma'!$F$6:$Z$6,'Official Summary'!H$7,'Phase I Pro Forma'!$F$134:$Z$134)+SUMIF('Phase II Pro Forma'!$F$6:$Z$6,'Official Summary'!H$7,'Phase II Pro Forma'!$F$134:$Z$134)+SUMIF('Phase III Pro Forma'!$F$6:$Z$6,'Official Summary'!H$7,'Phase III Pro Forma'!$F$134:$Z$134)</f>
        <v>186437.24986030738</v>
      </c>
      <c r="I17" s="259">
        <f ca="1">+SUMIF('Phase I Pro Forma'!$F$6:$Z$6,'Official Summary'!I$7,'Phase I Pro Forma'!$F$134:$Z$134)+SUMIF('Phase II Pro Forma'!$F$6:$Z$6,'Official Summary'!I$7,'Phase II Pro Forma'!$F$134:$Z$134)+SUMIF('Phase III Pro Forma'!$F$6:$Z$6,'Official Summary'!I$7,'Phase III Pro Forma'!$F$134:$Z$134)</f>
        <v>312456.10701729386</v>
      </c>
      <c r="J17" s="259">
        <f ca="1">+SUMIF('Phase I Pro Forma'!$F$6:$Z$6,'Official Summary'!J$7,'Phase I Pro Forma'!$F$134:$Z$134)+SUMIF('Phase II Pro Forma'!$F$6:$Z$6,'Official Summary'!J$7,'Phase II Pro Forma'!$F$134:$Z$134)+SUMIF('Phase III Pro Forma'!$F$6:$Z$6,'Official Summary'!J$7,'Phase III Pro Forma'!$F$134:$Z$134)</f>
        <v>441573.51853933686</v>
      </c>
      <c r="K17" s="259">
        <f ca="1">+SUMIF('Phase I Pro Forma'!$F$6:$Z$6,'Official Summary'!K$7,'Phase I Pro Forma'!$F$134:$Z$134)+SUMIF('Phase II Pro Forma'!$F$6:$Z$6,'Official Summary'!K$7,'Phase II Pro Forma'!$F$134:$Z$134)+SUMIF('Phase III Pro Forma'!$F$6:$Z$6,'Official Summary'!K$7,'Phase III Pro Forma'!$F$134:$Z$134)</f>
        <v>695228.80001124367</v>
      </c>
      <c r="L17" s="259">
        <f ca="1">+SUMIF('Phase I Pro Forma'!$F$6:$Z$6,'Official Summary'!L$7,'Phase I Pro Forma'!$F$134:$Z$134)+SUMIF('Phase II Pro Forma'!$F$6:$Z$6,'Official Summary'!L$7,'Phase II Pro Forma'!$F$134:$Z$134)+SUMIF('Phase III Pro Forma'!$F$6:$Z$6,'Official Summary'!L$7,'Phase III Pro Forma'!$F$134:$Z$134)</f>
        <v>956641.54926883779</v>
      </c>
      <c r="M17" s="259">
        <f ca="1">+SUMIF('Phase I Pro Forma'!$F$6:$Z$6,'Official Summary'!M$7,'Phase I Pro Forma'!$F$134:$Z$134)+SUMIF('Phase II Pro Forma'!$F$6:$Z$6,'Official Summary'!M$7,'Phase II Pro Forma'!$F$134:$Z$134)+SUMIF('Phase III Pro Forma'!$F$6:$Z$6,'Official Summary'!M$7,'Phase III Pro Forma'!$F$134:$Z$134)</f>
        <v>973146.58950647153</v>
      </c>
      <c r="N17" s="289">
        <f ca="1">+SUMIF('Phase I Pro Forma'!$F$6:$Z$6,'Official Summary'!N$7,'Phase I Pro Forma'!$F$134:$Z$134)+SUMIF('Phase II Pro Forma'!$F$6:$Z$6,'Official Summary'!N$7,'Phase II Pro Forma'!$F$134:$Z$134)+SUMIF('Phase III Pro Forma'!$F$6:$Z$6,'Official Summary'!N$7,'Phase III Pro Forma'!$F$134:$Z$134)</f>
        <v>990226.84670526022</v>
      </c>
    </row>
    <row r="18" spans="2:14" ht="19" customHeight="1" x14ac:dyDescent="0.2">
      <c r="B18" s="292" t="s">
        <v>48</v>
      </c>
      <c r="C18" s="292"/>
      <c r="D18" s="284" t="s">
        <v>491</v>
      </c>
      <c r="E18" s="259" t="s">
        <v>491</v>
      </c>
      <c r="F18" s="280" t="s">
        <v>491</v>
      </c>
      <c r="G18" s="259" t="s">
        <v>491</v>
      </c>
      <c r="H18" s="275" t="s">
        <v>491</v>
      </c>
      <c r="I18" s="259" t="s">
        <v>491</v>
      </c>
      <c r="J18" s="259" t="s">
        <v>491</v>
      </c>
      <c r="K18" s="259" t="s">
        <v>491</v>
      </c>
      <c r="L18" s="259" t="s">
        <v>491</v>
      </c>
      <c r="M18" s="259" t="s">
        <v>491</v>
      </c>
      <c r="N18" s="289" t="s">
        <v>491</v>
      </c>
    </row>
    <row r="19" spans="2:14" ht="19" customHeight="1" x14ac:dyDescent="0.2">
      <c r="B19" s="292" t="s">
        <v>235</v>
      </c>
      <c r="C19" s="293"/>
      <c r="D19" s="284">
        <f ca="1">+SUMIF('Phase I Pro Forma'!$F$6:$Z$6,'Official Summary'!D$7,'Phase I Pro Forma'!$F$251:$Z$251)+SUMIF('Phase II Pro Forma'!$F$6:$Z$6,'Official Summary'!D$7,'Phase II Pro Forma'!$F$251:$Z$251)+SUMIF('Phase III Pro Forma'!$F$6:$Z$6,'Official Summary'!D$7,'Phase III Pro Forma'!$F$251:$Z$251)</f>
        <v>0</v>
      </c>
      <c r="E19" s="259">
        <f ca="1">+SUMIF('Phase I Pro Forma'!$F$6:$Z$6,'Official Summary'!E$7,'Phase I Pro Forma'!$F$251:$Z$251)+SUMIF('Phase II Pro Forma'!$F$6:$Z$6,'Official Summary'!E$7,'Phase II Pro Forma'!$F$251:$Z$251)+SUMIF('Phase III Pro Forma'!$F$6:$Z$6,'Official Summary'!E$7,'Phase III Pro Forma'!$F$251:$Z$251)</f>
        <v>0</v>
      </c>
      <c r="F19" s="280">
        <f ca="1">+SUMIF('Phase I Pro Forma'!$F$6:$Z$6,'Official Summary'!F$7,'Phase I Pro Forma'!$F$251:$Z$251)+SUMIF('Phase II Pro Forma'!$F$6:$Z$6,'Official Summary'!F$7,'Phase II Pro Forma'!$F$251:$Z$251)+SUMIF('Phase III Pro Forma'!$F$6:$Z$6,'Official Summary'!F$7,'Phase III Pro Forma'!$F$251:$Z$251)</f>
        <v>0</v>
      </c>
      <c r="G19" s="259">
        <f ca="1">+SUMIF('Phase I Pro Forma'!$F$6:$Z$6,'Official Summary'!G$7,'Phase I Pro Forma'!$F$251:$Z$251)+SUMIF('Phase II Pro Forma'!$F$6:$Z$6,'Official Summary'!G$7,'Phase II Pro Forma'!$F$251:$Z$251)+SUMIF('Phase III Pro Forma'!$F$6:$Z$6,'Official Summary'!G$7,'Phase III Pro Forma'!$F$251:$Z$251)</f>
        <v>5.6400000000000011E-6</v>
      </c>
      <c r="H19" s="275">
        <f ca="1">+SUMIF('Phase I Pro Forma'!$F$6:$Z$6,'Official Summary'!H$7,'Phase I Pro Forma'!$F$251:$Z$251)+SUMIF('Phase II Pro Forma'!$F$6:$Z$6,'Official Summary'!H$7,'Phase II Pro Forma'!$F$251:$Z$251)+SUMIF('Phase III Pro Forma'!$F$6:$Z$6,'Official Summary'!H$7,'Phase III Pro Forma'!$F$251:$Z$251)</f>
        <v>1.128E-5</v>
      </c>
      <c r="I19" s="259">
        <f ca="1">+SUMIF('Phase I Pro Forma'!$F$6:$Z$6,'Official Summary'!I$7,'Phase I Pro Forma'!$F$251:$Z$251)+SUMIF('Phase II Pro Forma'!$F$6:$Z$6,'Official Summary'!I$7,'Phase II Pro Forma'!$F$251:$Z$251)+SUMIF('Phase III Pro Forma'!$F$6:$Z$6,'Official Summary'!I$7,'Phase III Pro Forma'!$F$251:$Z$251)</f>
        <v>1.7147856000000002E-5</v>
      </c>
      <c r="J19" s="259">
        <f ca="1">+SUMIF('Phase I Pro Forma'!$F$6:$Z$6,'Official Summary'!J$7,'Phase I Pro Forma'!$F$251:$Z$251)+SUMIF('Phase II Pro Forma'!$F$6:$Z$6,'Official Summary'!J$7,'Phase II Pro Forma'!$F$251:$Z$251)+SUMIF('Phase III Pro Forma'!$F$6:$Z$6,'Official Summary'!J$7,'Phase III Pro Forma'!$F$251:$Z$251)</f>
        <v>2.4143712000000003E-5</v>
      </c>
      <c r="K19" s="259">
        <f ca="1">+SUMIF('Phase I Pro Forma'!$F$6:$Z$6,'Official Summary'!K$7,'Phase I Pro Forma'!$F$251:$Z$251)+SUMIF('Phase II Pro Forma'!$F$6:$Z$6,'Official Summary'!K$7,'Phase II Pro Forma'!$F$251:$Z$251)+SUMIF('Phase III Pro Forma'!$F$6:$Z$6,'Official Summary'!K$7,'Phase III Pro Forma'!$F$251:$Z$251)</f>
        <v>1432396.7654566558</v>
      </c>
      <c r="L19" s="259">
        <f ca="1">+SUMIF('Phase I Pro Forma'!$F$6:$Z$6,'Official Summary'!L$7,'Phase I Pro Forma'!$F$251:$Z$251)+SUMIF('Phase II Pro Forma'!$F$6:$Z$6,'Official Summary'!L$7,'Phase II Pro Forma'!$F$251:$Z$251)+SUMIF('Phase III Pro Forma'!$F$6:$Z$6,'Official Summary'!L$7,'Phase III Pro Forma'!$F$251:$Z$251)</f>
        <v>2864793.5308903418</v>
      </c>
      <c r="M19" s="259">
        <f ca="1">+SUMIF('Phase I Pro Forma'!$F$6:$Z$6,'Official Summary'!M$7,'Phase I Pro Forma'!$F$251:$Z$251)+SUMIF('Phase II Pro Forma'!$F$6:$Z$6,'Official Summary'!M$7,'Phase II Pro Forma'!$F$251:$Z$251)+SUMIF('Phase III Pro Forma'!$F$6:$Z$6,'Official Summary'!M$7,'Phase III Pro Forma'!$F$251:$Z$251)</f>
        <v>2864793.5308903418</v>
      </c>
      <c r="N19" s="289">
        <f ca="1">+SUMIF('Phase I Pro Forma'!$F$6:$Z$6,'Official Summary'!N$7,'Phase I Pro Forma'!$F$251:$Z$251)+SUMIF('Phase II Pro Forma'!$F$6:$Z$6,'Official Summary'!N$7,'Phase II Pro Forma'!$F$251:$Z$251)+SUMIF('Phase III Pro Forma'!$F$6:$Z$6,'Official Summary'!N$7,'Phase III Pro Forma'!$F$251:$Z$251)</f>
        <v>3151272.8839768441</v>
      </c>
    </row>
    <row r="20" spans="2:14" ht="19" customHeight="1" x14ac:dyDescent="0.2">
      <c r="B20" s="268" t="s">
        <v>500</v>
      </c>
      <c r="C20" s="293"/>
      <c r="D20" s="284" t="s">
        <v>491</v>
      </c>
      <c r="E20" s="259" t="s">
        <v>491</v>
      </c>
      <c r="F20" s="280" t="s">
        <v>491</v>
      </c>
      <c r="G20" s="259" t="s">
        <v>491</v>
      </c>
      <c r="H20" s="275" t="s">
        <v>491</v>
      </c>
      <c r="I20" s="259" t="s">
        <v>491</v>
      </c>
      <c r="J20" s="259" t="s">
        <v>491</v>
      </c>
      <c r="K20" s="259" t="s">
        <v>491</v>
      </c>
      <c r="L20" s="259" t="s">
        <v>491</v>
      </c>
      <c r="M20" s="259" t="s">
        <v>491</v>
      </c>
      <c r="N20" s="289" t="s">
        <v>491</v>
      </c>
    </row>
    <row r="21" spans="2:14" ht="19" customHeight="1" x14ac:dyDescent="0.2">
      <c r="B21" s="268" t="s">
        <v>51</v>
      </c>
      <c r="C21" s="292"/>
      <c r="D21" s="284" t="s">
        <v>491</v>
      </c>
      <c r="E21" s="259" t="s">
        <v>491</v>
      </c>
      <c r="F21" s="280" t="s">
        <v>491</v>
      </c>
      <c r="G21" s="259" t="s">
        <v>491</v>
      </c>
      <c r="H21" s="275" t="s">
        <v>491</v>
      </c>
      <c r="I21" s="259" t="s">
        <v>491</v>
      </c>
      <c r="J21" s="259" t="s">
        <v>491</v>
      </c>
      <c r="K21" s="259" t="s">
        <v>491</v>
      </c>
      <c r="L21" s="259" t="s">
        <v>491</v>
      </c>
      <c r="M21" s="259" t="s">
        <v>491</v>
      </c>
      <c r="N21" s="289" t="s">
        <v>491</v>
      </c>
    </row>
    <row r="22" spans="2:14" ht="19" customHeight="1" x14ac:dyDescent="0.2">
      <c r="B22" s="268" t="s">
        <v>52</v>
      </c>
      <c r="C22" s="293"/>
      <c r="D22" s="284">
        <f ca="1">-SUMIF('Phase I Pro Forma'!$F$6:$Z$6,'Official Summary'!D$7,'Phase I Pro Forma'!$F$291:$Z$291)-SUMIF('Phase II Pro Forma'!$F$6:$Z$6,'Official Summary'!D$7,'Phase II Pro Forma'!$F$291:$Z$291)-SUMIF('Phase III Pro Forma'!$F$6:$Z$6,'Official Summary'!D$7,'Phase III Pro Forma'!$F$291:$Z$291)</f>
        <v>0</v>
      </c>
      <c r="E22" s="259">
        <f ca="1">-SUMIF('Phase I Pro Forma'!$F$6:$Z$6,'Official Summary'!E$7,'Phase I Pro Forma'!$F$291:$Z$291)-SUMIF('Phase II Pro Forma'!$F$6:$Z$6,'Official Summary'!E$7,'Phase II Pro Forma'!$F$291:$Z$291)-SUMIF('Phase III Pro Forma'!$F$6:$Z$6,'Official Summary'!E$7,'Phase III Pro Forma'!$F$291:$Z$291)</f>
        <v>-2859903.3463380821</v>
      </c>
      <c r="F22" s="280">
        <f ca="1">-SUMIF('Phase I Pro Forma'!$F$6:$Z$6,'Official Summary'!F$7,'Phase I Pro Forma'!$F$291:$Z$291)-SUMIF('Phase II Pro Forma'!$F$6:$Z$6,'Official Summary'!F$7,'Phase II Pro Forma'!$F$291:$Z$291)-SUMIF('Phase III Pro Forma'!$F$6:$Z$6,'Official Summary'!F$7,'Phase III Pro Forma'!$F$291:$Z$291)</f>
        <v>-2859903.3463380821</v>
      </c>
      <c r="G22" s="259">
        <f ca="1">-SUMIF('Phase I Pro Forma'!$F$6:$Z$6,'Official Summary'!G$7,'Phase I Pro Forma'!$F$291:$Z$291)-SUMIF('Phase II Pro Forma'!$F$6:$Z$6,'Official Summary'!G$7,'Phase II Pro Forma'!$F$291:$Z$291)-SUMIF('Phase III Pro Forma'!$F$6:$Z$6,'Official Summary'!G$7,'Phase III Pro Forma'!$F$291:$Z$291)</f>
        <v>-4468641.5228499733</v>
      </c>
      <c r="H22" s="275">
        <f ca="1">-SUMIF('Phase I Pro Forma'!$F$6:$Z$6,'Official Summary'!H$7,'Phase I Pro Forma'!$F$291:$Z$291)-SUMIF('Phase II Pro Forma'!$F$6:$Z$6,'Official Summary'!H$7,'Phase II Pro Forma'!$F$291:$Z$291)-SUMIF('Phase III Pro Forma'!$F$6:$Z$6,'Official Summary'!H$7,'Phase III Pro Forma'!$F$291:$Z$291)</f>
        <v>-4468641.5228499733</v>
      </c>
      <c r="I22" s="259">
        <f ca="1">-SUMIF('Phase I Pro Forma'!$F$6:$Z$6,'Official Summary'!I$7,'Phase I Pro Forma'!$F$291:$Z$291)-SUMIF('Phase II Pro Forma'!$F$6:$Z$6,'Official Summary'!I$7,'Phase II Pro Forma'!$F$291:$Z$291)-SUMIF('Phase III Pro Forma'!$F$6:$Z$6,'Official Summary'!I$7,'Phase III Pro Forma'!$F$291:$Z$291)</f>
        <v>-4436694.3245986626</v>
      </c>
      <c r="J22" s="259">
        <f ca="1">-SUMIF('Phase I Pro Forma'!$F$6:$Z$6,'Official Summary'!J$7,'Phase I Pro Forma'!$F$291:$Z$291)-SUMIF('Phase II Pro Forma'!$F$6:$Z$6,'Official Summary'!J$7,'Phase II Pro Forma'!$F$291:$Z$291)-SUMIF('Phase III Pro Forma'!$F$6:$Z$6,'Official Summary'!J$7,'Phase III Pro Forma'!$F$291:$Z$291)</f>
        <v>-4436694.3245986626</v>
      </c>
      <c r="K22" s="259">
        <f ca="1">-SUMIF('Phase I Pro Forma'!$F$6:$Z$6,'Official Summary'!K$7,'Phase I Pro Forma'!$F$291:$Z$291)-SUMIF('Phase II Pro Forma'!$F$6:$Z$6,'Official Summary'!K$7,'Phase II Pro Forma'!$F$291:$Z$291)-SUMIF('Phase III Pro Forma'!$F$6:$Z$6,'Official Summary'!K$7,'Phase III Pro Forma'!$F$291:$Z$291)</f>
        <v>-2827956.1480867714</v>
      </c>
      <c r="L22" s="259">
        <f ca="1">-SUMIF('Phase I Pro Forma'!$F$6:$Z$6,'Official Summary'!L$7,'Phase I Pro Forma'!$F$291:$Z$291)-SUMIF('Phase II Pro Forma'!$F$6:$Z$6,'Official Summary'!L$7,'Phase II Pro Forma'!$F$291:$Z$291)-SUMIF('Phase III Pro Forma'!$F$6:$Z$6,'Official Summary'!L$7,'Phase III Pro Forma'!$F$291:$Z$291)</f>
        <v>-2827956.1480867714</v>
      </c>
      <c r="M22" s="259">
        <f>-SUMIF('Phase I Pro Forma'!$F$6:$Z$6,'Official Summary'!M$7,'Phase I Pro Forma'!$F$291:$Z$291)-SUMIF('Phase II Pro Forma'!$F$6:$Z$6,'Official Summary'!M$7,'Phase II Pro Forma'!$F$291:$Z$291)-SUMIF('Phase III Pro Forma'!$F$6:$Z$6,'Official Summary'!M$7,'Phase III Pro Forma'!$F$291:$Z$291)</f>
        <v>0</v>
      </c>
      <c r="N22" s="289">
        <f>-SUMIF('Phase I Pro Forma'!$F$6:$Z$6,'Official Summary'!N$7,'Phase I Pro Forma'!$F$291:$Z$291)-SUMIF('Phase II Pro Forma'!$F$6:$Z$6,'Official Summary'!N$7,'Phase II Pro Forma'!$F$291:$Z$291)-SUMIF('Phase III Pro Forma'!$F$6:$Z$6,'Official Summary'!N$7,'Phase III Pro Forma'!$F$291:$Z$291)</f>
        <v>0</v>
      </c>
    </row>
    <row r="23" spans="2:14" ht="19" customHeight="1" x14ac:dyDescent="0.2">
      <c r="B23" s="268" t="s">
        <v>19</v>
      </c>
      <c r="C23" s="292"/>
      <c r="D23" s="284">
        <v>0</v>
      </c>
      <c r="E23" s="259">
        <v>0</v>
      </c>
      <c r="F23" s="280">
        <v>0</v>
      </c>
      <c r="G23" s="259">
        <v>0</v>
      </c>
      <c r="H23" s="275">
        <v>0</v>
      </c>
      <c r="I23" s="259">
        <v>0</v>
      </c>
      <c r="J23" s="259">
        <v>0</v>
      </c>
      <c r="K23" s="259">
        <v>0</v>
      </c>
      <c r="L23" s="259">
        <v>0</v>
      </c>
      <c r="M23" s="259">
        <v>0</v>
      </c>
      <c r="N23" s="289">
        <v>0</v>
      </c>
    </row>
    <row r="24" spans="2:14" ht="19" customHeight="1" x14ac:dyDescent="0.2">
      <c r="B24" s="1014" t="s">
        <v>1</v>
      </c>
      <c r="C24" s="1014"/>
      <c r="D24" s="290">
        <f t="shared" ref="D24:N24" ca="1" si="2">+SUM(D9:D23)</f>
        <v>0</v>
      </c>
      <c r="E24" s="290">
        <f t="shared" ca="1" si="2"/>
        <v>-2859903.3463380821</v>
      </c>
      <c r="F24" s="290">
        <f t="shared" ca="1" si="2"/>
        <v>-2859903.3463380821</v>
      </c>
      <c r="G24" s="290">
        <f t="shared" ca="1" si="2"/>
        <v>7687890.3966812883</v>
      </c>
      <c r="H24" s="290">
        <f t="shared" ca="1" si="2"/>
        <v>20831115.461269658</v>
      </c>
      <c r="I24" s="290">
        <f t="shared" ca="1" si="2"/>
        <v>28428351.241085008</v>
      </c>
      <c r="J24" s="290">
        <f t="shared" ca="1" si="2"/>
        <v>37748585.588745967</v>
      </c>
      <c r="K24" s="290">
        <f t="shared" ca="1" si="2"/>
        <v>52926216.254063927</v>
      </c>
      <c r="L24" s="290">
        <f t="shared" ca="1" si="2"/>
        <v>67345917.717971891</v>
      </c>
      <c r="M24" s="290">
        <f t="shared" ca="1" si="2"/>
        <v>71151841.054904044</v>
      </c>
      <c r="N24" s="290">
        <f t="shared" ca="1" si="2"/>
        <v>73956058.868482515</v>
      </c>
    </row>
    <row r="25" spans="2:14" ht="19" customHeight="1" x14ac:dyDescent="0.2">
      <c r="B25" s="1013" t="s">
        <v>336</v>
      </c>
      <c r="C25" s="1013"/>
      <c r="D25" s="301">
        <f>+SUMIF('Phase I Pro Forma'!$F$6:$Z$6,'Official Summary'!D$7,'Phase I Pro Forma'!$F$270:$Z$270)+SUMIF('Phase II Pro Forma'!$F$6:$Z$6,'Official Summary'!D$7,'Phase II Pro Forma'!$F$270:$Z$270)+SUMIF('Phase III Pro Forma'!$F$6:$Z$6,'Official Summary'!D$7,'Phase III Pro Forma'!$F$270:$Z$270)+SUMIF('Phase I Pro Forma'!$F$6:$Z$6,'Official Summary'!D$7,'Phase I Pro Forma'!$F$225:$Z$225)+SUMIF('Phase II Pro Forma'!$F$6:$Z$6,'Official Summary'!D$7,'Phase II Pro Forma'!$F$225:$Z$225)+SUMIF('Phase III Pro Forma'!$F$6:$Z$6,'Official Summary'!D$7,'Phase III Pro Forma'!$F$225:$Z$225)+SUMIF('Phase I Pro Forma'!$F$6:$Z$6,'Official Summary'!D$7,'Phase I Pro Forma'!$F$155:$Z$155)+SUMIF('Phase II Pro Forma'!$F$6:$Z$6,'Official Summary'!D$7,'Phase II Pro Forma'!$F$155:$Z$155)+SUMIF('Phase III Pro Forma'!$F$6:$Z$6,'Official Summary'!D$7,'Phase III Pro Forma'!$F$155:$Z$155)</f>
        <v>0</v>
      </c>
      <c r="E25" s="305">
        <f>+SUMIF('Phase I Pro Forma'!$F$6:$Z$6,'Official Summary'!E$7,'Phase I Pro Forma'!$F$270:$Z$270)+SUMIF('Phase II Pro Forma'!$F$6:$Z$6,'Official Summary'!E$7,'Phase II Pro Forma'!$F$270:$Z$270)+SUMIF('Phase III Pro Forma'!$F$6:$Z$6,'Official Summary'!E$7,'Phase III Pro Forma'!$F$270:$Z$270)+SUMIF('Phase I Pro Forma'!$F$6:$Z$6,'Official Summary'!E$7,'Phase I Pro Forma'!$F$225:$Z$225)+SUMIF('Phase II Pro Forma'!$F$6:$Z$6,'Official Summary'!E$7,'Phase II Pro Forma'!$F$225:$Z$225)+SUMIF('Phase III Pro Forma'!$F$6:$Z$6,'Official Summary'!E$7,'Phase III Pro Forma'!$F$225:$Z$225)+SUMIF('Phase I Pro Forma'!$F$6:$Z$6,'Official Summary'!E$7,'Phase I Pro Forma'!$F$155:$Z$155)+SUMIF('Phase II Pro Forma'!$F$6:$Z$6,'Official Summary'!E$7,'Phase II Pro Forma'!$F$155:$Z$155)+SUMIF('Phase III Pro Forma'!$F$6:$Z$6,'Official Summary'!E$7,'Phase III Pro Forma'!$F$155:$Z$155)</f>
        <v>0</v>
      </c>
      <c r="F25" s="302">
        <f>+SUMIF('Phase I Pro Forma'!$F$6:$Z$6,'Official Summary'!F$7,'Phase I Pro Forma'!$F$270:$Z$270)+SUMIF('Phase II Pro Forma'!$F$6:$Z$6,'Official Summary'!F$7,'Phase II Pro Forma'!$F$270:$Z$270)+SUMIF('Phase III Pro Forma'!$F$6:$Z$6,'Official Summary'!F$7,'Phase III Pro Forma'!$F$270:$Z$270)+SUMIF('Phase I Pro Forma'!$F$6:$Z$6,'Official Summary'!F$7,'Phase I Pro Forma'!$F$225:$Z$225)+SUMIF('Phase II Pro Forma'!$F$6:$Z$6,'Official Summary'!F$7,'Phase II Pro Forma'!$F$225:$Z$225)+SUMIF('Phase III Pro Forma'!$F$6:$Z$6,'Official Summary'!F$7,'Phase III Pro Forma'!$F$225:$Z$225)+SUMIF('Phase I Pro Forma'!$F$6:$Z$6,'Official Summary'!F$7,'Phase I Pro Forma'!$F$155:$Z$155)+SUMIF('Phase II Pro Forma'!$F$6:$Z$6,'Official Summary'!F$7,'Phase II Pro Forma'!$F$155:$Z$155)+SUMIF('Phase III Pro Forma'!$F$6:$Z$6,'Official Summary'!F$7,'Phase III Pro Forma'!$F$155:$Z$155)</f>
        <v>0</v>
      </c>
      <c r="G25" s="305">
        <f>+SUMIF('Phase I Pro Forma'!$F$6:$Z$6,'Official Summary'!G$7,'Phase I Pro Forma'!$F$270:$Z$270)+SUMIF('Phase II Pro Forma'!$F$6:$Z$6,'Official Summary'!G$7,'Phase II Pro Forma'!$F$270:$Z$270)+SUMIF('Phase III Pro Forma'!$F$6:$Z$6,'Official Summary'!G$7,'Phase III Pro Forma'!$F$270:$Z$270)+SUMIF('Phase I Pro Forma'!$F$6:$Z$6,'Official Summary'!G$7,'Phase I Pro Forma'!$F$225:$Z$225)+SUMIF('Phase II Pro Forma'!$F$6:$Z$6,'Official Summary'!G$7,'Phase II Pro Forma'!$F$225:$Z$225)+SUMIF('Phase III Pro Forma'!$F$6:$Z$6,'Official Summary'!G$7,'Phase III Pro Forma'!$F$225:$Z$225)+SUMIF('Phase I Pro Forma'!$F$6:$Z$6,'Official Summary'!G$7,'Phase I Pro Forma'!$F$155:$Z$155)+SUMIF('Phase II Pro Forma'!$F$6:$Z$6,'Official Summary'!G$7,'Phase II Pro Forma'!$F$155:$Z$155)+SUMIF('Phase III Pro Forma'!$F$6:$Z$6,'Official Summary'!G$7,'Phase III Pro Forma'!$F$155:$Z$155)</f>
        <v>0</v>
      </c>
      <c r="H25" s="303">
        <f>+SUMIF('Phase I Pro Forma'!$F$6:$Z$6,'Official Summary'!H$7,'Phase I Pro Forma'!$F$270:$Z$270)+SUMIF('Phase II Pro Forma'!$F$6:$Z$6,'Official Summary'!H$7,'Phase II Pro Forma'!$F$270:$Z$270)+SUMIF('Phase III Pro Forma'!$F$6:$Z$6,'Official Summary'!H$7,'Phase III Pro Forma'!$F$270:$Z$270)+SUMIF('Phase I Pro Forma'!$F$6:$Z$6,'Official Summary'!H$7,'Phase I Pro Forma'!$F$225:$Z$225)+SUMIF('Phase II Pro Forma'!$F$6:$Z$6,'Official Summary'!H$7,'Phase II Pro Forma'!$F$225:$Z$225)+SUMIF('Phase III Pro Forma'!$F$6:$Z$6,'Official Summary'!H$7,'Phase III Pro Forma'!$F$225:$Z$225)+SUMIF('Phase I Pro Forma'!$F$6:$Z$6,'Official Summary'!H$7,'Phase I Pro Forma'!$F$155:$Z$155)+SUMIF('Phase II Pro Forma'!$F$6:$Z$6,'Official Summary'!H$7,'Phase II Pro Forma'!$F$155:$Z$155)+SUMIF('Phase III Pro Forma'!$F$6:$Z$6,'Official Summary'!H$7,'Phase III Pro Forma'!$F$155:$Z$155)</f>
        <v>0</v>
      </c>
      <c r="I25" s="305">
        <f>+SUMIF('Phase I Pro Forma'!$F$6:$Z$6,'Official Summary'!I$7,'Phase I Pro Forma'!$F$270:$Z$270)+SUMIF('Phase II Pro Forma'!$F$6:$Z$6,'Official Summary'!I$7,'Phase II Pro Forma'!$F$270:$Z$270)+SUMIF('Phase III Pro Forma'!$F$6:$Z$6,'Official Summary'!I$7,'Phase III Pro Forma'!$F$270:$Z$270)+SUMIF('Phase I Pro Forma'!$F$6:$Z$6,'Official Summary'!I$7,'Phase I Pro Forma'!$F$225:$Z$225)+SUMIF('Phase II Pro Forma'!$F$6:$Z$6,'Official Summary'!I$7,'Phase II Pro Forma'!$F$225:$Z$225)+SUMIF('Phase III Pro Forma'!$F$6:$Z$6,'Official Summary'!I$7,'Phase III Pro Forma'!$F$225:$Z$225)+SUMIF('Phase I Pro Forma'!$F$6:$Z$6,'Official Summary'!I$7,'Phase I Pro Forma'!$F$155:$Z$155)+SUMIF('Phase II Pro Forma'!$F$6:$Z$6,'Official Summary'!I$7,'Phase II Pro Forma'!$F$155:$Z$155)+SUMIF('Phase III Pro Forma'!$F$6:$Z$6,'Official Summary'!I$7,'Phase III Pro Forma'!$F$155:$Z$155)</f>
        <v>0</v>
      </c>
      <c r="J25" s="305">
        <f>+SUMIF('Phase I Pro Forma'!$F$6:$Z$6,'Official Summary'!J$7,'Phase I Pro Forma'!$F$270:$Z$270)+SUMIF('Phase II Pro Forma'!$F$6:$Z$6,'Official Summary'!J$7,'Phase II Pro Forma'!$F$270:$Z$270)+SUMIF('Phase III Pro Forma'!$F$6:$Z$6,'Official Summary'!J$7,'Phase III Pro Forma'!$F$270:$Z$270)+SUMIF('Phase I Pro Forma'!$F$6:$Z$6,'Official Summary'!J$7,'Phase I Pro Forma'!$F$225:$Z$225)+SUMIF('Phase II Pro Forma'!$F$6:$Z$6,'Official Summary'!J$7,'Phase II Pro Forma'!$F$225:$Z$225)+SUMIF('Phase III Pro Forma'!$F$6:$Z$6,'Official Summary'!J$7,'Phase III Pro Forma'!$F$225:$Z$225)+SUMIF('Phase I Pro Forma'!$F$6:$Z$6,'Official Summary'!J$7,'Phase I Pro Forma'!$F$155:$Z$155)+SUMIF('Phase II Pro Forma'!$F$6:$Z$6,'Official Summary'!J$7,'Phase II Pro Forma'!$F$155:$Z$155)+SUMIF('Phase III Pro Forma'!$F$6:$Z$6,'Official Summary'!J$7,'Phase III Pro Forma'!$F$155:$Z$155)</f>
        <v>0</v>
      </c>
      <c r="K25" s="305">
        <f>+SUMIF('Phase I Pro Forma'!$F$6:$Z$6,'Official Summary'!K$7,'Phase I Pro Forma'!$F$270:$Z$270)+SUMIF('Phase II Pro Forma'!$F$6:$Z$6,'Official Summary'!K$7,'Phase II Pro Forma'!$F$270:$Z$270)+SUMIF('Phase III Pro Forma'!$F$6:$Z$6,'Official Summary'!K$7,'Phase III Pro Forma'!$F$270:$Z$270)+SUMIF('Phase I Pro Forma'!$F$6:$Z$6,'Official Summary'!K$7,'Phase I Pro Forma'!$F$225:$Z$225)+SUMIF('Phase II Pro Forma'!$F$6:$Z$6,'Official Summary'!K$7,'Phase II Pro Forma'!$F$225:$Z$225)+SUMIF('Phase III Pro Forma'!$F$6:$Z$6,'Official Summary'!K$7,'Phase III Pro Forma'!$F$225:$Z$225)+SUMIF('Phase I Pro Forma'!$F$6:$Z$6,'Official Summary'!K$7,'Phase I Pro Forma'!$F$155:$Z$155)+SUMIF('Phase II Pro Forma'!$F$6:$Z$6,'Official Summary'!K$7,'Phase II Pro Forma'!$F$155:$Z$155)+SUMIF('Phase III Pro Forma'!$F$6:$Z$6,'Official Summary'!K$7,'Phase III Pro Forma'!$F$155:$Z$155)</f>
        <v>0</v>
      </c>
      <c r="L25" s="305">
        <f>+SUMIF('Phase I Pro Forma'!$F$6:$Z$6,'Official Summary'!L$7,'Phase I Pro Forma'!$F$270:$Z$270)+SUMIF('Phase II Pro Forma'!$F$6:$Z$6,'Official Summary'!L$7,'Phase II Pro Forma'!$F$270:$Z$270)+SUMIF('Phase III Pro Forma'!$F$6:$Z$6,'Official Summary'!L$7,'Phase III Pro Forma'!$F$270:$Z$270)+SUMIF('Phase I Pro Forma'!$F$6:$Z$6,'Official Summary'!L$7,'Phase I Pro Forma'!$F$225:$Z$225)+SUMIF('Phase II Pro Forma'!$F$6:$Z$6,'Official Summary'!L$7,'Phase II Pro Forma'!$F$225:$Z$225)+SUMIF('Phase III Pro Forma'!$F$6:$Z$6,'Official Summary'!L$7,'Phase III Pro Forma'!$F$225:$Z$225)+SUMIF('Phase I Pro Forma'!$F$6:$Z$6,'Official Summary'!L$7,'Phase I Pro Forma'!$F$155:$Z$155)+SUMIF('Phase II Pro Forma'!$F$6:$Z$6,'Official Summary'!L$7,'Phase II Pro Forma'!$F$155:$Z$155)+SUMIF('Phase III Pro Forma'!$F$6:$Z$6,'Official Summary'!L$7,'Phase III Pro Forma'!$F$155:$Z$155)</f>
        <v>0</v>
      </c>
      <c r="M25" s="305">
        <f>+SUMIF('Phase I Pro Forma'!$F$6:$Z$6,'Official Summary'!M$7,'Phase I Pro Forma'!$F$270:$Z$270)+SUMIF('Phase II Pro Forma'!$F$6:$Z$6,'Official Summary'!M$7,'Phase II Pro Forma'!$F$270:$Z$270)+SUMIF('Phase III Pro Forma'!$F$6:$Z$6,'Official Summary'!M$7,'Phase III Pro Forma'!$F$270:$Z$270)+SUMIF('Phase I Pro Forma'!$F$6:$Z$6,'Official Summary'!M$7,'Phase I Pro Forma'!$F$225:$Z$225)+SUMIF('Phase II Pro Forma'!$F$6:$Z$6,'Official Summary'!M$7,'Phase II Pro Forma'!$F$225:$Z$225)+SUMIF('Phase III Pro Forma'!$F$6:$Z$6,'Official Summary'!M$7,'Phase III Pro Forma'!$F$225:$Z$225)+SUMIF('Phase I Pro Forma'!$F$6:$Z$6,'Official Summary'!M$7,'Phase I Pro Forma'!$F$155:$Z$155)+SUMIF('Phase II Pro Forma'!$F$6:$Z$6,'Official Summary'!M$7,'Phase II Pro Forma'!$F$155:$Z$155)+SUMIF('Phase III Pro Forma'!$F$6:$Z$6,'Official Summary'!M$7,'Phase III Pro Forma'!$F$155:$Z$155)</f>
        <v>0</v>
      </c>
      <c r="N25" s="304">
        <f ca="1">+SUMIF('Phase I Pro Forma'!$F$6:$Z$6,'Official Summary'!N$7,'Phase I Pro Forma'!$F$270:$Z$270)+SUMIF('Phase II Pro Forma'!$F$6:$Z$6,'Official Summary'!N$7,'Phase II Pro Forma'!$F$270:$Z$270)+SUMIF('Phase III Pro Forma'!$F$6:$Z$6,'Official Summary'!N$7,'Phase III Pro Forma'!$F$270:$Z$270)+SUMIF('Phase I Pro Forma'!$F$6:$Z$6,'Official Summary'!N$7,'Phase I Pro Forma'!$F$225:$Z$225)+SUMIF('Phase II Pro Forma'!$F$6:$Z$6,'Official Summary'!N$7,'Phase II Pro Forma'!$F$225:$Z$225)+SUMIF('Phase III Pro Forma'!$F$6:$Z$6,'Official Summary'!N$7,'Phase III Pro Forma'!$F$225:$Z$225)+SUMIF('Phase I Pro Forma'!$F$6:$Z$6,'Official Summary'!N$7,'Phase I Pro Forma'!$F$155:$Z$155)+SUMIF('Phase II Pro Forma'!$F$6:$Z$6,'Official Summary'!N$7,'Phase II Pro Forma'!$F$155:$Z$155)+SUMIF('Phase III Pro Forma'!$F$6:$Z$6,'Official Summary'!N$7,'Phase III Pro Forma'!$F$155:$Z$155)</f>
        <v>1193317734.3381305</v>
      </c>
    </row>
    <row r="26" spans="2:14" ht="19" customHeight="1" x14ac:dyDescent="0.2">
      <c r="B26" s="300" t="s">
        <v>430</v>
      </c>
      <c r="C26" s="299"/>
      <c r="D26" s="284">
        <f>+SUMIF('Phase I Pro Forma'!$F$6:$Z$6,'Official Summary'!D$7,'Phase I Pro Forma'!$F$271:$Z$271)+SUMIF('Phase II Pro Forma'!$F$6:$Z$6,'Official Summary'!D$7,'Phase II Pro Forma'!$F$271:$Z$271)+SUMIF('Phase III Pro Forma'!$F$6:$Z$6,'Official Summary'!D$7,'Phase III Pro Forma'!$F$271:$Z$271)+SUMIF('Phase I Pro Forma'!$F$6:$Z$6,'Official Summary'!D$7,'Phase I Pro Forma'!$F$226:$Z$226)+SUMIF('Phase II Pro Forma'!$F$6:$Z$6,'Official Summary'!D$7,'Phase II Pro Forma'!$F$226:$Z$226)+SUMIF('Phase III Pro Forma'!$F$6:$Z$6,'Official Summary'!D$7,'Phase III Pro Forma'!$F$226:$Z$226)+SUMIF('Phase I Pro Forma'!$F$6:$Z$6,'Official Summary'!D$7,'Phase I Pro Forma'!$F$157:$Z$157)+SUMIF('Phase II Pro Forma'!$F$6:$Z$6,'Official Summary'!D$7,'Phase II Pro Forma'!$F$157:$Z$157)+SUMIF('Phase III Pro Forma'!$F$6:$Z$6,'Official Summary'!D$7,'Phase III Pro Forma'!$F$157:$Z$157)</f>
        <v>0</v>
      </c>
      <c r="E26" s="306">
        <f>+SUMIF('Phase I Pro Forma'!$F$6:$Z$6,'Official Summary'!E$7,'Phase I Pro Forma'!$F$271:$Z$271)+SUMIF('Phase II Pro Forma'!$F$6:$Z$6,'Official Summary'!E$7,'Phase II Pro Forma'!$F$271:$Z$271)+SUMIF('Phase III Pro Forma'!$F$6:$Z$6,'Official Summary'!E$7,'Phase III Pro Forma'!$F$271:$Z$271)+SUMIF('Phase I Pro Forma'!$F$6:$Z$6,'Official Summary'!E$7,'Phase I Pro Forma'!$F$226:$Z$226)+SUMIF('Phase II Pro Forma'!$F$6:$Z$6,'Official Summary'!E$7,'Phase II Pro Forma'!$F$226:$Z$226)+SUMIF('Phase III Pro Forma'!$F$6:$Z$6,'Official Summary'!E$7,'Phase III Pro Forma'!$F$226:$Z$226)+SUMIF('Phase I Pro Forma'!$F$6:$Z$6,'Official Summary'!E$7,'Phase I Pro Forma'!$F$157:$Z$157)+SUMIF('Phase II Pro Forma'!$F$6:$Z$6,'Official Summary'!E$7,'Phase II Pro Forma'!$F$157:$Z$157)+SUMIF('Phase III Pro Forma'!$F$6:$Z$6,'Official Summary'!E$7,'Phase III Pro Forma'!$F$157:$Z$157)</f>
        <v>0</v>
      </c>
      <c r="F26" s="280">
        <f>+SUMIF('Phase I Pro Forma'!$F$6:$Z$6,'Official Summary'!F$7,'Phase I Pro Forma'!$F$271:$Z$271)+SUMIF('Phase II Pro Forma'!$F$6:$Z$6,'Official Summary'!F$7,'Phase II Pro Forma'!$F$271:$Z$271)+SUMIF('Phase III Pro Forma'!$F$6:$Z$6,'Official Summary'!F$7,'Phase III Pro Forma'!$F$271:$Z$271)+SUMIF('Phase I Pro Forma'!$F$6:$Z$6,'Official Summary'!F$7,'Phase I Pro Forma'!$F$226:$Z$226)+SUMIF('Phase II Pro Forma'!$F$6:$Z$6,'Official Summary'!F$7,'Phase II Pro Forma'!$F$226:$Z$226)+SUMIF('Phase III Pro Forma'!$F$6:$Z$6,'Official Summary'!F$7,'Phase III Pro Forma'!$F$226:$Z$226)+SUMIF('Phase I Pro Forma'!$F$6:$Z$6,'Official Summary'!F$7,'Phase I Pro Forma'!$F$157:$Z$157)+SUMIF('Phase II Pro Forma'!$F$6:$Z$6,'Official Summary'!F$7,'Phase II Pro Forma'!$F$157:$Z$157)+SUMIF('Phase III Pro Forma'!$F$6:$Z$6,'Official Summary'!F$7,'Phase III Pro Forma'!$F$157:$Z$157)</f>
        <v>0</v>
      </c>
      <c r="G26" s="306">
        <f>+SUMIF('Phase I Pro Forma'!$F$6:$Z$6,'Official Summary'!G$7,'Phase I Pro Forma'!$F$271:$Z$271)+SUMIF('Phase II Pro Forma'!$F$6:$Z$6,'Official Summary'!G$7,'Phase II Pro Forma'!$F$271:$Z$271)+SUMIF('Phase III Pro Forma'!$F$6:$Z$6,'Official Summary'!G$7,'Phase III Pro Forma'!$F$271:$Z$271)+SUMIF('Phase I Pro Forma'!$F$6:$Z$6,'Official Summary'!G$7,'Phase I Pro Forma'!$F$226:$Z$226)+SUMIF('Phase II Pro Forma'!$F$6:$Z$6,'Official Summary'!G$7,'Phase II Pro Forma'!$F$226:$Z$226)+SUMIF('Phase III Pro Forma'!$F$6:$Z$6,'Official Summary'!G$7,'Phase III Pro Forma'!$F$226:$Z$226)+SUMIF('Phase I Pro Forma'!$F$6:$Z$6,'Official Summary'!G$7,'Phase I Pro Forma'!$F$157:$Z$157)+SUMIF('Phase II Pro Forma'!$F$6:$Z$6,'Official Summary'!G$7,'Phase II Pro Forma'!$F$157:$Z$157)+SUMIF('Phase III Pro Forma'!$F$6:$Z$6,'Official Summary'!G$7,'Phase III Pro Forma'!$F$157:$Z$157)</f>
        <v>0</v>
      </c>
      <c r="H26" s="275">
        <f>+SUMIF('Phase I Pro Forma'!$F$6:$Z$6,'Official Summary'!H$7,'Phase I Pro Forma'!$F$271:$Z$271)+SUMIF('Phase II Pro Forma'!$F$6:$Z$6,'Official Summary'!H$7,'Phase II Pro Forma'!$F$271:$Z$271)+SUMIF('Phase III Pro Forma'!$F$6:$Z$6,'Official Summary'!H$7,'Phase III Pro Forma'!$F$271:$Z$271)+SUMIF('Phase I Pro Forma'!$F$6:$Z$6,'Official Summary'!H$7,'Phase I Pro Forma'!$F$226:$Z$226)+SUMIF('Phase II Pro Forma'!$F$6:$Z$6,'Official Summary'!H$7,'Phase II Pro Forma'!$F$226:$Z$226)+SUMIF('Phase III Pro Forma'!$F$6:$Z$6,'Official Summary'!H$7,'Phase III Pro Forma'!$F$226:$Z$226)+SUMIF('Phase I Pro Forma'!$F$6:$Z$6,'Official Summary'!H$7,'Phase I Pro Forma'!$F$157:$Z$157)+SUMIF('Phase II Pro Forma'!$F$6:$Z$6,'Official Summary'!H$7,'Phase II Pro Forma'!$F$157:$Z$157)+SUMIF('Phase III Pro Forma'!$F$6:$Z$6,'Official Summary'!H$7,'Phase III Pro Forma'!$F$157:$Z$157)</f>
        <v>0</v>
      </c>
      <c r="I26" s="306">
        <f>+SUMIF('Phase I Pro Forma'!$F$6:$Z$6,'Official Summary'!I$7,'Phase I Pro Forma'!$F$271:$Z$271)+SUMIF('Phase II Pro Forma'!$F$6:$Z$6,'Official Summary'!I$7,'Phase II Pro Forma'!$F$271:$Z$271)+SUMIF('Phase III Pro Forma'!$F$6:$Z$6,'Official Summary'!I$7,'Phase III Pro Forma'!$F$271:$Z$271)+SUMIF('Phase I Pro Forma'!$F$6:$Z$6,'Official Summary'!I$7,'Phase I Pro Forma'!$F$226:$Z$226)+SUMIF('Phase II Pro Forma'!$F$6:$Z$6,'Official Summary'!I$7,'Phase II Pro Forma'!$F$226:$Z$226)+SUMIF('Phase III Pro Forma'!$F$6:$Z$6,'Official Summary'!I$7,'Phase III Pro Forma'!$F$226:$Z$226)+SUMIF('Phase I Pro Forma'!$F$6:$Z$6,'Official Summary'!I$7,'Phase I Pro Forma'!$F$157:$Z$157)+SUMIF('Phase II Pro Forma'!$F$6:$Z$6,'Official Summary'!I$7,'Phase II Pro Forma'!$F$157:$Z$157)+SUMIF('Phase III Pro Forma'!$F$6:$Z$6,'Official Summary'!I$7,'Phase III Pro Forma'!$F$157:$Z$157)</f>
        <v>0</v>
      </c>
      <c r="J26" s="306">
        <f>+SUMIF('Phase I Pro Forma'!$F$6:$Z$6,'Official Summary'!J$7,'Phase I Pro Forma'!$F$271:$Z$271)+SUMIF('Phase II Pro Forma'!$F$6:$Z$6,'Official Summary'!J$7,'Phase II Pro Forma'!$F$271:$Z$271)+SUMIF('Phase III Pro Forma'!$F$6:$Z$6,'Official Summary'!J$7,'Phase III Pro Forma'!$F$271:$Z$271)+SUMIF('Phase I Pro Forma'!$F$6:$Z$6,'Official Summary'!J$7,'Phase I Pro Forma'!$F$226:$Z$226)+SUMIF('Phase II Pro Forma'!$F$6:$Z$6,'Official Summary'!J$7,'Phase II Pro Forma'!$F$226:$Z$226)+SUMIF('Phase III Pro Forma'!$F$6:$Z$6,'Official Summary'!J$7,'Phase III Pro Forma'!$F$226:$Z$226)+SUMIF('Phase I Pro Forma'!$F$6:$Z$6,'Official Summary'!J$7,'Phase I Pro Forma'!$F$157:$Z$157)+SUMIF('Phase II Pro Forma'!$F$6:$Z$6,'Official Summary'!J$7,'Phase II Pro Forma'!$F$157:$Z$157)+SUMIF('Phase III Pro Forma'!$F$6:$Z$6,'Official Summary'!J$7,'Phase III Pro Forma'!$F$157:$Z$157)</f>
        <v>0</v>
      </c>
      <c r="K26" s="306">
        <f>+SUMIF('Phase I Pro Forma'!$F$6:$Z$6,'Official Summary'!K$7,'Phase I Pro Forma'!$F$271:$Z$271)+SUMIF('Phase II Pro Forma'!$F$6:$Z$6,'Official Summary'!K$7,'Phase II Pro Forma'!$F$271:$Z$271)+SUMIF('Phase III Pro Forma'!$F$6:$Z$6,'Official Summary'!K$7,'Phase III Pro Forma'!$F$271:$Z$271)+SUMIF('Phase I Pro Forma'!$F$6:$Z$6,'Official Summary'!K$7,'Phase I Pro Forma'!$F$226:$Z$226)+SUMIF('Phase II Pro Forma'!$F$6:$Z$6,'Official Summary'!K$7,'Phase II Pro Forma'!$F$226:$Z$226)+SUMIF('Phase III Pro Forma'!$F$6:$Z$6,'Official Summary'!K$7,'Phase III Pro Forma'!$F$226:$Z$226)+SUMIF('Phase I Pro Forma'!$F$6:$Z$6,'Official Summary'!K$7,'Phase I Pro Forma'!$F$157:$Z$157)+SUMIF('Phase II Pro Forma'!$F$6:$Z$6,'Official Summary'!K$7,'Phase II Pro Forma'!$F$157:$Z$157)+SUMIF('Phase III Pro Forma'!$F$6:$Z$6,'Official Summary'!K$7,'Phase III Pro Forma'!$F$157:$Z$157)</f>
        <v>0</v>
      </c>
      <c r="L26" s="306">
        <f>+SUMIF('Phase I Pro Forma'!$F$6:$Z$6,'Official Summary'!L$7,'Phase I Pro Forma'!$F$271:$Z$271)+SUMIF('Phase II Pro Forma'!$F$6:$Z$6,'Official Summary'!L$7,'Phase II Pro Forma'!$F$271:$Z$271)+SUMIF('Phase III Pro Forma'!$F$6:$Z$6,'Official Summary'!L$7,'Phase III Pro Forma'!$F$271:$Z$271)+SUMIF('Phase I Pro Forma'!$F$6:$Z$6,'Official Summary'!L$7,'Phase I Pro Forma'!$F$226:$Z$226)+SUMIF('Phase II Pro Forma'!$F$6:$Z$6,'Official Summary'!L$7,'Phase II Pro Forma'!$F$226:$Z$226)+SUMIF('Phase III Pro Forma'!$F$6:$Z$6,'Official Summary'!L$7,'Phase III Pro Forma'!$F$226:$Z$226)+SUMIF('Phase I Pro Forma'!$F$6:$Z$6,'Official Summary'!L$7,'Phase I Pro Forma'!$F$157:$Z$157)+SUMIF('Phase II Pro Forma'!$F$6:$Z$6,'Official Summary'!L$7,'Phase II Pro Forma'!$F$157:$Z$157)+SUMIF('Phase III Pro Forma'!$F$6:$Z$6,'Official Summary'!L$7,'Phase III Pro Forma'!$F$157:$Z$157)</f>
        <v>0</v>
      </c>
      <c r="M26" s="306">
        <f>+SUMIF('Phase I Pro Forma'!$F$6:$Z$6,'Official Summary'!M$7,'Phase I Pro Forma'!$F$271:$Z$271)+SUMIF('Phase II Pro Forma'!$F$6:$Z$6,'Official Summary'!M$7,'Phase II Pro Forma'!$F$271:$Z$271)+SUMIF('Phase III Pro Forma'!$F$6:$Z$6,'Official Summary'!M$7,'Phase III Pro Forma'!$F$271:$Z$271)+SUMIF('Phase I Pro Forma'!$F$6:$Z$6,'Official Summary'!M$7,'Phase I Pro Forma'!$F$226:$Z$226)+SUMIF('Phase II Pro Forma'!$F$6:$Z$6,'Official Summary'!M$7,'Phase II Pro Forma'!$F$226:$Z$226)+SUMIF('Phase III Pro Forma'!$F$6:$Z$6,'Official Summary'!M$7,'Phase III Pro Forma'!$F$226:$Z$226)+SUMIF('Phase I Pro Forma'!$F$6:$Z$6,'Official Summary'!M$7,'Phase I Pro Forma'!$F$157:$Z$157)+SUMIF('Phase II Pro Forma'!$F$6:$Z$6,'Official Summary'!M$7,'Phase II Pro Forma'!$F$157:$Z$157)+SUMIF('Phase III Pro Forma'!$F$6:$Z$6,'Official Summary'!M$7,'Phase III Pro Forma'!$F$157:$Z$157)</f>
        <v>0</v>
      </c>
      <c r="N26" s="289">
        <f ca="1">+SUMIF('Phase I Pro Forma'!$F$6:$Z$6,'Official Summary'!N$7,'Phase I Pro Forma'!$F$271:$Z$271)+SUMIF('Phase II Pro Forma'!$F$6:$Z$6,'Official Summary'!N$7,'Phase II Pro Forma'!$F$271:$Z$271)+SUMIF('Phase III Pro Forma'!$F$6:$Z$6,'Official Summary'!N$7,'Phase III Pro Forma'!$F$271:$Z$271)+SUMIF('Phase I Pro Forma'!$F$6:$Z$6,'Official Summary'!N$7,'Phase I Pro Forma'!$F$226:$Z$226)+SUMIF('Phase II Pro Forma'!$F$6:$Z$6,'Official Summary'!N$7,'Phase II Pro Forma'!$F$226:$Z$226)+SUMIF('Phase III Pro Forma'!$F$6:$Z$6,'Official Summary'!N$7,'Phase III Pro Forma'!$F$226:$Z$226)+SUMIF('Phase I Pro Forma'!$F$6:$Z$6,'Official Summary'!N$7,'Phase I Pro Forma'!$F$157:$Z$157)+SUMIF('Phase II Pro Forma'!$F$6:$Z$6,'Official Summary'!N$7,'Phase II Pro Forma'!$F$157:$Z$157)+SUMIF('Phase III Pro Forma'!$F$6:$Z$6,'Official Summary'!N$7,'Phase III Pro Forma'!$F$157:$Z$157)</f>
        <v>-23866354.686762609</v>
      </c>
    </row>
    <row r="27" spans="2:14" ht="19" customHeight="1" x14ac:dyDescent="0.2">
      <c r="B27" s="294" t="s">
        <v>49</v>
      </c>
      <c r="C27" s="266"/>
      <c r="D27" s="295">
        <f ca="1">+SUM(D24:D26)</f>
        <v>0</v>
      </c>
      <c r="E27" s="295">
        <f t="shared" ref="E27:N27" ca="1" si="3">+SUM(E24:E26)</f>
        <v>-2859903.3463380821</v>
      </c>
      <c r="F27" s="295">
        <f t="shared" ca="1" si="3"/>
        <v>-2859903.3463380821</v>
      </c>
      <c r="G27" s="295">
        <f t="shared" ca="1" si="3"/>
        <v>7687890.3966812883</v>
      </c>
      <c r="H27" s="295">
        <f t="shared" ca="1" si="3"/>
        <v>20831115.461269658</v>
      </c>
      <c r="I27" s="295">
        <f t="shared" ca="1" si="3"/>
        <v>28428351.241085008</v>
      </c>
      <c r="J27" s="295">
        <f t="shared" ca="1" si="3"/>
        <v>37748585.588745967</v>
      </c>
      <c r="K27" s="295">
        <f t="shared" ca="1" si="3"/>
        <v>52926216.254063927</v>
      </c>
      <c r="L27" s="295">
        <f t="shared" ca="1" si="3"/>
        <v>67345917.717971891</v>
      </c>
      <c r="M27" s="295">
        <f t="shared" ca="1" si="3"/>
        <v>71151841.054904044</v>
      </c>
      <c r="N27" s="295">
        <f t="shared" ca="1" si="3"/>
        <v>1243407438.5198505</v>
      </c>
    </row>
    <row r="28" spans="2:14" ht="19" customHeight="1" x14ac:dyDescent="0.2">
      <c r="B28" s="1015" t="s">
        <v>935</v>
      </c>
      <c r="C28" s="1015"/>
      <c r="D28" s="1015"/>
      <c r="E28" s="1015"/>
      <c r="F28" s="1015"/>
      <c r="G28" s="1015"/>
      <c r="H28" s="1015"/>
      <c r="I28" s="1015"/>
      <c r="J28" s="1015"/>
      <c r="K28" s="1015"/>
      <c r="L28" s="1015"/>
      <c r="M28" s="1015"/>
      <c r="N28" s="1015"/>
    </row>
    <row r="29" spans="2:14" ht="19" customHeight="1" x14ac:dyDescent="0.2">
      <c r="B29" s="237"/>
      <c r="C29" s="238"/>
      <c r="D29" s="239"/>
      <c r="E29" s="240"/>
      <c r="F29" s="240"/>
      <c r="G29" s="240"/>
      <c r="H29" s="240"/>
      <c r="I29" s="240"/>
      <c r="J29" s="240"/>
      <c r="K29" s="240"/>
      <c r="L29" s="240"/>
      <c r="M29" s="241"/>
      <c r="N29" s="240"/>
    </row>
    <row r="30" spans="2:14" ht="19" customHeight="1" x14ac:dyDescent="0.2">
      <c r="B30" s="262" t="s">
        <v>2</v>
      </c>
      <c r="C30" s="262"/>
      <c r="D30" s="281" t="s">
        <v>21</v>
      </c>
      <c r="F30" s="276" t="s">
        <v>375</v>
      </c>
      <c r="G30" s="263"/>
      <c r="H30" s="271" t="s">
        <v>378</v>
      </c>
      <c r="I30" s="263"/>
      <c r="J30" s="263"/>
      <c r="K30" s="263"/>
      <c r="L30" s="263"/>
      <c r="M30" s="249"/>
      <c r="N30" s="285" t="s">
        <v>428</v>
      </c>
    </row>
    <row r="31" spans="2:14" ht="19" customHeight="1" x14ac:dyDescent="0.2">
      <c r="B31" s="292" t="s">
        <v>57</v>
      </c>
      <c r="C31" s="264"/>
      <c r="D31" s="282"/>
      <c r="F31" s="277"/>
      <c r="G31" s="235"/>
      <c r="H31" s="272"/>
      <c r="I31" s="235"/>
      <c r="J31" s="235"/>
      <c r="K31" s="235"/>
      <c r="L31" s="235"/>
      <c r="M31" s="236"/>
      <c r="N31" s="287"/>
    </row>
    <row r="32" spans="2:14" ht="19" customHeight="1" x14ac:dyDescent="0.2">
      <c r="B32" s="296" t="s">
        <v>920</v>
      </c>
      <c r="C32" s="296"/>
      <c r="D32" s="283">
        <f ca="1">+(SUMIF('Phase I Pro Forma'!$F$6:$Z$6,'Official Summary'!D$7,'Phase I Pro Forma'!$F$287:$Z$287)+SUMIF('Phase II Pro Forma'!$F$6:$Z$6,'Official Summary'!D$7,'Phase II Pro Forma'!$F$287:$Z$287)+SUMIF('Phase III Pro Forma'!$F$6:$Z$6,'Official Summary'!D$7,'Phase III Pro Forma'!$F$287:$Z$287))*(SUM(Budget!$N$35:$N$44)/SUM(Budget!$M$35:$U$44))</f>
        <v>53241.378026500701</v>
      </c>
      <c r="E32" s="265">
        <f ca="1">+(SUMIF('Phase I Pro Forma'!$F$6:$Z$6,'Official Summary'!E$7,'Phase I Pro Forma'!$F$287:$Z$287)+SUMIF('Phase II Pro Forma'!$F$6:$Z$6,'Official Summary'!E$7,'Phase II Pro Forma'!$F$287:$Z$287)+SUMIF('Phase III Pro Forma'!$F$6:$Z$6,'Official Summary'!E$7,'Phase III Pro Forma'!$F$287:$Z$287))*(SUM(Budget!$N$35:$N$44)/SUM(Budget!$M$35:$U$44))</f>
        <v>49498418.752369188</v>
      </c>
      <c r="F32" s="279">
        <f ca="1">+(SUMIF('Phase I Pro Forma'!$F$6:$Z$6,'Official Summary'!F$7,'Phase I Pro Forma'!$F$287:$Z$287)+SUMIF('Phase II Pro Forma'!$F$6:$Z$6,'Official Summary'!F$7,'Phase II Pro Forma'!$F$287:$Z$287)+SUMIF('Phase III Pro Forma'!$F$6:$Z$6,'Official Summary'!F$7,'Phase III Pro Forma'!$F$287:$Z$287))*(SUM(Budget!$N$35:$N$44)/SUM(Budget!$M$35:$U$44))</f>
        <v>49498418.752369188</v>
      </c>
      <c r="G32" s="265">
        <f ca="1">+(SUMIF('Phase I Pro Forma'!$F$6:$Z$6,'Official Summary'!G$7,'Phase I Pro Forma'!$F$287:$Z$287)+SUMIF('Phase II Pro Forma'!$F$6:$Z$6,'Official Summary'!G$7,'Phase II Pro Forma'!$F$287:$Z$287)+SUMIF('Phase III Pro Forma'!$F$6:$Z$6,'Official Summary'!G$7,'Phase III Pro Forma'!$F$287:$Z$287))*(SUM(Budget!$N$35:$N$44)/SUM(Budget!$M$35:$U$44))</f>
        <v>28975876.272661801</v>
      </c>
      <c r="H32" s="274">
        <f ca="1">+(SUMIF('Phase I Pro Forma'!$F$6:$Z$6,'Official Summary'!H$7,'Phase I Pro Forma'!$F$287:$Z$287)+SUMIF('Phase II Pro Forma'!$F$6:$Z$6,'Official Summary'!H$7,'Phase II Pro Forma'!$F$287:$Z$287)+SUMIF('Phase III Pro Forma'!$F$6:$Z$6,'Official Summary'!H$7,'Phase III Pro Forma'!$F$287:$Z$287))*(SUM(Budget!$N$35:$N$44)/SUM(Budget!$M$35:$U$44))</f>
        <v>28975876.272661801</v>
      </c>
      <c r="I32" s="265">
        <f ca="1">+(SUMIF('Phase I Pro Forma'!$F$6:$Z$6,'Official Summary'!I$7,'Phase I Pro Forma'!$F$287:$Z$287)+SUMIF('Phase II Pro Forma'!$F$6:$Z$6,'Official Summary'!I$7,'Phase II Pro Forma'!$F$287:$Z$287)+SUMIF('Phase III Pro Forma'!$F$6:$Z$6,'Official Summary'!I$7,'Phase III Pro Forma'!$F$287:$Z$287))*(SUM(Budget!$N$35:$N$44)/SUM(Budget!$M$35:$U$44))</f>
        <v>48424960.576475963</v>
      </c>
      <c r="J32" s="265">
        <f ca="1">+(SUMIF('Phase I Pro Forma'!$F$6:$Z$6,'Official Summary'!J$7,'Phase I Pro Forma'!$F$287:$Z$287)+SUMIF('Phase II Pro Forma'!$F$6:$Z$6,'Official Summary'!J$7,'Phase II Pro Forma'!$F$287:$Z$287)+SUMIF('Phase III Pro Forma'!$F$6:$Z$6,'Official Summary'!J$7,'Phase III Pro Forma'!$F$287:$Z$287))*(SUM(Budget!$N$35:$N$44)/SUM(Budget!$M$35:$U$44))</f>
        <v>48424960.576475963</v>
      </c>
      <c r="K32" s="265">
        <f ca="1">+(SUMIF('Phase I Pro Forma'!$F$6:$Z$6,'Official Summary'!K$7,'Phase I Pro Forma'!$F$287:$Z$287)+SUMIF('Phase II Pro Forma'!$F$6:$Z$6,'Official Summary'!K$7,'Phase II Pro Forma'!$F$287:$Z$287)+SUMIF('Phase III Pro Forma'!$F$6:$Z$6,'Official Summary'!K$7,'Phase III Pro Forma'!$F$287:$Z$287))*(SUM(Budget!$N$35:$N$44)/SUM(Budget!$M$35:$U$44))</f>
        <v>0</v>
      </c>
      <c r="L32" s="265">
        <f ca="1">+(SUMIF('Phase I Pro Forma'!$F$6:$Z$6,'Official Summary'!L$7,'Phase I Pro Forma'!$F$287:$Z$287)+SUMIF('Phase II Pro Forma'!$F$6:$Z$6,'Official Summary'!L$7,'Phase II Pro Forma'!$F$287:$Z$287)+SUMIF('Phase III Pro Forma'!$F$6:$Z$6,'Official Summary'!L$7,'Phase III Pro Forma'!$F$287:$Z$287))*(SUM(Budget!$N$35:$N$44)/SUM(Budget!$M$35:$U$44))</f>
        <v>0</v>
      </c>
      <c r="M32" s="265">
        <f ca="1">+(SUMIF('Phase I Pro Forma'!$F$6:$Z$6,'Official Summary'!M$7,'Phase I Pro Forma'!$F$287:$Z$287)+SUMIF('Phase II Pro Forma'!$F$6:$Z$6,'Official Summary'!M$7,'Phase II Pro Forma'!$F$287:$Z$287)+SUMIF('Phase III Pro Forma'!$F$6:$Z$6,'Official Summary'!M$7,'Phase III Pro Forma'!$F$287:$Z$287))*(SUM(Budget!$N$35:$N$44)/SUM(Budget!$M$35:$U$44))</f>
        <v>0</v>
      </c>
      <c r="N32" s="288">
        <f ca="1">+(SUMIF('Phase I Pro Forma'!$F$6:$Z$6,'Official Summary'!N$7,'Phase I Pro Forma'!$F$287:$Z$287)+SUMIF('Phase II Pro Forma'!$F$6:$Z$6,'Official Summary'!N$7,'Phase II Pro Forma'!$F$287:$Z$287)+SUMIF('Phase III Pro Forma'!$F$6:$Z$6,'Official Summary'!N$7,'Phase III Pro Forma'!$F$287:$Z$287))*(SUM(Budget!$N$35:$N$44)/SUM(Budget!$M$35:$U$44))</f>
        <v>0</v>
      </c>
    </row>
    <row r="33" spans="2:14" ht="19" customHeight="1" x14ac:dyDescent="0.2">
      <c r="B33" s="296" t="s">
        <v>921</v>
      </c>
      <c r="C33" s="296"/>
      <c r="D33" s="284" t="s">
        <v>491</v>
      </c>
      <c r="E33" s="259" t="s">
        <v>491</v>
      </c>
      <c r="F33" s="280" t="s">
        <v>491</v>
      </c>
      <c r="G33" s="259" t="s">
        <v>491</v>
      </c>
      <c r="H33" s="275" t="s">
        <v>491</v>
      </c>
      <c r="I33" s="259" t="s">
        <v>491</v>
      </c>
      <c r="J33" s="259" t="s">
        <v>491</v>
      </c>
      <c r="K33" s="259" t="s">
        <v>491</v>
      </c>
      <c r="L33" s="259" t="s">
        <v>491</v>
      </c>
      <c r="M33" s="259" t="s">
        <v>491</v>
      </c>
      <c r="N33" s="289" t="s">
        <v>491</v>
      </c>
    </row>
    <row r="34" spans="2:14" ht="19" customHeight="1" x14ac:dyDescent="0.2">
      <c r="B34" s="296" t="s">
        <v>424</v>
      </c>
      <c r="C34" s="297"/>
      <c r="D34" s="284">
        <f ca="1">+(SUMIF('Phase I Pro Forma'!$F$6:$Z$6,'Official Summary'!D$7,'Phase I Pro Forma'!$F$287:$Z$287)+SUMIF('Phase II Pro Forma'!$F$6:$Z$6,'Official Summary'!D$7,'Phase II Pro Forma'!$F$287:$Z$287)+SUMIF('Phase III Pro Forma'!$F$6:$Z$6,'Official Summary'!D$7,'Phase III Pro Forma'!$F$287:$Z$287))*(SUM(Budget!$M$35:$M$44)/SUM(Budget!$M$35:$U$44))</f>
        <v>12570.880922923778</v>
      </c>
      <c r="E34" s="259">
        <f ca="1">+(SUMIF('Phase I Pro Forma'!$F$6:$Z$6,'Official Summary'!E$7,'Phase I Pro Forma'!$F$287:$Z$287)+SUMIF('Phase II Pro Forma'!$F$6:$Z$6,'Official Summary'!E$7,'Phase II Pro Forma'!$F$287:$Z$287)+SUMIF('Phase III Pro Forma'!$F$6:$Z$6,'Official Summary'!E$7,'Phase III Pro Forma'!$F$287:$Z$287))*(SUM(Budget!$M$35:$M$44)/SUM(Budget!$M$35:$U$44))</f>
        <v>11687126.649864947</v>
      </c>
      <c r="F34" s="280">
        <f ca="1">+(SUMIF('Phase I Pro Forma'!$F$6:$Z$6,'Official Summary'!F$7,'Phase I Pro Forma'!$F$287:$Z$287)+SUMIF('Phase II Pro Forma'!$F$6:$Z$6,'Official Summary'!F$7,'Phase II Pro Forma'!$F$287:$Z$287)+SUMIF('Phase III Pro Forma'!$F$6:$Z$6,'Official Summary'!F$7,'Phase III Pro Forma'!$F$287:$Z$287))*(SUM(Budget!$M$35:$M$44)/SUM(Budget!$M$35:$U$44))</f>
        <v>11687126.649864947</v>
      </c>
      <c r="G34" s="259">
        <f ca="1">+(SUMIF('Phase I Pro Forma'!$F$6:$Z$6,'Official Summary'!G$7,'Phase I Pro Forma'!$F$287:$Z$287)+SUMIF('Phase II Pro Forma'!$F$6:$Z$6,'Official Summary'!G$7,'Phase II Pro Forma'!$F$287:$Z$287)+SUMIF('Phase III Pro Forma'!$F$6:$Z$6,'Official Summary'!G$7,'Phase III Pro Forma'!$F$287:$Z$287))*(SUM(Budget!$M$35:$M$44)/SUM(Budget!$M$35:$U$44))</f>
        <v>6841526.3421562584</v>
      </c>
      <c r="H34" s="275">
        <f ca="1">+(SUMIF('Phase I Pro Forma'!$F$6:$Z$6,'Official Summary'!H$7,'Phase I Pro Forma'!$F$287:$Z$287)+SUMIF('Phase II Pro Forma'!$F$6:$Z$6,'Official Summary'!H$7,'Phase II Pro Forma'!$F$287:$Z$287)+SUMIF('Phase III Pro Forma'!$F$6:$Z$6,'Official Summary'!H$7,'Phase III Pro Forma'!$F$287:$Z$287))*(SUM(Budget!$M$35:$M$44)/SUM(Budget!$M$35:$U$44))</f>
        <v>6841526.3421562584</v>
      </c>
      <c r="I34" s="259">
        <f ca="1">+(SUMIF('Phase I Pro Forma'!$F$6:$Z$6,'Official Summary'!I$7,'Phase I Pro Forma'!$F$287:$Z$287)+SUMIF('Phase II Pro Forma'!$F$6:$Z$6,'Official Summary'!I$7,'Phase II Pro Forma'!$F$287:$Z$287)+SUMIF('Phase III Pro Forma'!$F$6:$Z$6,'Official Summary'!I$7,'Phase III Pro Forma'!$F$287:$Z$287))*(SUM(Budget!$M$35:$M$44)/SUM(Budget!$M$35:$U$44))</f>
        <v>11433671.247223493</v>
      </c>
      <c r="J34" s="259">
        <f ca="1">+(SUMIF('Phase I Pro Forma'!$F$6:$Z$6,'Official Summary'!J$7,'Phase I Pro Forma'!$F$287:$Z$287)+SUMIF('Phase II Pro Forma'!$F$6:$Z$6,'Official Summary'!J$7,'Phase II Pro Forma'!$F$287:$Z$287)+SUMIF('Phase III Pro Forma'!$F$6:$Z$6,'Official Summary'!J$7,'Phase III Pro Forma'!$F$287:$Z$287))*(SUM(Budget!$M$35:$M$44)/SUM(Budget!$M$35:$U$44))</f>
        <v>11433671.247223493</v>
      </c>
      <c r="K34" s="259">
        <f ca="1">+(SUMIF('Phase I Pro Forma'!$F$6:$Z$6,'Official Summary'!K$7,'Phase I Pro Forma'!$F$287:$Z$287)+SUMIF('Phase II Pro Forma'!$F$6:$Z$6,'Official Summary'!K$7,'Phase II Pro Forma'!$F$287:$Z$287)+SUMIF('Phase III Pro Forma'!$F$6:$Z$6,'Official Summary'!K$7,'Phase III Pro Forma'!$F$287:$Z$287))*(SUM(Budget!$M$35:$M$44)/SUM(Budget!$M$35:$U$44))</f>
        <v>0</v>
      </c>
      <c r="L34" s="259">
        <f ca="1">+(SUMIF('Phase I Pro Forma'!$F$6:$Z$6,'Official Summary'!L$7,'Phase I Pro Forma'!$F$287:$Z$287)+SUMIF('Phase II Pro Forma'!$F$6:$Z$6,'Official Summary'!L$7,'Phase II Pro Forma'!$F$287:$Z$287)+SUMIF('Phase III Pro Forma'!$F$6:$Z$6,'Official Summary'!L$7,'Phase III Pro Forma'!$F$287:$Z$287))*(SUM(Budget!$M$35:$M$44)/SUM(Budget!$M$35:$U$44))</f>
        <v>0</v>
      </c>
      <c r="M34" s="259">
        <f ca="1">+(SUMIF('Phase I Pro Forma'!$F$6:$Z$6,'Official Summary'!M$7,'Phase I Pro Forma'!$F$287:$Z$287)+SUMIF('Phase II Pro Forma'!$F$6:$Z$6,'Official Summary'!M$7,'Phase II Pro Forma'!$F$287:$Z$287)+SUMIF('Phase III Pro Forma'!$F$6:$Z$6,'Official Summary'!M$7,'Phase III Pro Forma'!$F$287:$Z$287))*(SUM(Budget!$M$35:$M$44)/SUM(Budget!$M$35:$U$44))</f>
        <v>0</v>
      </c>
      <c r="N34" s="289">
        <f ca="1">+(SUMIF('Phase I Pro Forma'!$F$6:$Z$6,'Official Summary'!N$7,'Phase I Pro Forma'!$F$287:$Z$287)+SUMIF('Phase II Pro Forma'!$F$6:$Z$6,'Official Summary'!N$7,'Phase II Pro Forma'!$F$287:$Z$287)+SUMIF('Phase III Pro Forma'!$F$6:$Z$6,'Official Summary'!N$7,'Phase III Pro Forma'!$F$287:$Z$287))*(SUM(Budget!$M$35:$M$44)/SUM(Budget!$M$35:$U$44))</f>
        <v>0</v>
      </c>
    </row>
    <row r="35" spans="2:14" ht="19" customHeight="1" x14ac:dyDescent="0.2">
      <c r="B35" s="296" t="s">
        <v>425</v>
      </c>
      <c r="C35" s="297"/>
      <c r="D35" s="284" t="s">
        <v>491</v>
      </c>
      <c r="E35" s="259" t="s">
        <v>491</v>
      </c>
      <c r="F35" s="280" t="s">
        <v>491</v>
      </c>
      <c r="G35" s="259" t="s">
        <v>491</v>
      </c>
      <c r="H35" s="275" t="s">
        <v>491</v>
      </c>
      <c r="I35" s="259" t="s">
        <v>491</v>
      </c>
      <c r="J35" s="259" t="s">
        <v>491</v>
      </c>
      <c r="K35" s="259" t="s">
        <v>491</v>
      </c>
      <c r="L35" s="259" t="s">
        <v>491</v>
      </c>
      <c r="M35" s="259" t="s">
        <v>491</v>
      </c>
      <c r="N35" s="289" t="s">
        <v>491</v>
      </c>
    </row>
    <row r="36" spans="2:14" ht="19" customHeight="1" x14ac:dyDescent="0.2">
      <c r="B36" s="338" t="s">
        <v>24</v>
      </c>
      <c r="C36" s="337"/>
      <c r="D36" s="284">
        <f ca="1">+(SUMIF('Phase I Pro Forma'!$F$6:$Z$6,'Official Summary'!D$7,'Phase I Pro Forma'!$F$287:$Z$287)+SUMIF('Phase II Pro Forma'!$F$6:$Z$6,'Official Summary'!D$7,'Phase II Pro Forma'!$F$287:$Z$287)+SUMIF('Phase III Pro Forma'!$F$6:$Z$6,'Official Summary'!D$7,'Phase III Pro Forma'!$F$287:$Z$287))*(SUM(Budget!$R$35:$R$44)/SUM(Budget!$M$35:$U$44))</f>
        <v>46326.041347642611</v>
      </c>
      <c r="E36" s="259">
        <f ca="1">+(SUMIF('Phase I Pro Forma'!$F$6:$Z$6,'Official Summary'!E$7,'Phase I Pro Forma'!$F$287:$Z$287)+SUMIF('Phase II Pro Forma'!$F$6:$Z$6,'Official Summary'!E$7,'Phase II Pro Forma'!$F$287:$Z$287)+SUMIF('Phase III Pro Forma'!$F$6:$Z$6,'Official Summary'!E$7,'Phase III Pro Forma'!$F$287:$Z$287))*(SUM(Budget!$R$35:$R$44)/SUM(Budget!$M$35:$U$44))</f>
        <v>43069241.983628184</v>
      </c>
      <c r="F36" s="280">
        <f ca="1">+(SUMIF('Phase I Pro Forma'!$F$6:$Z$6,'Official Summary'!F$7,'Phase I Pro Forma'!$F$287:$Z$287)+SUMIF('Phase II Pro Forma'!$F$6:$Z$6,'Official Summary'!F$7,'Phase II Pro Forma'!$F$287:$Z$287)+SUMIF('Phase III Pro Forma'!$F$6:$Z$6,'Official Summary'!F$7,'Phase III Pro Forma'!$F$287:$Z$287))*(SUM(Budget!$R$35:$R$44)/SUM(Budget!$M$35:$U$44))</f>
        <v>43069241.983628184</v>
      </c>
      <c r="G36" s="259">
        <f ca="1">+(SUMIF('Phase I Pro Forma'!$F$6:$Z$6,'Official Summary'!G$7,'Phase I Pro Forma'!$F$287:$Z$287)+SUMIF('Phase II Pro Forma'!$F$6:$Z$6,'Official Summary'!G$7,'Phase II Pro Forma'!$F$287:$Z$287)+SUMIF('Phase III Pro Forma'!$F$6:$Z$6,'Official Summary'!G$7,'Phase III Pro Forma'!$F$287:$Z$287))*(SUM(Budget!$R$35:$R$44)/SUM(Budget!$M$35:$U$44))</f>
        <v>25212300.884161249</v>
      </c>
      <c r="H36" s="275">
        <f ca="1">+(SUMIF('Phase I Pro Forma'!$F$6:$Z$6,'Official Summary'!H$7,'Phase I Pro Forma'!$F$287:$Z$287)+SUMIF('Phase II Pro Forma'!$F$6:$Z$6,'Official Summary'!H$7,'Phase II Pro Forma'!$F$287:$Z$287)+SUMIF('Phase III Pro Forma'!$F$6:$Z$6,'Official Summary'!H$7,'Phase III Pro Forma'!$F$287:$Z$287))*(SUM(Budget!$R$35:$R$44)/SUM(Budget!$M$35:$U$44))</f>
        <v>25212300.884161249</v>
      </c>
      <c r="I36" s="259">
        <f ca="1">+(SUMIF('Phase I Pro Forma'!$F$6:$Z$6,'Official Summary'!I$7,'Phase I Pro Forma'!$F$287:$Z$287)+SUMIF('Phase II Pro Forma'!$F$6:$Z$6,'Official Summary'!I$7,'Phase II Pro Forma'!$F$287:$Z$287)+SUMIF('Phase III Pro Forma'!$F$6:$Z$6,'Official Summary'!I$7,'Phase III Pro Forma'!$F$287:$Z$287))*(SUM(Budget!$R$35:$R$44)/SUM(Budget!$M$35:$U$44))</f>
        <v>42135211.5418045</v>
      </c>
      <c r="J36" s="259">
        <f ca="1">+(SUMIF('Phase I Pro Forma'!$F$6:$Z$6,'Official Summary'!J$7,'Phase I Pro Forma'!$F$287:$Z$287)+SUMIF('Phase II Pro Forma'!$F$6:$Z$6,'Official Summary'!J$7,'Phase II Pro Forma'!$F$287:$Z$287)+SUMIF('Phase III Pro Forma'!$F$6:$Z$6,'Official Summary'!J$7,'Phase III Pro Forma'!$F$287:$Z$287))*(SUM(Budget!$R$35:$R$44)/SUM(Budget!$M$35:$U$44))</f>
        <v>42135211.5418045</v>
      </c>
      <c r="K36" s="259">
        <f ca="1">+(SUMIF('Phase I Pro Forma'!$F$6:$Z$6,'Official Summary'!K$7,'Phase I Pro Forma'!$F$287:$Z$287)+SUMIF('Phase II Pro Forma'!$F$6:$Z$6,'Official Summary'!K$7,'Phase II Pro Forma'!$F$287:$Z$287)+SUMIF('Phase III Pro Forma'!$F$6:$Z$6,'Official Summary'!K$7,'Phase III Pro Forma'!$F$287:$Z$287))*(SUM(Budget!$R$35:$R$44)/SUM(Budget!$M$35:$U$44))</f>
        <v>0</v>
      </c>
      <c r="L36" s="259">
        <f ca="1">+(SUMIF('Phase I Pro Forma'!$F$6:$Z$6,'Official Summary'!L$7,'Phase I Pro Forma'!$F$287:$Z$287)+SUMIF('Phase II Pro Forma'!$F$6:$Z$6,'Official Summary'!L$7,'Phase II Pro Forma'!$F$287:$Z$287)+SUMIF('Phase III Pro Forma'!$F$6:$Z$6,'Official Summary'!L$7,'Phase III Pro Forma'!$F$287:$Z$287))*(SUM(Budget!$R$35:$R$44)/SUM(Budget!$M$35:$U$44))</f>
        <v>0</v>
      </c>
      <c r="M36" s="259">
        <f ca="1">+(SUMIF('Phase I Pro Forma'!$F$6:$Z$6,'Official Summary'!M$7,'Phase I Pro Forma'!$F$287:$Z$287)+SUMIF('Phase II Pro Forma'!$F$6:$Z$6,'Official Summary'!M$7,'Phase II Pro Forma'!$F$287:$Z$287)+SUMIF('Phase III Pro Forma'!$F$6:$Z$6,'Official Summary'!M$7,'Phase III Pro Forma'!$F$287:$Z$287))*(SUM(Budget!$R$35:$R$44)/SUM(Budget!$M$35:$U$44))</f>
        <v>0</v>
      </c>
      <c r="N36" s="289">
        <f ca="1">+(SUMIF('Phase I Pro Forma'!$F$6:$Z$6,'Official Summary'!N$7,'Phase I Pro Forma'!$F$287:$Z$287)+SUMIF('Phase II Pro Forma'!$F$6:$Z$6,'Official Summary'!N$7,'Phase II Pro Forma'!$F$287:$Z$287)+SUMIF('Phase III Pro Forma'!$F$6:$Z$6,'Official Summary'!N$7,'Phase III Pro Forma'!$F$287:$Z$287))*(SUM(Budget!$R$35:$R$44)/SUM(Budget!$M$35:$U$44))</f>
        <v>0</v>
      </c>
    </row>
    <row r="37" spans="2:14" ht="19" customHeight="1" x14ac:dyDescent="0.2">
      <c r="B37" s="338" t="s">
        <v>25</v>
      </c>
      <c r="C37" s="338"/>
      <c r="D37" s="284">
        <f ca="1">+(SUMIF('Phase I Pro Forma'!$F$6:$Z$6,'Official Summary'!D$7,'Phase I Pro Forma'!$F$287:$Z$287)+SUMIF('Phase II Pro Forma'!$F$6:$Z$6,'Official Summary'!D$7,'Phase II Pro Forma'!$F$287:$Z$287)+SUMIF('Phase III Pro Forma'!$F$6:$Z$6,'Official Summary'!D$7,'Phase III Pro Forma'!$F$287:$Z$287))*(SUM(Budget!$O$35:$O$44)/SUM(Budget!$M$35:$U$44))</f>
        <v>17786.18450777476</v>
      </c>
      <c r="E37" s="259">
        <f ca="1">+(SUMIF('Phase I Pro Forma'!$F$6:$Z$6,'Official Summary'!E$7,'Phase I Pro Forma'!$F$287:$Z$287)+SUMIF('Phase II Pro Forma'!$F$6:$Z$6,'Official Summary'!E$7,'Phase II Pro Forma'!$F$287:$Z$287)+SUMIF('Phase III Pro Forma'!$F$6:$Z$6,'Official Summary'!E$7,'Phase III Pro Forma'!$F$287:$Z$287))*(SUM(Budget!$O$35:$O$44)/SUM(Budget!$M$35:$U$44))</f>
        <v>16535785.537604352</v>
      </c>
      <c r="F37" s="280">
        <f ca="1">+(SUMIF('Phase I Pro Forma'!$F$6:$Z$6,'Official Summary'!F$7,'Phase I Pro Forma'!$F$287:$Z$287)+SUMIF('Phase II Pro Forma'!$F$6:$Z$6,'Official Summary'!F$7,'Phase II Pro Forma'!$F$287:$Z$287)+SUMIF('Phase III Pro Forma'!$F$6:$Z$6,'Official Summary'!F$7,'Phase III Pro Forma'!$F$287:$Z$287))*(SUM(Budget!$O$35:$O$44)/SUM(Budget!$M$35:$U$44))</f>
        <v>16535785.537604352</v>
      </c>
      <c r="G37" s="259">
        <f ca="1">+(SUMIF('Phase I Pro Forma'!$F$6:$Z$6,'Official Summary'!G$7,'Phase I Pro Forma'!$F$287:$Z$287)+SUMIF('Phase II Pro Forma'!$F$6:$Z$6,'Official Summary'!G$7,'Phase II Pro Forma'!$F$287:$Z$287)+SUMIF('Phase III Pro Forma'!$F$6:$Z$6,'Official Summary'!G$7,'Phase III Pro Forma'!$F$287:$Z$287))*(SUM(Budget!$O$35:$O$44)/SUM(Budget!$M$35:$U$44))</f>
        <v>9679882.4666689113</v>
      </c>
      <c r="H37" s="275">
        <f ca="1">+(SUMIF('Phase I Pro Forma'!$F$6:$Z$6,'Official Summary'!H$7,'Phase I Pro Forma'!$F$287:$Z$287)+SUMIF('Phase II Pro Forma'!$F$6:$Z$6,'Official Summary'!H$7,'Phase II Pro Forma'!$F$287:$Z$287)+SUMIF('Phase III Pro Forma'!$F$6:$Z$6,'Official Summary'!H$7,'Phase III Pro Forma'!$F$287:$Z$287))*(SUM(Budget!$O$35:$O$44)/SUM(Budget!$M$35:$U$44))</f>
        <v>9679882.4666689113</v>
      </c>
      <c r="I37" s="259">
        <f ca="1">+(SUMIF('Phase I Pro Forma'!$F$6:$Z$6,'Official Summary'!I$7,'Phase I Pro Forma'!$F$287:$Z$287)+SUMIF('Phase II Pro Forma'!$F$6:$Z$6,'Official Summary'!I$7,'Phase II Pro Forma'!$F$287:$Z$287)+SUMIF('Phase III Pro Forma'!$F$6:$Z$6,'Official Summary'!I$7,'Phase III Pro Forma'!$F$287:$Z$287))*(SUM(Budget!$O$35:$O$44)/SUM(Budget!$M$35:$U$44))</f>
        <v>16177178.644140536</v>
      </c>
      <c r="J37" s="259">
        <f ca="1">+(SUMIF('Phase I Pro Forma'!$F$6:$Z$6,'Official Summary'!J$7,'Phase I Pro Forma'!$F$287:$Z$287)+SUMIF('Phase II Pro Forma'!$F$6:$Z$6,'Official Summary'!J$7,'Phase II Pro Forma'!$F$287:$Z$287)+SUMIF('Phase III Pro Forma'!$F$6:$Z$6,'Official Summary'!J$7,'Phase III Pro Forma'!$F$287:$Z$287))*(SUM(Budget!$O$35:$O$44)/SUM(Budget!$M$35:$U$44))</f>
        <v>16177178.644140536</v>
      </c>
      <c r="K37" s="259">
        <f ca="1">+(SUMIF('Phase I Pro Forma'!$F$6:$Z$6,'Official Summary'!K$7,'Phase I Pro Forma'!$F$287:$Z$287)+SUMIF('Phase II Pro Forma'!$F$6:$Z$6,'Official Summary'!K$7,'Phase II Pro Forma'!$F$287:$Z$287)+SUMIF('Phase III Pro Forma'!$F$6:$Z$6,'Official Summary'!K$7,'Phase III Pro Forma'!$F$287:$Z$287))*(SUM(Budget!$O$35:$O$44)/SUM(Budget!$M$35:$U$44))</f>
        <v>0</v>
      </c>
      <c r="L37" s="259">
        <f ca="1">+(SUMIF('Phase I Pro Forma'!$F$6:$Z$6,'Official Summary'!L$7,'Phase I Pro Forma'!$F$287:$Z$287)+SUMIF('Phase II Pro Forma'!$F$6:$Z$6,'Official Summary'!L$7,'Phase II Pro Forma'!$F$287:$Z$287)+SUMIF('Phase III Pro Forma'!$F$6:$Z$6,'Official Summary'!L$7,'Phase III Pro Forma'!$F$287:$Z$287))*(SUM(Budget!$O$35:$O$44)/SUM(Budget!$M$35:$U$44))</f>
        <v>0</v>
      </c>
      <c r="M37" s="259">
        <f ca="1">+(SUMIF('Phase I Pro Forma'!$F$6:$Z$6,'Official Summary'!M$7,'Phase I Pro Forma'!$F$287:$Z$287)+SUMIF('Phase II Pro Forma'!$F$6:$Z$6,'Official Summary'!M$7,'Phase II Pro Forma'!$F$287:$Z$287)+SUMIF('Phase III Pro Forma'!$F$6:$Z$6,'Official Summary'!M$7,'Phase III Pro Forma'!$F$287:$Z$287))*(SUM(Budget!$O$35:$O$44)/SUM(Budget!$M$35:$U$44))</f>
        <v>0</v>
      </c>
      <c r="N37" s="289">
        <f ca="1">+(SUMIF('Phase I Pro Forma'!$F$6:$Z$6,'Official Summary'!N$7,'Phase I Pro Forma'!$F$287:$Z$287)+SUMIF('Phase II Pro Forma'!$F$6:$Z$6,'Official Summary'!N$7,'Phase II Pro Forma'!$F$287:$Z$287)+SUMIF('Phase III Pro Forma'!$F$6:$Z$6,'Official Summary'!N$7,'Phase III Pro Forma'!$F$287:$Z$287))*(SUM(Budget!$O$35:$O$44)/SUM(Budget!$M$35:$U$44))</f>
        <v>0</v>
      </c>
    </row>
    <row r="38" spans="2:14" ht="19" customHeight="1" x14ac:dyDescent="0.2">
      <c r="B38" s="297" t="s">
        <v>145</v>
      </c>
      <c r="C38" s="298"/>
      <c r="D38" s="284">
        <f ca="1">+(SUMIF('Phase I Pro Forma'!$F$6:$Z$6,'Official Summary'!D$7,'Phase I Pro Forma'!$F$287:$Z$287)+SUMIF('Phase II Pro Forma'!$F$6:$Z$6,'Official Summary'!D$7,'Phase II Pro Forma'!$F$287:$Z$287)+SUMIF('Phase III Pro Forma'!$F$6:$Z$6,'Official Summary'!D$7,'Phase III Pro Forma'!$F$287:$Z$287))*(SUM(Budget!$Q$35:$Q$44)/SUM(Budget!$M$35:$U$44))</f>
        <v>5952.5038075758366</v>
      </c>
      <c r="E38" s="259">
        <f ca="1">+(SUMIF('Phase I Pro Forma'!$F$6:$Z$6,'Official Summary'!E$7,'Phase I Pro Forma'!$F$287:$Z$287)+SUMIF('Phase II Pro Forma'!$F$6:$Z$6,'Official Summary'!E$7,'Phase II Pro Forma'!$F$287:$Z$287)+SUMIF('Phase III Pro Forma'!$F$6:$Z$6,'Official Summary'!E$7,'Phase III Pro Forma'!$F$287:$Z$287))*(SUM(Budget!$Q$35:$Q$44)/SUM(Budget!$M$35:$U$44))</f>
        <v>5534032.6831098357</v>
      </c>
      <c r="F38" s="280">
        <f ca="1">+(SUMIF('Phase I Pro Forma'!$F$6:$Z$6,'Official Summary'!F$7,'Phase I Pro Forma'!$F$287:$Z$287)+SUMIF('Phase II Pro Forma'!$F$6:$Z$6,'Official Summary'!F$7,'Phase II Pro Forma'!$F$287:$Z$287)+SUMIF('Phase III Pro Forma'!$F$6:$Z$6,'Official Summary'!F$7,'Phase III Pro Forma'!$F$287:$Z$287))*(SUM(Budget!$Q$35:$Q$44)/SUM(Budget!$M$35:$U$44))</f>
        <v>5534032.6831098357</v>
      </c>
      <c r="G38" s="259">
        <f ca="1">+(SUMIF('Phase I Pro Forma'!$F$6:$Z$6,'Official Summary'!G$7,'Phase I Pro Forma'!$F$287:$Z$287)+SUMIF('Phase II Pro Forma'!$F$6:$Z$6,'Official Summary'!G$7,'Phase II Pro Forma'!$F$287:$Z$287)+SUMIF('Phase III Pro Forma'!$F$6:$Z$6,'Official Summary'!G$7,'Phase III Pro Forma'!$F$287:$Z$287))*(SUM(Budget!$Q$35:$Q$44)/SUM(Budget!$M$35:$U$44))</f>
        <v>3239567.0479268003</v>
      </c>
      <c r="H38" s="275">
        <f ca="1">+(SUMIF('Phase I Pro Forma'!$F$6:$Z$6,'Official Summary'!H$7,'Phase I Pro Forma'!$F$287:$Z$287)+SUMIF('Phase II Pro Forma'!$F$6:$Z$6,'Official Summary'!H$7,'Phase II Pro Forma'!$F$287:$Z$287)+SUMIF('Phase III Pro Forma'!$F$6:$Z$6,'Official Summary'!H$7,'Phase III Pro Forma'!$F$287:$Z$287))*(SUM(Budget!$Q$35:$Q$44)/SUM(Budget!$M$35:$U$44))</f>
        <v>3239567.0479268003</v>
      </c>
      <c r="I38" s="259">
        <f ca="1">+(SUMIF('Phase I Pro Forma'!$F$6:$Z$6,'Official Summary'!I$7,'Phase I Pro Forma'!$F$287:$Z$287)+SUMIF('Phase II Pro Forma'!$F$6:$Z$6,'Official Summary'!I$7,'Phase II Pro Forma'!$F$287:$Z$287)+SUMIF('Phase III Pro Forma'!$F$6:$Z$6,'Official Summary'!I$7,'Phase III Pro Forma'!$F$287:$Z$287))*(SUM(Budget!$Q$35:$Q$44)/SUM(Budget!$M$35:$U$44))</f>
        <v>5414017.6850739606</v>
      </c>
      <c r="J38" s="259">
        <f ca="1">+(SUMIF('Phase I Pro Forma'!$F$6:$Z$6,'Official Summary'!J$7,'Phase I Pro Forma'!$F$287:$Z$287)+SUMIF('Phase II Pro Forma'!$F$6:$Z$6,'Official Summary'!J$7,'Phase II Pro Forma'!$F$287:$Z$287)+SUMIF('Phase III Pro Forma'!$F$6:$Z$6,'Official Summary'!J$7,'Phase III Pro Forma'!$F$287:$Z$287))*(SUM(Budget!$Q$35:$Q$44)/SUM(Budget!$M$35:$U$44))</f>
        <v>5414017.6850739606</v>
      </c>
      <c r="K38" s="259">
        <f ca="1">+(SUMIF('Phase I Pro Forma'!$F$6:$Z$6,'Official Summary'!K$7,'Phase I Pro Forma'!$F$287:$Z$287)+SUMIF('Phase II Pro Forma'!$F$6:$Z$6,'Official Summary'!K$7,'Phase II Pro Forma'!$F$287:$Z$287)+SUMIF('Phase III Pro Forma'!$F$6:$Z$6,'Official Summary'!K$7,'Phase III Pro Forma'!$F$287:$Z$287))*(SUM(Budget!$Q$35:$Q$44)/SUM(Budget!$M$35:$U$44))</f>
        <v>0</v>
      </c>
      <c r="L38" s="259">
        <f ca="1">+(SUMIF('Phase I Pro Forma'!$F$6:$Z$6,'Official Summary'!L$7,'Phase I Pro Forma'!$F$287:$Z$287)+SUMIF('Phase II Pro Forma'!$F$6:$Z$6,'Official Summary'!L$7,'Phase II Pro Forma'!$F$287:$Z$287)+SUMIF('Phase III Pro Forma'!$F$6:$Z$6,'Official Summary'!L$7,'Phase III Pro Forma'!$F$287:$Z$287))*(SUM(Budget!$Q$35:$Q$44)/SUM(Budget!$M$35:$U$44))</f>
        <v>0</v>
      </c>
      <c r="M38" s="259">
        <f ca="1">+(SUMIF('Phase I Pro Forma'!$F$6:$Z$6,'Official Summary'!M$7,'Phase I Pro Forma'!$F$287:$Z$287)+SUMIF('Phase II Pro Forma'!$F$6:$Z$6,'Official Summary'!M$7,'Phase II Pro Forma'!$F$287:$Z$287)+SUMIF('Phase III Pro Forma'!$F$6:$Z$6,'Official Summary'!M$7,'Phase III Pro Forma'!$F$287:$Z$287))*(SUM(Budget!$Q$35:$Q$44)/SUM(Budget!$M$35:$U$44))</f>
        <v>0</v>
      </c>
      <c r="N38" s="289">
        <f ca="1">+(SUMIF('Phase I Pro Forma'!$F$6:$Z$6,'Official Summary'!N$7,'Phase I Pro Forma'!$F$287:$Z$287)+SUMIF('Phase II Pro Forma'!$F$6:$Z$6,'Official Summary'!N$7,'Phase II Pro Forma'!$F$287:$Z$287)+SUMIF('Phase III Pro Forma'!$F$6:$Z$6,'Official Summary'!N$7,'Phase III Pro Forma'!$F$287:$Z$287))*(SUM(Budget!$Q$35:$Q$44)/SUM(Budget!$M$35:$U$44))</f>
        <v>0</v>
      </c>
    </row>
    <row r="39" spans="2:14" ht="19" customHeight="1" x14ac:dyDescent="0.2">
      <c r="B39" s="297" t="s">
        <v>26</v>
      </c>
      <c r="C39" s="297"/>
      <c r="D39" s="284">
        <f ca="1">+(SUMIF('Phase I Pro Forma'!$F$6:$Z$6,'Official Summary'!D$7,'Phase I Pro Forma'!$F$287:$Z$287)+SUMIF('Phase II Pro Forma'!$F$6:$Z$6,'Official Summary'!D$7,'Phase II Pro Forma'!$F$287:$Z$287)+SUMIF('Phase III Pro Forma'!$F$6:$Z$6,'Official Summary'!D$7,'Phase III Pro Forma'!$F$287:$Z$287))*(SUM(Budget!$P$35:$P$44)/SUM(Budget!$M$35:$U$44))</f>
        <v>14910.910320515861</v>
      </c>
      <c r="E39" s="259">
        <f ca="1">+(SUMIF('Phase I Pro Forma'!$F$6:$Z$6,'Official Summary'!E$7,'Phase I Pro Forma'!$F$287:$Z$287)+SUMIF('Phase II Pro Forma'!$F$6:$Z$6,'Official Summary'!E$7,'Phase II Pro Forma'!$F$287:$Z$287)+SUMIF('Phase III Pro Forma'!$F$6:$Z$6,'Official Summary'!E$7,'Phase III Pro Forma'!$F$287:$Z$287))*(SUM(Budget!$P$35:$P$44)/SUM(Budget!$M$35:$U$44))</f>
        <v>13862648.007655766</v>
      </c>
      <c r="F39" s="280">
        <f ca="1">+(SUMIF('Phase I Pro Forma'!$F$6:$Z$6,'Official Summary'!F$7,'Phase I Pro Forma'!$F$287:$Z$287)+SUMIF('Phase II Pro Forma'!$F$6:$Z$6,'Official Summary'!F$7,'Phase II Pro Forma'!$F$287:$Z$287)+SUMIF('Phase III Pro Forma'!$F$6:$Z$6,'Official Summary'!F$7,'Phase III Pro Forma'!$F$287:$Z$287))*(SUM(Budget!$P$35:$P$44)/SUM(Budget!$M$35:$U$44))</f>
        <v>13862648.007655766</v>
      </c>
      <c r="G39" s="259">
        <f ca="1">+(SUMIF('Phase I Pro Forma'!$F$6:$Z$6,'Official Summary'!G$7,'Phase I Pro Forma'!$F$287:$Z$287)+SUMIF('Phase II Pro Forma'!$F$6:$Z$6,'Official Summary'!G$7,'Phase II Pro Forma'!$F$287:$Z$287)+SUMIF('Phase III Pro Forma'!$F$6:$Z$6,'Official Summary'!G$7,'Phase III Pro Forma'!$F$287:$Z$287))*(SUM(Budget!$P$35:$P$44)/SUM(Budget!$M$35:$U$44))</f>
        <v>8115054.6543887127</v>
      </c>
      <c r="H39" s="275">
        <f ca="1">+(SUMIF('Phase I Pro Forma'!$F$6:$Z$6,'Official Summary'!H$7,'Phase I Pro Forma'!$F$287:$Z$287)+SUMIF('Phase II Pro Forma'!$F$6:$Z$6,'Official Summary'!H$7,'Phase II Pro Forma'!$F$287:$Z$287)+SUMIF('Phase III Pro Forma'!$F$6:$Z$6,'Official Summary'!H$7,'Phase III Pro Forma'!$F$287:$Z$287))*(SUM(Budget!$P$35:$P$44)/SUM(Budget!$M$35:$U$44))</f>
        <v>8115054.6543887127</v>
      </c>
      <c r="I39" s="259">
        <f ca="1">+(SUMIF('Phase I Pro Forma'!$F$6:$Z$6,'Official Summary'!I$7,'Phase I Pro Forma'!$F$287:$Z$287)+SUMIF('Phase II Pro Forma'!$F$6:$Z$6,'Official Summary'!I$7,'Phase II Pro Forma'!$F$287:$Z$287)+SUMIF('Phase III Pro Forma'!$F$6:$Z$6,'Official Summary'!I$7,'Phase III Pro Forma'!$F$287:$Z$287))*(SUM(Budget!$P$35:$P$44)/SUM(Budget!$M$35:$U$44))</f>
        <v>13562012.690034924</v>
      </c>
      <c r="J39" s="259">
        <f ca="1">+(SUMIF('Phase I Pro Forma'!$F$6:$Z$6,'Official Summary'!J$7,'Phase I Pro Forma'!$F$287:$Z$287)+SUMIF('Phase II Pro Forma'!$F$6:$Z$6,'Official Summary'!J$7,'Phase II Pro Forma'!$F$287:$Z$287)+SUMIF('Phase III Pro Forma'!$F$6:$Z$6,'Official Summary'!J$7,'Phase III Pro Forma'!$F$287:$Z$287))*(SUM(Budget!$P$35:$P$44)/SUM(Budget!$M$35:$U$44))</f>
        <v>13562012.690034924</v>
      </c>
      <c r="K39" s="259">
        <f ca="1">+(SUMIF('Phase I Pro Forma'!$F$6:$Z$6,'Official Summary'!K$7,'Phase I Pro Forma'!$F$287:$Z$287)+SUMIF('Phase II Pro Forma'!$F$6:$Z$6,'Official Summary'!K$7,'Phase II Pro Forma'!$F$287:$Z$287)+SUMIF('Phase III Pro Forma'!$F$6:$Z$6,'Official Summary'!K$7,'Phase III Pro Forma'!$F$287:$Z$287))*(SUM(Budget!$P$35:$P$44)/SUM(Budget!$M$35:$U$44))</f>
        <v>0</v>
      </c>
      <c r="L39" s="259">
        <f ca="1">+(SUMIF('Phase I Pro Forma'!$F$6:$Z$6,'Official Summary'!L$7,'Phase I Pro Forma'!$F$287:$Z$287)+SUMIF('Phase II Pro Forma'!$F$6:$Z$6,'Official Summary'!L$7,'Phase II Pro Forma'!$F$287:$Z$287)+SUMIF('Phase III Pro Forma'!$F$6:$Z$6,'Official Summary'!L$7,'Phase III Pro Forma'!$F$287:$Z$287))*(SUM(Budget!$P$35:$P$44)/SUM(Budget!$M$35:$U$44))</f>
        <v>0</v>
      </c>
      <c r="M39" s="259">
        <f ca="1">+(SUMIF('Phase I Pro Forma'!$F$6:$Z$6,'Official Summary'!M$7,'Phase I Pro Forma'!$F$287:$Z$287)+SUMIF('Phase II Pro Forma'!$F$6:$Z$6,'Official Summary'!M$7,'Phase II Pro Forma'!$F$287:$Z$287)+SUMIF('Phase III Pro Forma'!$F$6:$Z$6,'Official Summary'!M$7,'Phase III Pro Forma'!$F$287:$Z$287))*(SUM(Budget!$P$35:$P$44)/SUM(Budget!$M$35:$U$44))</f>
        <v>0</v>
      </c>
      <c r="N39" s="289">
        <f ca="1">+(SUMIF('Phase I Pro Forma'!$F$6:$Z$6,'Official Summary'!N$7,'Phase I Pro Forma'!$F$287:$Z$287)+SUMIF('Phase II Pro Forma'!$F$6:$Z$6,'Official Summary'!N$7,'Phase II Pro Forma'!$F$287:$Z$287)+SUMIF('Phase III Pro Forma'!$F$6:$Z$6,'Official Summary'!N$7,'Phase III Pro Forma'!$F$287:$Z$287))*(SUM(Budget!$P$35:$P$44)/SUM(Budget!$M$35:$U$44))</f>
        <v>0</v>
      </c>
    </row>
    <row r="40" spans="2:14" ht="19" customHeight="1" x14ac:dyDescent="0.2">
      <c r="B40" s="297" t="s">
        <v>27</v>
      </c>
      <c r="C40" s="297"/>
      <c r="D40" s="284">
        <f ca="1">+(SUMIF('Phase I Pro Forma'!$F$6:$Z$6,'Official Summary'!D$7,'Phase I Pro Forma'!$F$287:$Z$287)+SUMIF('Phase II Pro Forma'!$F$6:$Z$6,'Official Summary'!D$7,'Phase II Pro Forma'!$F$287:$Z$287)+SUMIF('Phase III Pro Forma'!$F$6:$Z$6,'Official Summary'!D$7,'Phase III Pro Forma'!$F$287:$Z$287))*(SUM(Budget!$T$35:$T$44)/SUM(Budget!$M$35:$U$44))</f>
        <v>2700.9050187796192</v>
      </c>
      <c r="E40" s="259">
        <f ca="1">+(SUMIF('Phase I Pro Forma'!$F$6:$Z$6,'Official Summary'!E$7,'Phase I Pro Forma'!$F$287:$Z$287)+SUMIF('Phase II Pro Forma'!$F$6:$Z$6,'Official Summary'!E$7,'Phase II Pro Forma'!$F$287:$Z$287)+SUMIF('Phase III Pro Forma'!$F$6:$Z$6,'Official Summary'!E$7,'Phase III Pro Forma'!$F$287:$Z$287))*(SUM(Budget!$T$35:$T$44)/SUM(Budget!$M$35:$U$44))</f>
        <v>2511026.8100758996</v>
      </c>
      <c r="F40" s="280">
        <f ca="1">+(SUMIF('Phase I Pro Forma'!$F$6:$Z$6,'Official Summary'!F$7,'Phase I Pro Forma'!$F$287:$Z$287)+SUMIF('Phase II Pro Forma'!$F$6:$Z$6,'Official Summary'!F$7,'Phase II Pro Forma'!$F$287:$Z$287)+SUMIF('Phase III Pro Forma'!$F$6:$Z$6,'Official Summary'!F$7,'Phase III Pro Forma'!$F$287:$Z$287))*(SUM(Budget!$T$35:$T$44)/SUM(Budget!$M$35:$U$44))</f>
        <v>2511026.8100758996</v>
      </c>
      <c r="G40" s="259">
        <f ca="1">+(SUMIF('Phase I Pro Forma'!$F$6:$Z$6,'Official Summary'!G$7,'Phase I Pro Forma'!$F$287:$Z$287)+SUMIF('Phase II Pro Forma'!$F$6:$Z$6,'Official Summary'!G$7,'Phase II Pro Forma'!$F$287:$Z$287)+SUMIF('Phase III Pro Forma'!$F$6:$Z$6,'Official Summary'!G$7,'Phase III Pro Forma'!$F$287:$Z$287))*(SUM(Budget!$T$35:$T$44)/SUM(Budget!$M$35:$U$44))</f>
        <v>1469929.8280637171</v>
      </c>
      <c r="H40" s="275">
        <f ca="1">+(SUMIF('Phase I Pro Forma'!$F$6:$Z$6,'Official Summary'!H$7,'Phase I Pro Forma'!$F$287:$Z$287)+SUMIF('Phase II Pro Forma'!$F$6:$Z$6,'Official Summary'!H$7,'Phase II Pro Forma'!$F$287:$Z$287)+SUMIF('Phase III Pro Forma'!$F$6:$Z$6,'Official Summary'!H$7,'Phase III Pro Forma'!$F$287:$Z$287))*(SUM(Budget!$T$35:$T$44)/SUM(Budget!$M$35:$U$44))</f>
        <v>1469929.8280637171</v>
      </c>
      <c r="I40" s="259">
        <f ca="1">+(SUMIF('Phase I Pro Forma'!$F$6:$Z$6,'Official Summary'!I$7,'Phase I Pro Forma'!$F$287:$Z$287)+SUMIF('Phase II Pro Forma'!$F$6:$Z$6,'Official Summary'!I$7,'Phase II Pro Forma'!$F$287:$Z$287)+SUMIF('Phase III Pro Forma'!$F$6:$Z$6,'Official Summary'!I$7,'Phase III Pro Forma'!$F$287:$Z$287))*(SUM(Budget!$T$35:$T$44)/SUM(Budget!$M$35:$U$44))</f>
        <v>2456570.8834603843</v>
      </c>
      <c r="J40" s="259">
        <f ca="1">+(SUMIF('Phase I Pro Forma'!$F$6:$Z$6,'Official Summary'!J$7,'Phase I Pro Forma'!$F$287:$Z$287)+SUMIF('Phase II Pro Forma'!$F$6:$Z$6,'Official Summary'!J$7,'Phase II Pro Forma'!$F$287:$Z$287)+SUMIF('Phase III Pro Forma'!$F$6:$Z$6,'Official Summary'!J$7,'Phase III Pro Forma'!$F$287:$Z$287))*(SUM(Budget!$T$35:$T$44)/SUM(Budget!$M$35:$U$44))</f>
        <v>2456570.8834603843</v>
      </c>
      <c r="K40" s="259">
        <f ca="1">+(SUMIF('Phase I Pro Forma'!$F$6:$Z$6,'Official Summary'!K$7,'Phase I Pro Forma'!$F$287:$Z$287)+SUMIF('Phase II Pro Forma'!$F$6:$Z$6,'Official Summary'!K$7,'Phase II Pro Forma'!$F$287:$Z$287)+SUMIF('Phase III Pro Forma'!$F$6:$Z$6,'Official Summary'!K$7,'Phase III Pro Forma'!$F$287:$Z$287))*(SUM(Budget!$T$35:$T$44)/SUM(Budget!$M$35:$U$44))</f>
        <v>0</v>
      </c>
      <c r="L40" s="259">
        <f ca="1">+(SUMIF('Phase I Pro Forma'!$F$6:$Z$6,'Official Summary'!L$7,'Phase I Pro Forma'!$F$287:$Z$287)+SUMIF('Phase II Pro Forma'!$F$6:$Z$6,'Official Summary'!L$7,'Phase II Pro Forma'!$F$287:$Z$287)+SUMIF('Phase III Pro Forma'!$F$6:$Z$6,'Official Summary'!L$7,'Phase III Pro Forma'!$F$287:$Z$287))*(SUM(Budget!$T$35:$T$44)/SUM(Budget!$M$35:$U$44))</f>
        <v>0</v>
      </c>
      <c r="M40" s="259">
        <f ca="1">+(SUMIF('Phase I Pro Forma'!$F$6:$Z$6,'Official Summary'!M$7,'Phase I Pro Forma'!$F$287:$Z$287)+SUMIF('Phase II Pro Forma'!$F$6:$Z$6,'Official Summary'!M$7,'Phase II Pro Forma'!$F$287:$Z$287)+SUMIF('Phase III Pro Forma'!$F$6:$Z$6,'Official Summary'!M$7,'Phase III Pro Forma'!$F$287:$Z$287))*(SUM(Budget!$T$35:$T$44)/SUM(Budget!$M$35:$U$44))</f>
        <v>0</v>
      </c>
      <c r="N40" s="289">
        <f ca="1">+(SUMIF('Phase I Pro Forma'!$F$6:$Z$6,'Official Summary'!N$7,'Phase I Pro Forma'!$F$287:$Z$287)+SUMIF('Phase II Pro Forma'!$F$6:$Z$6,'Official Summary'!N$7,'Phase II Pro Forma'!$F$287:$Z$287)+SUMIF('Phase III Pro Forma'!$F$6:$Z$6,'Official Summary'!N$7,'Phase III Pro Forma'!$F$287:$Z$287))*(SUM(Budget!$T$35:$T$44)/SUM(Budget!$M$35:$U$44))</f>
        <v>0</v>
      </c>
    </row>
    <row r="41" spans="2:14" ht="19" customHeight="1" x14ac:dyDescent="0.2">
      <c r="B41" s="338" t="s">
        <v>28</v>
      </c>
      <c r="C41" s="380"/>
      <c r="D41" s="284">
        <f ca="1">+(SUMIF('Phase I Pro Forma'!$F$6:$Z$6,'Official Summary'!D$7,'Phase I Pro Forma'!$F$287:$Z$287)+SUMIF('Phase II Pro Forma'!$F$6:$Z$6,'Official Summary'!D$7,'Phase II Pro Forma'!$F$287:$Z$287)+SUMIF('Phase III Pro Forma'!$F$6:$Z$6,'Official Summary'!D$7,'Phase III Pro Forma'!$F$287:$Z$287))*(SUM(Budget!$U$35:$U$44)/SUM(Budget!$M$35:$U$44))</f>
        <v>357.63619252160447</v>
      </c>
      <c r="E41" s="259">
        <f ca="1">+(SUMIF('Phase I Pro Forma'!$F$6:$Z$6,'Official Summary'!E$7,'Phase I Pro Forma'!$F$287:$Z$287)+SUMIF('Phase II Pro Forma'!$F$6:$Z$6,'Official Summary'!E$7,'Phase II Pro Forma'!$F$287:$Z$287)+SUMIF('Phase III Pro Forma'!$F$6:$Z$6,'Official Summary'!E$7,'Phase III Pro Forma'!$F$287:$Z$287))*(SUM(Budget!$U$35:$U$44)/SUM(Budget!$M$35:$U$44))</f>
        <v>332493.76095460914</v>
      </c>
      <c r="F41" s="280">
        <f ca="1">+(SUMIF('Phase I Pro Forma'!$F$6:$Z$6,'Official Summary'!F$7,'Phase I Pro Forma'!$F$287:$Z$287)+SUMIF('Phase II Pro Forma'!$F$6:$Z$6,'Official Summary'!F$7,'Phase II Pro Forma'!$F$287:$Z$287)+SUMIF('Phase III Pro Forma'!$F$6:$Z$6,'Official Summary'!F$7,'Phase III Pro Forma'!$F$287:$Z$287))*(SUM(Budget!$U$35:$U$44)/SUM(Budget!$M$35:$U$44))</f>
        <v>332493.76095460914</v>
      </c>
      <c r="G41" s="259">
        <f ca="1">+(SUMIF('Phase I Pro Forma'!$F$6:$Z$6,'Official Summary'!G$7,'Phase I Pro Forma'!$F$287:$Z$287)+SUMIF('Phase II Pro Forma'!$F$6:$Z$6,'Official Summary'!G$7,'Phase II Pro Forma'!$F$287:$Z$287)+SUMIF('Phase III Pro Forma'!$F$6:$Z$6,'Official Summary'!G$7,'Phase III Pro Forma'!$F$287:$Z$287))*(SUM(Budget!$U$35:$U$44)/SUM(Budget!$M$35:$U$44))</f>
        <v>194638.50203076657</v>
      </c>
      <c r="H41" s="275">
        <f ca="1">+(SUMIF('Phase I Pro Forma'!$F$6:$Z$6,'Official Summary'!H$7,'Phase I Pro Forma'!$F$287:$Z$287)+SUMIF('Phase II Pro Forma'!$F$6:$Z$6,'Official Summary'!H$7,'Phase II Pro Forma'!$F$287:$Z$287)+SUMIF('Phase III Pro Forma'!$F$6:$Z$6,'Official Summary'!H$7,'Phase III Pro Forma'!$F$287:$Z$287))*(SUM(Budget!$U$35:$U$44)/SUM(Budget!$M$35:$U$44))</f>
        <v>194638.50203076657</v>
      </c>
      <c r="I41" s="259">
        <f ca="1">+(SUMIF('Phase I Pro Forma'!$F$6:$Z$6,'Official Summary'!I$7,'Phase I Pro Forma'!$F$287:$Z$287)+SUMIF('Phase II Pro Forma'!$F$6:$Z$6,'Official Summary'!I$7,'Phase II Pro Forma'!$F$287:$Z$287)+SUMIF('Phase III Pro Forma'!$F$6:$Z$6,'Official Summary'!I$7,'Phase III Pro Forma'!$F$287:$Z$287))*(SUM(Budget!$U$35:$U$44)/SUM(Budget!$M$35:$U$44))</f>
        <v>325283.06301462435</v>
      </c>
      <c r="J41" s="259">
        <f ca="1">+(SUMIF('Phase I Pro Forma'!$F$6:$Z$6,'Official Summary'!J$7,'Phase I Pro Forma'!$F$287:$Z$287)+SUMIF('Phase II Pro Forma'!$F$6:$Z$6,'Official Summary'!J$7,'Phase II Pro Forma'!$F$287:$Z$287)+SUMIF('Phase III Pro Forma'!$F$6:$Z$6,'Official Summary'!J$7,'Phase III Pro Forma'!$F$287:$Z$287))*(SUM(Budget!$U$35:$U$44)/SUM(Budget!$M$35:$U$44))</f>
        <v>325283.06301462435</v>
      </c>
      <c r="K41" s="259">
        <f ca="1">+(SUMIF('Phase I Pro Forma'!$F$6:$Z$6,'Official Summary'!K$7,'Phase I Pro Forma'!$F$287:$Z$287)+SUMIF('Phase II Pro Forma'!$F$6:$Z$6,'Official Summary'!K$7,'Phase II Pro Forma'!$F$287:$Z$287)+SUMIF('Phase III Pro Forma'!$F$6:$Z$6,'Official Summary'!K$7,'Phase III Pro Forma'!$F$287:$Z$287))*(SUM(Budget!$U$35:$U$44)/SUM(Budget!$M$35:$U$44))</f>
        <v>0</v>
      </c>
      <c r="L41" s="259">
        <f ca="1">+(SUMIF('Phase I Pro Forma'!$F$6:$Z$6,'Official Summary'!L$7,'Phase I Pro Forma'!$F$287:$Z$287)+SUMIF('Phase II Pro Forma'!$F$6:$Z$6,'Official Summary'!L$7,'Phase II Pro Forma'!$F$287:$Z$287)+SUMIF('Phase III Pro Forma'!$F$6:$Z$6,'Official Summary'!L$7,'Phase III Pro Forma'!$F$287:$Z$287))*(SUM(Budget!$U$35:$U$44)/SUM(Budget!$M$35:$U$44))</f>
        <v>0</v>
      </c>
      <c r="M41" s="259">
        <f ca="1">+(SUMIF('Phase I Pro Forma'!$F$6:$Z$6,'Official Summary'!M$7,'Phase I Pro Forma'!$F$287:$Z$287)+SUMIF('Phase II Pro Forma'!$F$6:$Z$6,'Official Summary'!M$7,'Phase II Pro Forma'!$F$287:$Z$287)+SUMIF('Phase III Pro Forma'!$F$6:$Z$6,'Official Summary'!M$7,'Phase III Pro Forma'!$F$287:$Z$287))*(SUM(Budget!$U$35:$U$44)/SUM(Budget!$M$35:$U$44))</f>
        <v>0</v>
      </c>
      <c r="N41" s="289">
        <f ca="1">+(SUMIF('Phase I Pro Forma'!$F$6:$Z$6,'Official Summary'!N$7,'Phase I Pro Forma'!$F$287:$Z$287)+SUMIF('Phase II Pro Forma'!$F$6:$Z$6,'Official Summary'!N$7,'Phase II Pro Forma'!$F$287:$Z$287)+SUMIF('Phase III Pro Forma'!$F$6:$Z$6,'Official Summary'!N$7,'Phase III Pro Forma'!$F$287:$Z$287))*(SUM(Budget!$U$35:$U$44)/SUM(Budget!$M$35:$U$44))</f>
        <v>0</v>
      </c>
    </row>
    <row r="42" spans="2:14" ht="19" customHeight="1" x14ac:dyDescent="0.2">
      <c r="B42" s="297" t="s">
        <v>48</v>
      </c>
      <c r="C42" s="297"/>
      <c r="D42" s="284" t="s">
        <v>491</v>
      </c>
      <c r="E42" s="259" t="s">
        <v>491</v>
      </c>
      <c r="F42" s="280" t="s">
        <v>491</v>
      </c>
      <c r="G42" s="259" t="s">
        <v>491</v>
      </c>
      <c r="H42" s="275" t="s">
        <v>491</v>
      </c>
      <c r="I42" s="259" t="s">
        <v>491</v>
      </c>
      <c r="J42" s="259" t="s">
        <v>491</v>
      </c>
      <c r="K42" s="259" t="s">
        <v>491</v>
      </c>
      <c r="L42" s="259" t="s">
        <v>491</v>
      </c>
      <c r="M42" s="259" t="s">
        <v>491</v>
      </c>
      <c r="N42" s="289" t="s">
        <v>491</v>
      </c>
    </row>
    <row r="43" spans="2:14" ht="19" customHeight="1" x14ac:dyDescent="0.2">
      <c r="B43" s="297" t="s">
        <v>235</v>
      </c>
      <c r="C43" s="297"/>
      <c r="D43" s="284">
        <f ca="1">+(SUMIF('Phase I Pro Forma'!$F$6:$Z$6,'Official Summary'!D$7,'Phase I Pro Forma'!$F$287:$Z$287)+SUMIF('Phase II Pro Forma'!$F$6:$Z$6,'Official Summary'!D$7,'Phase II Pro Forma'!$F$287:$Z$287)+SUMIF('Phase III Pro Forma'!$F$6:$Z$6,'Official Summary'!D$7,'Phase III Pro Forma'!$F$287:$Z$287))*(SUM(Budget!$S$35:$S$44)/SUM(Budget!$M$35:$U$44))</f>
        <v>6153.5598557652302</v>
      </c>
      <c r="E43" s="259">
        <f ca="1">+(SUMIF('Phase I Pro Forma'!$F$6:$Z$6,'Official Summary'!E$7,'Phase I Pro Forma'!$F$287:$Z$287)+SUMIF('Phase II Pro Forma'!$F$6:$Z$6,'Official Summary'!E$7,'Phase II Pro Forma'!$F$287:$Z$287)+SUMIF('Phase III Pro Forma'!$F$6:$Z$6,'Official Summary'!E$7,'Phase III Pro Forma'!$F$287:$Z$287))*(SUM(Budget!$S$35:$S$44)/SUM(Budget!$M$35:$U$44))</f>
        <v>5720954.1497371951</v>
      </c>
      <c r="F43" s="280">
        <f ca="1">+(SUMIF('Phase I Pro Forma'!$F$6:$Z$6,'Official Summary'!F$7,'Phase I Pro Forma'!$F$287:$Z$287)+SUMIF('Phase II Pro Forma'!$F$6:$Z$6,'Official Summary'!F$7,'Phase II Pro Forma'!$F$287:$Z$287)+SUMIF('Phase III Pro Forma'!$F$6:$Z$6,'Official Summary'!F$7,'Phase III Pro Forma'!$F$287:$Z$287))*(SUM(Budget!$S$35:$S$44)/SUM(Budget!$M$35:$U$44))</f>
        <v>5720954.1497371951</v>
      </c>
      <c r="G43" s="259">
        <f ca="1">+(SUMIF('Phase I Pro Forma'!$F$6:$Z$6,'Official Summary'!G$7,'Phase I Pro Forma'!$F$287:$Z$287)+SUMIF('Phase II Pro Forma'!$F$6:$Z$6,'Official Summary'!G$7,'Phase II Pro Forma'!$F$287:$Z$287)+SUMIF('Phase III Pro Forma'!$F$6:$Z$6,'Official Summary'!G$7,'Phase III Pro Forma'!$F$287:$Z$287))*(SUM(Budget!$S$35:$S$44)/SUM(Budget!$M$35:$U$44))</f>
        <v>3348988.9936417751</v>
      </c>
      <c r="H43" s="275">
        <f ca="1">+(SUMIF('Phase I Pro Forma'!$F$6:$Z$6,'Official Summary'!H$7,'Phase I Pro Forma'!$F$287:$Z$287)+SUMIF('Phase II Pro Forma'!$F$6:$Z$6,'Official Summary'!H$7,'Phase II Pro Forma'!$F$287:$Z$287)+SUMIF('Phase III Pro Forma'!$F$6:$Z$6,'Official Summary'!H$7,'Phase III Pro Forma'!$F$287:$Z$287))*(SUM(Budget!$S$35:$S$44)/SUM(Budget!$M$35:$U$44))</f>
        <v>3348988.9936417751</v>
      </c>
      <c r="I43" s="259">
        <f ca="1">+(SUMIF('Phase I Pro Forma'!$F$6:$Z$6,'Official Summary'!I$7,'Phase I Pro Forma'!$F$287:$Z$287)+SUMIF('Phase II Pro Forma'!$F$6:$Z$6,'Official Summary'!I$7,'Phase II Pro Forma'!$F$287:$Z$287)+SUMIF('Phase III Pro Forma'!$F$6:$Z$6,'Official Summary'!I$7,'Phase III Pro Forma'!$F$287:$Z$287))*(SUM(Budget!$S$35:$S$44)/SUM(Budget!$M$35:$U$44))</f>
        <v>5596885.4388422295</v>
      </c>
      <c r="J43" s="259">
        <f ca="1">+(SUMIF('Phase I Pro Forma'!$F$6:$Z$6,'Official Summary'!J$7,'Phase I Pro Forma'!$F$287:$Z$287)+SUMIF('Phase II Pro Forma'!$F$6:$Z$6,'Official Summary'!J$7,'Phase II Pro Forma'!$F$287:$Z$287)+SUMIF('Phase III Pro Forma'!$F$6:$Z$6,'Official Summary'!J$7,'Phase III Pro Forma'!$F$287:$Z$287))*(SUM(Budget!$S$35:$S$44)/SUM(Budget!$M$35:$U$44))</f>
        <v>5596885.4388422295</v>
      </c>
      <c r="K43" s="259">
        <f ca="1">+(SUMIF('Phase I Pro Forma'!$F$6:$Z$6,'Official Summary'!K$7,'Phase I Pro Forma'!$F$287:$Z$287)+SUMIF('Phase II Pro Forma'!$F$6:$Z$6,'Official Summary'!K$7,'Phase II Pro Forma'!$F$287:$Z$287)+SUMIF('Phase III Pro Forma'!$F$6:$Z$6,'Official Summary'!K$7,'Phase III Pro Forma'!$F$287:$Z$287))*(SUM(Budget!$S$35:$S$44)/SUM(Budget!$M$35:$U$44))</f>
        <v>0</v>
      </c>
      <c r="L43" s="259">
        <f ca="1">+(SUMIF('Phase I Pro Forma'!$F$6:$Z$6,'Official Summary'!L$7,'Phase I Pro Forma'!$F$287:$Z$287)+SUMIF('Phase II Pro Forma'!$F$6:$Z$6,'Official Summary'!L$7,'Phase II Pro Forma'!$F$287:$Z$287)+SUMIF('Phase III Pro Forma'!$F$6:$Z$6,'Official Summary'!L$7,'Phase III Pro Forma'!$F$287:$Z$287))*(SUM(Budget!$S$35:$S$44)/SUM(Budget!$M$35:$U$44))</f>
        <v>0</v>
      </c>
      <c r="M43" s="259">
        <f ca="1">+(SUMIF('Phase I Pro Forma'!$F$6:$Z$6,'Official Summary'!M$7,'Phase I Pro Forma'!$F$287:$Z$287)+SUMIF('Phase II Pro Forma'!$F$6:$Z$6,'Official Summary'!M$7,'Phase II Pro Forma'!$F$287:$Z$287)+SUMIF('Phase III Pro Forma'!$F$6:$Z$6,'Official Summary'!M$7,'Phase III Pro Forma'!$F$287:$Z$287))*(SUM(Budget!$S$35:$S$44)/SUM(Budget!$M$35:$U$44))</f>
        <v>0</v>
      </c>
      <c r="N43" s="289">
        <f ca="1">+(SUMIF('Phase I Pro Forma'!$F$6:$Z$6,'Official Summary'!N$7,'Phase I Pro Forma'!$F$287:$Z$287)+SUMIF('Phase II Pro Forma'!$F$6:$Z$6,'Official Summary'!N$7,'Phase II Pro Forma'!$F$287:$Z$287)+SUMIF('Phase III Pro Forma'!$F$6:$Z$6,'Official Summary'!N$7,'Phase III Pro Forma'!$F$287:$Z$287))*(SUM(Budget!$S$35:$S$44)/SUM(Budget!$M$35:$U$44))</f>
        <v>0</v>
      </c>
    </row>
    <row r="44" spans="2:14" ht="19" customHeight="1" x14ac:dyDescent="0.2">
      <c r="B44" s="292" t="s">
        <v>47</v>
      </c>
      <c r="D44" s="284">
        <f>+(SUMIF('Phase I Pro Forma'!$F$6:$Z$6,'Official Summary'!D$7,'Phase I Pro Forma'!$F$285:$Z$285)+SUMIF('Phase II Pro Forma'!$F$6:$Z$6,'Official Summary'!D$7,'Phase II Pro Forma'!$F$285:$Z$285)+SUMIF('Phase III Pro Forma'!$F$6:$Z$6,'Official Summary'!D$7,'Phase III Pro Forma'!$F$285:$Z$285))</f>
        <v>6900151</v>
      </c>
      <c r="E44" s="259">
        <f>+(SUMIF('Phase I Pro Forma'!$F$6:$Z$6,'Official Summary'!E$7,'Phase I Pro Forma'!$F$285:$Z$285)+SUMIF('Phase II Pro Forma'!$F$6:$Z$6,'Official Summary'!E$7,'Phase II Pro Forma'!$F$285:$Z$285)+SUMIF('Phase III Pro Forma'!$F$6:$Z$6,'Official Summary'!E$7,'Phase III Pro Forma'!$F$285:$Z$285))</f>
        <v>0</v>
      </c>
      <c r="F44" s="280">
        <f>+(SUMIF('Phase I Pro Forma'!$F$6:$Z$6,'Official Summary'!F$7,'Phase I Pro Forma'!$F$285:$Z$285)+SUMIF('Phase II Pro Forma'!$F$6:$Z$6,'Official Summary'!F$7,'Phase II Pro Forma'!$F$285:$Z$285)+SUMIF('Phase III Pro Forma'!$F$6:$Z$6,'Official Summary'!F$7,'Phase III Pro Forma'!$F$285:$Z$285))</f>
        <v>818973.10714285716</v>
      </c>
      <c r="G44" s="259">
        <f>+(SUMIF('Phase I Pro Forma'!$F$6:$Z$6,'Official Summary'!G$7,'Phase I Pro Forma'!$F$285:$Z$285)+SUMIF('Phase II Pro Forma'!$F$6:$Z$6,'Official Summary'!G$7,'Phase II Pro Forma'!$F$285:$Z$285)+SUMIF('Phase III Pro Forma'!$F$6:$Z$6,'Official Summary'!G$7,'Phase III Pro Forma'!$F$285:$Z$285))</f>
        <v>0</v>
      </c>
      <c r="H44" s="275">
        <f>+(SUMIF('Phase I Pro Forma'!$F$6:$Z$6,'Official Summary'!H$7,'Phase I Pro Forma'!$F$285:$Z$285)+SUMIF('Phase II Pro Forma'!$F$6:$Z$6,'Official Summary'!H$7,'Phase II Pro Forma'!$F$285:$Z$285)+SUMIF('Phase III Pro Forma'!$F$6:$Z$6,'Official Summary'!H$7,'Phase III Pro Forma'!$F$285:$Z$285))</f>
        <v>9121587</v>
      </c>
      <c r="I44" s="259">
        <f>+(SUMIF('Phase I Pro Forma'!$F$6:$Z$6,'Official Summary'!I$7,'Phase I Pro Forma'!$F$285:$Z$285)+SUMIF('Phase II Pro Forma'!$F$6:$Z$6,'Official Summary'!I$7,'Phase II Pro Forma'!$F$285:$Z$285)+SUMIF('Phase III Pro Forma'!$F$6:$Z$6,'Official Summary'!I$7,'Phase III Pro Forma'!$F$285:$Z$285))</f>
        <v>0</v>
      </c>
      <c r="J44" s="259">
        <f>+(SUMIF('Phase I Pro Forma'!$F$6:$Z$6,'Official Summary'!J$7,'Phase I Pro Forma'!$F$285:$Z$285)+SUMIF('Phase II Pro Forma'!$F$6:$Z$6,'Official Summary'!J$7,'Phase II Pro Forma'!$F$285:$Z$285)+SUMIF('Phase III Pro Forma'!$F$6:$Z$6,'Official Summary'!J$7,'Phase III Pro Forma'!$F$285:$Z$285))</f>
        <v>0</v>
      </c>
      <c r="K44" s="259">
        <f>+(SUMIF('Phase I Pro Forma'!$F$6:$Z$6,'Official Summary'!K$7,'Phase I Pro Forma'!$F$285:$Z$285)+SUMIF('Phase II Pro Forma'!$F$6:$Z$6,'Official Summary'!K$7,'Phase II Pro Forma'!$F$285:$Z$285)+SUMIF('Phase III Pro Forma'!$F$6:$Z$6,'Official Summary'!K$7,'Phase III Pro Forma'!$F$285:$Z$285))</f>
        <v>0</v>
      </c>
      <c r="L44" s="259">
        <f>+(SUMIF('Phase I Pro Forma'!$F$6:$Z$6,'Official Summary'!L$7,'Phase I Pro Forma'!$F$285:$Z$285)+SUMIF('Phase II Pro Forma'!$F$6:$Z$6,'Official Summary'!L$7,'Phase II Pro Forma'!$F$285:$Z$285)+SUMIF('Phase III Pro Forma'!$F$6:$Z$6,'Official Summary'!L$7,'Phase III Pro Forma'!$F$285:$Z$285))</f>
        <v>0</v>
      </c>
      <c r="M44" s="259">
        <f>+(SUMIF('Phase I Pro Forma'!$F$6:$Z$6,'Official Summary'!M$7,'Phase I Pro Forma'!$F$285:$Z$285)+SUMIF('Phase II Pro Forma'!$F$6:$Z$6,'Official Summary'!M$7,'Phase II Pro Forma'!$F$285:$Z$285)+SUMIF('Phase III Pro Forma'!$F$6:$Z$6,'Official Summary'!M$7,'Phase III Pro Forma'!$F$285:$Z$285))</f>
        <v>0</v>
      </c>
      <c r="N44" s="289">
        <f>+(SUMIF('Phase I Pro Forma'!$F$6:$Z$6,'Official Summary'!N$7,'Phase I Pro Forma'!$F$285:$Z$285)+SUMIF('Phase II Pro Forma'!$F$6:$Z$6,'Official Summary'!N$7,'Phase II Pro Forma'!$F$285:$Z$285)+SUMIF('Phase III Pro Forma'!$F$6:$Z$6,'Official Summary'!N$7,'Phase III Pro Forma'!$F$285:$Z$285))</f>
        <v>0</v>
      </c>
    </row>
    <row r="45" spans="2:14" ht="19" customHeight="1" x14ac:dyDescent="0.2">
      <c r="B45" s="292" t="s">
        <v>42</v>
      </c>
      <c r="C45" s="260"/>
      <c r="D45" s="284">
        <f>+(SUMIF('Phase I Pro Forma'!$F$6:$Z$6,'Official Summary'!D$7,'Phase I Pro Forma'!$F$286:$Z$286)+SUMIF('Phase II Pro Forma'!$F$6:$Z$6,'Official Summary'!D$7,'Phase II Pro Forma'!$F$286:$Z$286)+SUMIF('Phase III Pro Forma'!$F$6:$Z$6,'Official Summary'!D$7,'Phase III Pro Forma'!$F$286:$Z$286))</f>
        <v>31353547.897872344</v>
      </c>
      <c r="E45" s="259">
        <f>+(SUMIF('Phase I Pro Forma'!$F$6:$Z$6,'Official Summary'!E$7,'Phase I Pro Forma'!$F$286:$Z$286)+SUMIF('Phase II Pro Forma'!$F$6:$Z$6,'Official Summary'!E$7,'Phase II Pro Forma'!$F$286:$Z$286)+SUMIF('Phase III Pro Forma'!$F$6:$Z$6,'Official Summary'!E$7,'Phase III Pro Forma'!$F$286:$Z$286))</f>
        <v>0</v>
      </c>
      <c r="F45" s="280">
        <f>+(SUMIF('Phase I Pro Forma'!$F$6:$Z$6,'Official Summary'!F$7,'Phase I Pro Forma'!$F$286:$Z$286)+SUMIF('Phase II Pro Forma'!$F$6:$Z$6,'Official Summary'!F$7,'Phase II Pro Forma'!$F$286:$Z$286)+SUMIF('Phase III Pro Forma'!$F$6:$Z$6,'Official Summary'!F$7,'Phase III Pro Forma'!$F$286:$Z$286))</f>
        <v>10461100</v>
      </c>
      <c r="G45" s="259">
        <f>+(SUMIF('Phase I Pro Forma'!$F$6:$Z$6,'Official Summary'!G$7,'Phase I Pro Forma'!$F$286:$Z$286)+SUMIF('Phase II Pro Forma'!$F$6:$Z$6,'Official Summary'!G$7,'Phase II Pro Forma'!$F$286:$Z$286)+SUMIF('Phase III Pro Forma'!$F$6:$Z$6,'Official Summary'!G$7,'Phase III Pro Forma'!$F$286:$Z$286))</f>
        <v>0</v>
      </c>
      <c r="H45" s="275">
        <f>+(SUMIF('Phase I Pro Forma'!$F$6:$Z$6,'Official Summary'!H$7,'Phase I Pro Forma'!$F$286:$Z$286)+SUMIF('Phase II Pro Forma'!$F$6:$Z$6,'Official Summary'!H$7,'Phase II Pro Forma'!$F$286:$Z$286)+SUMIF('Phase III Pro Forma'!$F$6:$Z$6,'Official Summary'!H$7,'Phase III Pro Forma'!$F$286:$Z$286))</f>
        <v>33080888.234042555</v>
      </c>
      <c r="I45" s="259">
        <f>+(SUMIF('Phase I Pro Forma'!$F$6:$Z$6,'Official Summary'!I$7,'Phase I Pro Forma'!$F$286:$Z$286)+SUMIF('Phase II Pro Forma'!$F$6:$Z$6,'Official Summary'!I$7,'Phase II Pro Forma'!$F$286:$Z$286)+SUMIF('Phase III Pro Forma'!$F$6:$Z$6,'Official Summary'!I$7,'Phase III Pro Forma'!$F$286:$Z$286))</f>
        <v>0</v>
      </c>
      <c r="J45" s="259">
        <f>+(SUMIF('Phase I Pro Forma'!$F$6:$Z$6,'Official Summary'!J$7,'Phase I Pro Forma'!$F$286:$Z$286)+SUMIF('Phase II Pro Forma'!$F$6:$Z$6,'Official Summary'!J$7,'Phase II Pro Forma'!$F$286:$Z$286)+SUMIF('Phase III Pro Forma'!$F$6:$Z$6,'Official Summary'!J$7,'Phase III Pro Forma'!$F$286:$Z$286))</f>
        <v>0</v>
      </c>
      <c r="K45" s="259">
        <f>+(SUMIF('Phase I Pro Forma'!$F$6:$Z$6,'Official Summary'!K$7,'Phase I Pro Forma'!$F$286:$Z$286)+SUMIF('Phase II Pro Forma'!$F$6:$Z$6,'Official Summary'!K$7,'Phase II Pro Forma'!$F$286:$Z$286)+SUMIF('Phase III Pro Forma'!$F$6:$Z$6,'Official Summary'!K$7,'Phase III Pro Forma'!$F$286:$Z$286))</f>
        <v>0</v>
      </c>
      <c r="L45" s="259">
        <f>+(SUMIF('Phase I Pro Forma'!$F$6:$Z$6,'Official Summary'!L$7,'Phase I Pro Forma'!$F$286:$Z$286)+SUMIF('Phase II Pro Forma'!$F$6:$Z$6,'Official Summary'!L$7,'Phase II Pro Forma'!$F$286:$Z$286)+SUMIF('Phase III Pro Forma'!$F$6:$Z$6,'Official Summary'!L$7,'Phase III Pro Forma'!$F$286:$Z$286))</f>
        <v>0</v>
      </c>
      <c r="M45" s="259">
        <f>+(SUMIF('Phase I Pro Forma'!$F$6:$Z$6,'Official Summary'!M$7,'Phase I Pro Forma'!$F$286:$Z$286)+SUMIF('Phase II Pro Forma'!$F$6:$Z$6,'Official Summary'!M$7,'Phase II Pro Forma'!$F$286:$Z$286)+SUMIF('Phase III Pro Forma'!$F$6:$Z$6,'Official Summary'!M$7,'Phase III Pro Forma'!$F$286:$Z$286))</f>
        <v>0</v>
      </c>
      <c r="N45" s="289">
        <f>+(SUMIF('Phase I Pro Forma'!$F$6:$Z$6,'Official Summary'!N$7,'Phase I Pro Forma'!$F$286:$Z$286)+SUMIF('Phase II Pro Forma'!$F$6:$Z$6,'Official Summary'!N$7,'Phase II Pro Forma'!$F$286:$Z$286)+SUMIF('Phase III Pro Forma'!$F$6:$Z$6,'Official Summary'!N$7,'Phase III Pro Forma'!$F$286:$Z$286))</f>
        <v>0</v>
      </c>
    </row>
    <row r="46" spans="2:14" ht="19" customHeight="1" x14ac:dyDescent="0.2">
      <c r="B46" s="292" t="s">
        <v>429</v>
      </c>
      <c r="C46" s="260"/>
      <c r="D46" s="284">
        <f ca="1">+(SUMIF('Phase I Pro Forma'!$F$6:$Z$6,'Official Summary'!D$7,'Phase I Pro Forma'!$F$288:$Z$288)+SUMIF('Phase II Pro Forma'!$F$6:$Z$6,'Official Summary'!D$7,'Phase II Pro Forma'!$F$288:$Z$288)+SUMIF('Phase III Pro Forma'!$F$6:$Z$6,'Official Summary'!D$7,'Phase III Pro Forma'!$F$288:$Z$288))+(SUMIF('Phase I Pro Forma'!$F$6:$Z$6,'Official Summary'!D$7,'Phase I Pro Forma'!$F$290:$Z$290)+SUMIF('Phase II Pro Forma'!$F$6:$Z$6,'Official Summary'!D$7,'Phase II Pro Forma'!$F$290:$Z$290)+SUMIF('Phase III Pro Forma'!$F$6:$Z$6,'Official Summary'!D$7,'Phase III Pro Forma'!$F$290:$Z$290))</f>
        <v>13091415.721346911</v>
      </c>
      <c r="E46" s="259">
        <f ca="1">+(SUMIF('Phase I Pro Forma'!$F$6:$Z$6,'Official Summary'!E$7,'Phase I Pro Forma'!$F$288:$Z$288)+SUMIF('Phase II Pro Forma'!$F$6:$Z$6,'Official Summary'!E$7,'Phase II Pro Forma'!$F$288:$Z$288)+SUMIF('Phase III Pro Forma'!$F$6:$Z$6,'Official Summary'!E$7,'Phase III Pro Forma'!$F$288:$Z$288))+(SUMIF('Phase I Pro Forma'!$F$6:$Z$6,'Official Summary'!E$7,'Phase I Pro Forma'!$F$290:$Z$290)+SUMIF('Phase II Pro Forma'!$F$6:$Z$6,'Official Summary'!E$7,'Phase II Pro Forma'!$F$290:$Z$290)+SUMIF('Phase III Pro Forma'!$F$6:$Z$6,'Official Summary'!E$7,'Phase III Pro Forma'!$F$290:$Z$290))</f>
        <v>5523136.622030504</v>
      </c>
      <c r="F46" s="280">
        <f ca="1">+(SUMIF('Phase I Pro Forma'!$F$6:$Z$6,'Official Summary'!F$7,'Phase I Pro Forma'!$F$288:$Z$288)+SUMIF('Phase II Pro Forma'!$F$6:$Z$6,'Official Summary'!F$7,'Phase II Pro Forma'!$F$288:$Z$288)+SUMIF('Phase III Pro Forma'!$F$6:$Z$6,'Official Summary'!F$7,'Phase III Pro Forma'!$F$288:$Z$288))+(SUMIF('Phase I Pro Forma'!$F$6:$Z$6,'Official Summary'!F$7,'Phase I Pro Forma'!$F$290:$Z$290)+SUMIF('Phase II Pro Forma'!$F$6:$Z$6,'Official Summary'!F$7,'Phase II Pro Forma'!$F$290:$Z$290)+SUMIF('Phase III Pro Forma'!$F$6:$Z$6,'Official Summary'!F$7,'Phase III Pro Forma'!$F$290:$Z$290))</f>
        <v>13116843.575718671</v>
      </c>
      <c r="G46" s="259">
        <f ca="1">+(SUMIF('Phase I Pro Forma'!$F$6:$Z$6,'Official Summary'!G$7,'Phase I Pro Forma'!$F$288:$Z$288)+SUMIF('Phase II Pro Forma'!$F$6:$Z$6,'Official Summary'!G$7,'Phase II Pro Forma'!$F$288:$Z$288)+SUMIF('Phase III Pro Forma'!$F$6:$Z$6,'Official Summary'!G$7,'Phase III Pro Forma'!$F$288:$Z$288))+(SUMIF('Phase I Pro Forma'!$F$6:$Z$6,'Official Summary'!G$7,'Phase I Pro Forma'!$F$290:$Z$290)+SUMIF('Phase II Pro Forma'!$F$6:$Z$6,'Official Summary'!G$7,'Phase II Pro Forma'!$F$290:$Z$290)+SUMIF('Phase III Pro Forma'!$F$6:$Z$6,'Official Summary'!G$7,'Phase III Pro Forma'!$F$290:$Z$290))</f>
        <v>3115683.7287258357</v>
      </c>
      <c r="H46" s="275">
        <f ca="1">+(SUMIF('Phase I Pro Forma'!$F$6:$Z$6,'Official Summary'!H$7,'Phase I Pro Forma'!$F$288:$Z$288)+SUMIF('Phase II Pro Forma'!$F$6:$Z$6,'Official Summary'!H$7,'Phase II Pro Forma'!$F$288:$Z$288)+SUMIF('Phase III Pro Forma'!$F$6:$Z$6,'Official Summary'!H$7,'Phase III Pro Forma'!$F$288:$Z$288))+(SUMIF('Phase I Pro Forma'!$F$6:$Z$6,'Official Summary'!H$7,'Phase I Pro Forma'!$F$290:$Z$290)+SUMIF('Phase II Pro Forma'!$F$6:$Z$6,'Official Summary'!H$7,'Phase II Pro Forma'!$F$290:$Z$290)+SUMIF('Phase III Pro Forma'!$F$6:$Z$6,'Official Summary'!H$7,'Phase III Pro Forma'!$F$290:$Z$290))</f>
        <v>16678587.820069449</v>
      </c>
      <c r="I46" s="259">
        <f ca="1">+(SUMIF('Phase I Pro Forma'!$F$6:$Z$6,'Official Summary'!I$7,'Phase I Pro Forma'!$F$288:$Z$288)+SUMIF('Phase II Pro Forma'!$F$6:$Z$6,'Official Summary'!I$7,'Phase II Pro Forma'!$F$288:$Z$288)+SUMIF('Phase III Pro Forma'!$F$6:$Z$6,'Official Summary'!I$7,'Phase III Pro Forma'!$F$288:$Z$288))+(SUMIF('Phase I Pro Forma'!$F$6:$Z$6,'Official Summary'!I$7,'Phase I Pro Forma'!$F$290:$Z$290)+SUMIF('Phase II Pro Forma'!$F$6:$Z$6,'Official Summary'!I$7,'Phase II Pro Forma'!$F$290:$Z$290)+SUMIF('Phase III Pro Forma'!$F$6:$Z$6,'Official Summary'!I$7,'Phase III Pro Forma'!$F$290:$Z$290))</f>
        <v>5776605.3252037605</v>
      </c>
      <c r="J46" s="259">
        <f ca="1">+(SUMIF('Phase I Pro Forma'!$F$6:$Z$6,'Official Summary'!J$7,'Phase I Pro Forma'!$F$288:$Z$288)+SUMIF('Phase II Pro Forma'!$F$6:$Z$6,'Official Summary'!J$7,'Phase II Pro Forma'!$F$288:$Z$288)+SUMIF('Phase III Pro Forma'!$F$6:$Z$6,'Official Summary'!J$7,'Phase III Pro Forma'!$F$288:$Z$288))+(SUMIF('Phase I Pro Forma'!$F$6:$Z$6,'Official Summary'!J$7,'Phase I Pro Forma'!$F$290:$Z$290)+SUMIF('Phase II Pro Forma'!$F$6:$Z$6,'Official Summary'!J$7,'Phase II Pro Forma'!$F$290:$Z$290)+SUMIF('Phase III Pro Forma'!$F$6:$Z$6,'Official Summary'!J$7,'Phase III Pro Forma'!$F$290:$Z$290))</f>
        <v>5776605.3252037605</v>
      </c>
      <c r="K46" s="259">
        <f>+(SUMIF('Phase I Pro Forma'!$F$6:$Z$6,'Official Summary'!K$7,'Phase I Pro Forma'!$F$288:$Z$288)+SUMIF('Phase II Pro Forma'!$F$6:$Z$6,'Official Summary'!K$7,'Phase II Pro Forma'!$F$288:$Z$288)+SUMIF('Phase III Pro Forma'!$F$6:$Z$6,'Official Summary'!K$7,'Phase III Pro Forma'!$F$288:$Z$288))+(SUMIF('Phase I Pro Forma'!$F$6:$Z$6,'Official Summary'!K$7,'Phase I Pro Forma'!$F$290:$Z$290)+SUMIF('Phase II Pro Forma'!$F$6:$Z$6,'Official Summary'!K$7,'Phase II Pro Forma'!$F$290:$Z$290)+SUMIF('Phase III Pro Forma'!$F$6:$Z$6,'Official Summary'!K$7,'Phase III Pro Forma'!$F$290:$Z$290))</f>
        <v>0</v>
      </c>
      <c r="L46" s="259">
        <f>+(SUMIF('Phase I Pro Forma'!$F$6:$Z$6,'Official Summary'!L$7,'Phase I Pro Forma'!$F$288:$Z$288)+SUMIF('Phase II Pro Forma'!$F$6:$Z$6,'Official Summary'!L$7,'Phase II Pro Forma'!$F$288:$Z$288)+SUMIF('Phase III Pro Forma'!$F$6:$Z$6,'Official Summary'!L$7,'Phase III Pro Forma'!$F$288:$Z$288))+(SUMIF('Phase I Pro Forma'!$F$6:$Z$6,'Official Summary'!L$7,'Phase I Pro Forma'!$F$290:$Z$290)+SUMIF('Phase II Pro Forma'!$F$6:$Z$6,'Official Summary'!L$7,'Phase II Pro Forma'!$F$290:$Z$290)+SUMIF('Phase III Pro Forma'!$F$6:$Z$6,'Official Summary'!L$7,'Phase III Pro Forma'!$F$290:$Z$290))</f>
        <v>0</v>
      </c>
      <c r="M46" s="259">
        <f>+(SUMIF('Phase I Pro Forma'!$F$6:$Z$6,'Official Summary'!M$7,'Phase I Pro Forma'!$F$288:$Z$288)+SUMIF('Phase II Pro Forma'!$F$6:$Z$6,'Official Summary'!M$7,'Phase II Pro Forma'!$F$288:$Z$288)+SUMIF('Phase III Pro Forma'!$F$6:$Z$6,'Official Summary'!M$7,'Phase III Pro Forma'!$F$288:$Z$288))+(SUMIF('Phase I Pro Forma'!$F$6:$Z$6,'Official Summary'!M$7,'Phase I Pro Forma'!$F$290:$Z$290)+SUMIF('Phase II Pro Forma'!$F$6:$Z$6,'Official Summary'!M$7,'Phase II Pro Forma'!$F$290:$Z$290)+SUMIF('Phase III Pro Forma'!$F$6:$Z$6,'Official Summary'!M$7,'Phase III Pro Forma'!$F$290:$Z$290))</f>
        <v>0</v>
      </c>
      <c r="N46" s="289">
        <f>+(SUMIF('Phase I Pro Forma'!$F$6:$Z$6,'Official Summary'!N$7,'Phase I Pro Forma'!$F$288:$Z$288)+SUMIF('Phase II Pro Forma'!$F$6:$Z$6,'Official Summary'!N$7,'Phase II Pro Forma'!$F$288:$Z$288)+SUMIF('Phase III Pro Forma'!$F$6:$Z$6,'Official Summary'!N$7,'Phase III Pro Forma'!$F$288:$Z$288))+(SUMIF('Phase I Pro Forma'!$F$6:$Z$6,'Official Summary'!N$7,'Phase I Pro Forma'!$F$290:$Z$290)+SUMIF('Phase II Pro Forma'!$F$6:$Z$6,'Official Summary'!N$7,'Phase II Pro Forma'!$F$290:$Z$290)+SUMIF('Phase III Pro Forma'!$F$6:$Z$6,'Official Summary'!N$7,'Phase III Pro Forma'!$F$290:$Z$290))</f>
        <v>0</v>
      </c>
    </row>
    <row r="47" spans="2:14" ht="19" customHeight="1" x14ac:dyDescent="0.2">
      <c r="B47" s="309" t="s">
        <v>431</v>
      </c>
      <c r="C47" s="310"/>
      <c r="D47" s="311">
        <f t="shared" ref="D47:N47" ca="1" si="4">+SUM(D32:D46)</f>
        <v>51505114.619219258</v>
      </c>
      <c r="E47" s="311">
        <f t="shared" ca="1" si="4"/>
        <v>154274864.9570305</v>
      </c>
      <c r="F47" s="311">
        <f t="shared" ca="1" si="4"/>
        <v>173148645.01786155</v>
      </c>
      <c r="G47" s="311">
        <f t="shared" ca="1" si="4"/>
        <v>90193448.720425814</v>
      </c>
      <c r="H47" s="311">
        <f t="shared" ca="1" si="4"/>
        <v>145958828.04581198</v>
      </c>
      <c r="I47" s="311">
        <f t="shared" ca="1" si="4"/>
        <v>151302397.09527436</v>
      </c>
      <c r="J47" s="311">
        <f t="shared" ca="1" si="4"/>
        <v>151302397.09527436</v>
      </c>
      <c r="K47" s="311">
        <f t="shared" ca="1" si="4"/>
        <v>0</v>
      </c>
      <c r="L47" s="311">
        <f t="shared" ca="1" si="4"/>
        <v>0</v>
      </c>
      <c r="M47" s="311">
        <f t="shared" ca="1" si="4"/>
        <v>0</v>
      </c>
      <c r="N47" s="311">
        <f t="shared" ca="1" si="4"/>
        <v>0</v>
      </c>
    </row>
    <row r="48" spans="2:14" ht="19" customHeight="1" x14ac:dyDescent="0.2">
      <c r="B48" s="292" t="s">
        <v>439</v>
      </c>
      <c r="C48" s="260"/>
      <c r="D48" s="284">
        <f ca="1">-SUMIF('Phase I Pro Forma'!$F$6:$Z$6,'Official Summary'!D$7,'Phase I Pro Forma'!$F$304:$Z$304)-SUMIF('Phase II Pro Forma'!$F$6:$Z$6,'Official Summary'!D$7,'Phase II Pro Forma'!$F$304:$Z$304)-SUMIF('Phase III Pro Forma'!$F$6:$Z$6,'Official Summary'!D$7,'Phase III Pro Forma'!$F$304:$Z$304)</f>
        <v>0</v>
      </c>
      <c r="E48" s="259">
        <f ca="1">-SUMIF('Phase I Pro Forma'!$F$6:$Z$6,'Official Summary'!E$7,'Phase I Pro Forma'!$F$304:$Z$304)-SUMIF('Phase II Pro Forma'!$F$6:$Z$6,'Official Summary'!E$7,'Phase II Pro Forma'!$F$304:$Z$304)-SUMIF('Phase III Pro Forma'!$F$6:$Z$6,'Official Summary'!E$7,'Phase III Pro Forma'!$F$304:$Z$304)</f>
        <v>-21509097.157441318</v>
      </c>
      <c r="F48" s="280">
        <f ca="1">-SUMIF('Phase I Pro Forma'!$F$6:$Z$6,'Official Summary'!F$7,'Phase I Pro Forma'!$F$304:$Z$304)-SUMIF('Phase II Pro Forma'!$F$6:$Z$6,'Official Summary'!F$7,'Phase II Pro Forma'!$F$304:$Z$304)-SUMIF('Phase III Pro Forma'!$F$6:$Z$6,'Official Summary'!F$7,'Phase III Pro Forma'!$F$304:$Z$304)</f>
        <v>-68469961.049118668</v>
      </c>
      <c r="G48" s="259">
        <f ca="1">-SUMIF('Phase I Pro Forma'!$F$6:$Z$6,'Official Summary'!G$7,'Phase I Pro Forma'!$F$304:$Z$304)-SUMIF('Phase II Pro Forma'!$F$6:$Z$6,'Official Summary'!G$7,'Phase II Pro Forma'!$F$304:$Z$304)-SUMIF('Phase III Pro Forma'!$F$6:$Z$6,'Official Summary'!G$7,'Phase III Pro Forma'!$F$304:$Z$304)</f>
        <v>-11692243.07685503</v>
      </c>
      <c r="H48" s="275">
        <f ca="1">-SUMIF('Phase I Pro Forma'!$F$6:$Z$6,'Official Summary'!H$7,'Phase I Pro Forma'!$F$304:$Z$304)-SUMIF('Phase II Pro Forma'!$F$6:$Z$6,'Official Summary'!H$7,'Phase II Pro Forma'!$F$304:$Z$304)-SUMIF('Phase III Pro Forma'!$F$6:$Z$6,'Official Summary'!H$7,'Phase III Pro Forma'!$F$304:$Z$304)</f>
        <v>-43227339.152062282</v>
      </c>
      <c r="I48" s="259">
        <f ca="1">-SUMIF('Phase I Pro Forma'!$F$6:$Z$6,'Official Summary'!I$7,'Phase I Pro Forma'!$F$304:$Z$304)-SUMIF('Phase II Pro Forma'!$F$6:$Z$6,'Official Summary'!I$7,'Phase II Pro Forma'!$F$304:$Z$304)-SUMIF('Phase III Pro Forma'!$F$6:$Z$6,'Official Summary'!I$7,'Phase III Pro Forma'!$F$304:$Z$304)</f>
        <v>-17771764.980353713</v>
      </c>
      <c r="J48" s="259">
        <f ca="1">-SUMIF('Phase I Pro Forma'!$F$6:$Z$6,'Official Summary'!J$7,'Phase I Pro Forma'!$F$304:$Z$304)-SUMIF('Phase II Pro Forma'!$F$6:$Z$6,'Official Summary'!J$7,'Phase II Pro Forma'!$F$304:$Z$304)-SUMIF('Phase III Pro Forma'!$F$6:$Z$6,'Official Summary'!J$7,'Phase III Pro Forma'!$F$304:$Z$304)</f>
        <v>-60227062.466598757</v>
      </c>
      <c r="K48" s="259">
        <f ca="1">-SUMIF('Phase I Pro Forma'!$F$6:$Z$6,'Official Summary'!K$7,'Phase I Pro Forma'!$F$304:$Z$304)-SUMIF('Phase II Pro Forma'!$F$6:$Z$6,'Official Summary'!K$7,'Phase II Pro Forma'!$F$304:$Z$304)-SUMIF('Phase III Pro Forma'!$F$6:$Z$6,'Official Summary'!K$7,'Phase III Pro Forma'!$F$304:$Z$304)</f>
        <v>-2827956.1480867714</v>
      </c>
      <c r="L48" s="259">
        <f ca="1">-SUMIF('Phase I Pro Forma'!$F$6:$Z$6,'Official Summary'!L$7,'Phase I Pro Forma'!$F$304:$Z$304)-SUMIF('Phase II Pro Forma'!$F$6:$Z$6,'Official Summary'!L$7,'Phase II Pro Forma'!$F$304:$Z$304)-SUMIF('Phase III Pro Forma'!$F$6:$Z$6,'Official Summary'!L$7,'Phase III Pro Forma'!$F$304:$Z$304)</f>
        <v>-2827956.1480867565</v>
      </c>
      <c r="M48" s="259">
        <f ca="1">-SUMIF('Phase I Pro Forma'!$F$6:$Z$6,'Official Summary'!M$7,'Phase I Pro Forma'!$F$304:$Z$304)-SUMIF('Phase II Pro Forma'!$F$6:$Z$6,'Official Summary'!M$7,'Phase II Pro Forma'!$F$304:$Z$304)-SUMIF('Phase III Pro Forma'!$F$6:$Z$6,'Official Summary'!M$7,'Phase III Pro Forma'!$F$304:$Z$304)</f>
        <v>0</v>
      </c>
      <c r="N48" s="289">
        <f ca="1">-SUMIF('Phase I Pro Forma'!$F$6:$Z$6,'Official Summary'!N$7,'Phase I Pro Forma'!$F$304:$Z$304)-SUMIF('Phase II Pro Forma'!$F$6:$Z$6,'Official Summary'!N$7,'Phase II Pro Forma'!$F$304:$Z$304)-SUMIF('Phase III Pro Forma'!$F$6:$Z$6,'Official Summary'!N$7,'Phase III Pro Forma'!$F$304:$Z$304)</f>
        <v>0</v>
      </c>
    </row>
    <row r="49" spans="2:14" ht="19" customHeight="1" x14ac:dyDescent="0.2">
      <c r="B49" s="309" t="s">
        <v>436</v>
      </c>
      <c r="C49" s="310"/>
      <c r="D49" s="311">
        <f ca="1">+D47+D48</f>
        <v>51505114.619219258</v>
      </c>
      <c r="E49" s="311">
        <f t="shared" ref="E49:N49" ca="1" si="5">+E47+E48</f>
        <v>132765767.79958919</v>
      </c>
      <c r="F49" s="311">
        <f t="shared" ca="1" si="5"/>
        <v>104678683.96874288</v>
      </c>
      <c r="G49" s="311">
        <f t="shared" ca="1" si="5"/>
        <v>78501205.643570781</v>
      </c>
      <c r="H49" s="311">
        <f t="shared" ca="1" si="5"/>
        <v>102731488.8937497</v>
      </c>
      <c r="I49" s="311">
        <f t="shared" ca="1" si="5"/>
        <v>133530632.11492065</v>
      </c>
      <c r="J49" s="311">
        <f t="shared" ca="1" si="5"/>
        <v>91075334.62867561</v>
      </c>
      <c r="K49" s="311">
        <f t="shared" ca="1" si="5"/>
        <v>-2827956.1480867714</v>
      </c>
      <c r="L49" s="311">
        <f t="shared" ca="1" si="5"/>
        <v>-2827956.1480867565</v>
      </c>
      <c r="M49" s="311">
        <f t="shared" ca="1" si="5"/>
        <v>0</v>
      </c>
      <c r="N49" s="311">
        <f t="shared" ca="1" si="5"/>
        <v>0</v>
      </c>
    </row>
    <row r="50" spans="2:14" ht="19" customHeight="1" x14ac:dyDescent="0.2">
      <c r="B50" s="292" t="s">
        <v>80</v>
      </c>
      <c r="D50" s="284">
        <f>+(SUMIF('Phase I Pro Forma'!$F$6:$Z$6,'Official Summary'!D$7,'Phase I Pro Forma'!$F$289:$Z$289)+SUMIF('Phase II Pro Forma'!$F$6:$Z$6,'Official Summary'!D$7,'Phase II Pro Forma'!$F$289:$Z$289)+SUMIF('Phase III Pro Forma'!$F$6:$Z$6,'Official Summary'!D$7,'Phase III Pro Forma'!$F$289:$Z$289))</f>
        <v>0</v>
      </c>
      <c r="E50" s="259">
        <f ca="1">+(SUMIF('Phase I Pro Forma'!$F$6:$Z$6,'Official Summary'!E$7,'Phase I Pro Forma'!$F$289:$Z$289)+SUMIF('Phase II Pro Forma'!$F$6:$Z$6,'Official Summary'!E$7,'Phase II Pro Forma'!$F$289:$Z$289)+SUMIF('Phase III Pro Forma'!$F$6:$Z$6,'Official Summary'!E$7,'Phase III Pro Forma'!$F$289:$Z$289))</f>
        <v>14082876.322565375</v>
      </c>
      <c r="F50" s="280">
        <f ca="1">+(SUMIF('Phase I Pro Forma'!$F$6:$Z$6,'Official Summary'!F$7,'Phase I Pro Forma'!$F$289:$Z$289)+SUMIF('Phase II Pro Forma'!$F$6:$Z$6,'Official Summary'!F$7,'Phase II Pro Forma'!$F$289:$Z$289)+SUMIF('Phase III Pro Forma'!$F$6:$Z$6,'Official Summary'!F$7,'Phase III Pro Forma'!$F$289:$Z$289))</f>
        <v>14082876.322565375</v>
      </c>
      <c r="G50" s="259">
        <f ca="1">+(SUMIF('Phase I Pro Forma'!$F$6:$Z$6,'Official Summary'!G$7,'Phase I Pro Forma'!$F$289:$Z$289)+SUMIF('Phase II Pro Forma'!$F$6:$Z$6,'Official Summary'!G$7,'Phase II Pro Forma'!$F$289:$Z$289)+SUMIF('Phase III Pro Forma'!$F$6:$Z$6,'Official Summary'!G$7,'Phase III Pro Forma'!$F$289:$Z$289))</f>
        <v>8028359.5701894835</v>
      </c>
      <c r="H50" s="275">
        <f ca="1">+(SUMIF('Phase I Pro Forma'!$F$6:$Z$6,'Official Summary'!H$7,'Phase I Pro Forma'!$F$289:$Z$289)+SUMIF('Phase II Pro Forma'!$F$6:$Z$6,'Official Summary'!H$7,'Phase II Pro Forma'!$F$289:$Z$289)+SUMIF('Phase III Pro Forma'!$F$6:$Z$6,'Official Summary'!H$7,'Phase III Pro Forma'!$F$289:$Z$289))</f>
        <v>8028359.5701894835</v>
      </c>
      <c r="I50" s="259">
        <f ca="1">+(SUMIF('Phase I Pro Forma'!$F$6:$Z$6,'Official Summary'!I$7,'Phase I Pro Forma'!$F$289:$Z$289)+SUMIF('Phase II Pro Forma'!$F$6:$Z$6,'Official Summary'!I$7,'Phase II Pro Forma'!$F$289:$Z$289)+SUMIF('Phase III Pro Forma'!$F$6:$Z$6,'Official Summary'!I$7,'Phase III Pro Forma'!$F$289:$Z$289))</f>
        <v>13906116.614483969</v>
      </c>
      <c r="J50" s="259">
        <f ca="1">+(SUMIF('Phase I Pro Forma'!$F$6:$Z$6,'Official Summary'!J$7,'Phase I Pro Forma'!$F$289:$Z$289)+SUMIF('Phase II Pro Forma'!$F$6:$Z$6,'Official Summary'!J$7,'Phase II Pro Forma'!$F$289:$Z$289)+SUMIF('Phase III Pro Forma'!$F$6:$Z$6,'Official Summary'!J$7,'Phase III Pro Forma'!$F$289:$Z$289))</f>
        <v>13906116.614483969</v>
      </c>
      <c r="K50" s="259">
        <f>+(SUMIF('Phase I Pro Forma'!$F$6:$Z$6,'Official Summary'!K$7,'Phase I Pro Forma'!$F$289:$Z$289)+SUMIF('Phase II Pro Forma'!$F$6:$Z$6,'Official Summary'!K$7,'Phase II Pro Forma'!$F$289:$Z$289)+SUMIF('Phase III Pro Forma'!$F$6:$Z$6,'Official Summary'!K$7,'Phase III Pro Forma'!$F$289:$Z$289))</f>
        <v>0</v>
      </c>
      <c r="L50" s="259">
        <f>+(SUMIF('Phase I Pro Forma'!$F$6:$Z$6,'Official Summary'!L$7,'Phase I Pro Forma'!$F$289:$Z$289)+SUMIF('Phase II Pro Forma'!$F$6:$Z$6,'Official Summary'!L$7,'Phase II Pro Forma'!$F$289:$Z$289)+SUMIF('Phase III Pro Forma'!$F$6:$Z$6,'Official Summary'!L$7,'Phase III Pro Forma'!$F$289:$Z$289))</f>
        <v>0</v>
      </c>
      <c r="M50" s="259">
        <f>+(SUMIF('Phase I Pro Forma'!$F$6:$Z$6,'Official Summary'!M$7,'Phase I Pro Forma'!$F$289:$Z$289)+SUMIF('Phase II Pro Forma'!$F$6:$Z$6,'Official Summary'!M$7,'Phase II Pro Forma'!$F$289:$Z$289)+SUMIF('Phase III Pro Forma'!$F$6:$Z$6,'Official Summary'!M$7,'Phase III Pro Forma'!$F$289:$Z$289))</f>
        <v>0</v>
      </c>
      <c r="N50" s="289">
        <f>+(SUMIF('Phase I Pro Forma'!$F$6:$Z$6,'Official Summary'!N$7,'Phase I Pro Forma'!$F$289:$Z$289)+SUMIF('Phase II Pro Forma'!$F$6:$Z$6,'Official Summary'!N$7,'Phase II Pro Forma'!$F$289:$Z$289)+SUMIF('Phase III Pro Forma'!$F$6:$Z$6,'Official Summary'!N$7,'Phase III Pro Forma'!$F$289:$Z$289))</f>
        <v>0</v>
      </c>
    </row>
    <row r="51" spans="2:14" ht="19" customHeight="1" x14ac:dyDescent="0.2">
      <c r="B51" s="294" t="s">
        <v>438</v>
      </c>
      <c r="C51" s="266"/>
      <c r="D51" s="295">
        <f t="shared" ref="D51:N51" ca="1" si="6">+D49+D50</f>
        <v>51505114.619219258</v>
      </c>
      <c r="E51" s="295">
        <f t="shared" ca="1" si="6"/>
        <v>146848644.12215456</v>
      </c>
      <c r="F51" s="295">
        <f t="shared" ca="1" si="6"/>
        <v>118761560.29130825</v>
      </c>
      <c r="G51" s="295">
        <f t="shared" ca="1" si="6"/>
        <v>86529565.213760257</v>
      </c>
      <c r="H51" s="295">
        <f t="shared" ca="1" si="6"/>
        <v>110759848.46393919</v>
      </c>
      <c r="I51" s="295">
        <f t="shared" ca="1" si="6"/>
        <v>147436748.72940463</v>
      </c>
      <c r="J51" s="295">
        <f t="shared" ca="1" si="6"/>
        <v>104981451.24315958</v>
      </c>
      <c r="K51" s="295">
        <f t="shared" ca="1" si="6"/>
        <v>-2827956.1480867714</v>
      </c>
      <c r="L51" s="295">
        <f t="shared" ca="1" si="6"/>
        <v>-2827956.1480867565</v>
      </c>
      <c r="M51" s="295">
        <f t="shared" ca="1" si="6"/>
        <v>0</v>
      </c>
      <c r="N51" s="295">
        <f t="shared" ca="1" si="6"/>
        <v>0</v>
      </c>
    </row>
    <row r="52" spans="2:14" ht="19" customHeight="1" x14ac:dyDescent="0.2">
      <c r="B52" s="242"/>
      <c r="C52" s="242"/>
      <c r="D52" s="243"/>
      <c r="E52" s="244"/>
      <c r="F52" s="245"/>
      <c r="G52" s="245"/>
      <c r="H52" s="245"/>
      <c r="I52" s="245"/>
      <c r="J52" s="245"/>
      <c r="K52" s="245"/>
      <c r="L52" s="245"/>
      <c r="M52" s="246"/>
      <c r="N52" s="245"/>
    </row>
    <row r="53" spans="2:14" ht="19" customHeight="1" x14ac:dyDescent="0.2">
      <c r="B53" s="262" t="s">
        <v>4</v>
      </c>
      <c r="C53" s="262"/>
      <c r="D53" s="270"/>
      <c r="E53" s="263"/>
      <c r="F53" s="263"/>
      <c r="G53" s="263"/>
      <c r="H53" s="263"/>
      <c r="I53" s="263"/>
      <c r="J53" s="263"/>
      <c r="K53" s="263"/>
      <c r="L53" s="263"/>
      <c r="M53" s="249"/>
      <c r="N53" s="263"/>
    </row>
    <row r="54" spans="2:14" ht="19" customHeight="1" x14ac:dyDescent="0.2">
      <c r="B54" s="260" t="s">
        <v>5</v>
      </c>
      <c r="C54" s="260"/>
      <c r="D54" s="283">
        <f t="shared" ref="D54:N54" ca="1" si="7">+D24</f>
        <v>0</v>
      </c>
      <c r="E54" s="265">
        <f t="shared" ca="1" si="7"/>
        <v>-2859903.3463380821</v>
      </c>
      <c r="F54" s="279">
        <f t="shared" ca="1" si="7"/>
        <v>-2859903.3463380821</v>
      </c>
      <c r="G54" s="265">
        <f t="shared" ca="1" si="7"/>
        <v>7687890.3966812883</v>
      </c>
      <c r="H54" s="274">
        <f t="shared" ca="1" si="7"/>
        <v>20831115.461269658</v>
      </c>
      <c r="I54" s="265">
        <f t="shared" ca="1" si="7"/>
        <v>28428351.241085008</v>
      </c>
      <c r="J54" s="265">
        <f t="shared" ca="1" si="7"/>
        <v>37748585.588745967</v>
      </c>
      <c r="K54" s="265">
        <f t="shared" ca="1" si="7"/>
        <v>52926216.254063927</v>
      </c>
      <c r="L54" s="265">
        <f t="shared" ca="1" si="7"/>
        <v>67345917.717971891</v>
      </c>
      <c r="M54" s="265">
        <f t="shared" ca="1" si="7"/>
        <v>71151841.054904044</v>
      </c>
      <c r="N54" s="288">
        <f t="shared" ca="1" si="7"/>
        <v>73956058.868482515</v>
      </c>
    </row>
    <row r="55" spans="2:14" ht="19" customHeight="1" x14ac:dyDescent="0.2">
      <c r="B55" s="268" t="s">
        <v>45</v>
      </c>
      <c r="C55" s="255"/>
      <c r="D55" s="284">
        <f t="shared" ref="D55:N55" si="8">+D25</f>
        <v>0</v>
      </c>
      <c r="E55" s="259">
        <f t="shared" si="8"/>
        <v>0</v>
      </c>
      <c r="F55" s="280">
        <f t="shared" si="8"/>
        <v>0</v>
      </c>
      <c r="G55" s="259">
        <f t="shared" si="8"/>
        <v>0</v>
      </c>
      <c r="H55" s="275">
        <f t="shared" si="8"/>
        <v>0</v>
      </c>
      <c r="I55" s="259">
        <f t="shared" si="8"/>
        <v>0</v>
      </c>
      <c r="J55" s="259">
        <f t="shared" si="8"/>
        <v>0</v>
      </c>
      <c r="K55" s="259">
        <f t="shared" si="8"/>
        <v>0</v>
      </c>
      <c r="L55" s="259">
        <f t="shared" si="8"/>
        <v>0</v>
      </c>
      <c r="M55" s="259">
        <f t="shared" si="8"/>
        <v>0</v>
      </c>
      <c r="N55" s="289">
        <f t="shared" ca="1" si="8"/>
        <v>1193317734.3381305</v>
      </c>
    </row>
    <row r="56" spans="2:14" ht="19" customHeight="1" x14ac:dyDescent="0.2">
      <c r="B56" s="260" t="s">
        <v>11</v>
      </c>
      <c r="C56" s="260"/>
      <c r="D56" s="284">
        <f t="shared" ref="D56:N56" si="9">+D26</f>
        <v>0</v>
      </c>
      <c r="E56" s="259">
        <f t="shared" si="9"/>
        <v>0</v>
      </c>
      <c r="F56" s="280">
        <f t="shared" si="9"/>
        <v>0</v>
      </c>
      <c r="G56" s="259">
        <f t="shared" si="9"/>
        <v>0</v>
      </c>
      <c r="H56" s="275">
        <f t="shared" si="9"/>
        <v>0</v>
      </c>
      <c r="I56" s="259">
        <f t="shared" si="9"/>
        <v>0</v>
      </c>
      <c r="J56" s="259">
        <f t="shared" si="9"/>
        <v>0</v>
      </c>
      <c r="K56" s="259">
        <f t="shared" si="9"/>
        <v>0</v>
      </c>
      <c r="L56" s="259">
        <f t="shared" si="9"/>
        <v>0</v>
      </c>
      <c r="M56" s="259">
        <f t="shared" si="9"/>
        <v>0</v>
      </c>
      <c r="N56" s="289">
        <f t="shared" ca="1" si="9"/>
        <v>-23866354.686762609</v>
      </c>
    </row>
    <row r="57" spans="2:14" ht="19" customHeight="1" x14ac:dyDescent="0.2">
      <c r="B57" s="260" t="s">
        <v>440</v>
      </c>
      <c r="C57" s="260"/>
      <c r="D57" s="284">
        <f ca="1">-D49</f>
        <v>-51505114.619219258</v>
      </c>
      <c r="E57" s="259">
        <f t="shared" ref="E57:N57" ca="1" si="10">-E49</f>
        <v>-132765767.79958919</v>
      </c>
      <c r="F57" s="280">
        <f t="shared" ca="1" si="10"/>
        <v>-104678683.96874288</v>
      </c>
      <c r="G57" s="259">
        <f t="shared" ca="1" si="10"/>
        <v>-78501205.643570781</v>
      </c>
      <c r="H57" s="275">
        <f t="shared" ca="1" si="10"/>
        <v>-102731488.8937497</v>
      </c>
      <c r="I57" s="259">
        <f t="shared" ca="1" si="10"/>
        <v>-133530632.11492065</v>
      </c>
      <c r="J57" s="259">
        <f t="shared" ca="1" si="10"/>
        <v>-91075334.62867561</v>
      </c>
      <c r="K57" s="259">
        <f t="shared" ca="1" si="10"/>
        <v>2827956.1480867714</v>
      </c>
      <c r="L57" s="259">
        <f t="shared" ca="1" si="10"/>
        <v>2827956.1480867565</v>
      </c>
      <c r="M57" s="259">
        <f t="shared" ca="1" si="10"/>
        <v>0</v>
      </c>
      <c r="N57" s="289">
        <f t="shared" ca="1" si="10"/>
        <v>0</v>
      </c>
    </row>
    <row r="58" spans="2:14" ht="19" customHeight="1" x14ac:dyDescent="0.2">
      <c r="B58" s="1014" t="s">
        <v>441</v>
      </c>
      <c r="C58" s="1014"/>
      <c r="D58" s="290">
        <f ca="1">+SUM(D54:D57)</f>
        <v>-51505114.619219258</v>
      </c>
      <c r="E58" s="290">
        <f t="shared" ref="E58:N58" ca="1" si="11">+SUM(E54:E57)</f>
        <v>-135625671.14592728</v>
      </c>
      <c r="F58" s="290">
        <f t="shared" ca="1" si="11"/>
        <v>-107538587.31508096</v>
      </c>
      <c r="G58" s="290">
        <f t="shared" ca="1" si="11"/>
        <v>-70813315.246889487</v>
      </c>
      <c r="H58" s="290">
        <f t="shared" ca="1" si="11"/>
        <v>-81900373.432480037</v>
      </c>
      <c r="I58" s="290">
        <f t="shared" ca="1" si="11"/>
        <v>-105102280.87383564</v>
      </c>
      <c r="J58" s="290">
        <f t="shared" ca="1" si="11"/>
        <v>-53326749.039929643</v>
      </c>
      <c r="K58" s="290">
        <f t="shared" ca="1" si="11"/>
        <v>55754172.402150698</v>
      </c>
      <c r="L58" s="290">
        <f t="shared" ca="1" si="11"/>
        <v>70173873.866058648</v>
      </c>
      <c r="M58" s="290">
        <f t="shared" ca="1" si="11"/>
        <v>71151841.054904044</v>
      </c>
      <c r="N58" s="290">
        <f t="shared" ca="1" si="11"/>
        <v>1243407438.5198505</v>
      </c>
    </row>
    <row r="59" spans="2:14" ht="19" customHeight="1" x14ac:dyDescent="0.2">
      <c r="B59" s="292" t="s">
        <v>435</v>
      </c>
      <c r="C59" s="267"/>
      <c r="D59" s="284">
        <f>-D50</f>
        <v>0</v>
      </c>
      <c r="E59" s="259">
        <f t="shared" ref="E59:N59" ca="1" si="12">-E50</f>
        <v>-14082876.322565375</v>
      </c>
      <c r="F59" s="280">
        <f t="shared" ca="1" si="12"/>
        <v>-14082876.322565375</v>
      </c>
      <c r="G59" s="259">
        <f t="shared" ca="1" si="12"/>
        <v>-8028359.5701894835</v>
      </c>
      <c r="H59" s="275">
        <f t="shared" ca="1" si="12"/>
        <v>-8028359.5701894835</v>
      </c>
      <c r="I59" s="259">
        <f t="shared" ca="1" si="12"/>
        <v>-13906116.614483969</v>
      </c>
      <c r="J59" s="259">
        <f t="shared" ca="1" si="12"/>
        <v>-13906116.614483969</v>
      </c>
      <c r="K59" s="259">
        <f t="shared" si="12"/>
        <v>0</v>
      </c>
      <c r="L59" s="259">
        <f t="shared" si="12"/>
        <v>0</v>
      </c>
      <c r="M59" s="259">
        <f t="shared" si="12"/>
        <v>0</v>
      </c>
      <c r="N59" s="289">
        <f t="shared" si="12"/>
        <v>0</v>
      </c>
    </row>
    <row r="60" spans="2:14" ht="19" customHeight="1" x14ac:dyDescent="0.2">
      <c r="B60" s="292" t="s">
        <v>503</v>
      </c>
      <c r="C60" s="267"/>
      <c r="D60" s="284">
        <f ca="1">+SUMIF('Phase I Pro Forma'!$F$6:$Z$6,'Official Summary'!D$7,'Phase I Pro Forma'!$F279:$Z279)+SUMIF('Phase II Pro Forma'!$F$6:$Z$6,'Official Summary'!D$7,'Phase II Pro Forma'!$F279:$Z279)+SUMIF('Phase III Pro Forma'!$F$6:$Z$6,'Official Summary'!D$7,'Phase III Pro Forma'!$F279:$Z279)</f>
        <v>0</v>
      </c>
      <c r="E60" s="259">
        <f ca="1">+SUMIF('Phase I Pro Forma'!$F$6:$Z$6,'Official Summary'!E$7,'Phase I Pro Forma'!$F279:$Z279)+SUMIF('Phase II Pro Forma'!$F$6:$Z$6,'Official Summary'!E$7,'Phase II Pro Forma'!$F279:$Z279)+SUMIF('Phase III Pro Forma'!$F$6:$Z$6,'Official Summary'!E$7,'Phase III Pro Forma'!$F279:$Z279)</f>
        <v>137048442.76144266</v>
      </c>
      <c r="F60" s="280">
        <f ca="1">+SUMIF('Phase I Pro Forma'!$F$6:$Z$6,'Official Summary'!F$7,'Phase I Pro Forma'!$F279:$Z279)+SUMIF('Phase II Pro Forma'!$F$6:$Z$6,'Official Summary'!F$7,'Phase II Pro Forma'!$F279:$Z279)+SUMIF('Phase III Pro Forma'!$F$6:$Z$6,'Official Summary'!F$7,'Phase III Pro Forma'!$F279:$Z279)</f>
        <v>102747683.57681528</v>
      </c>
      <c r="G60" s="259">
        <f ca="1">+SUMIF('Phase I Pro Forma'!$F$6:$Z$6,'Official Summary'!G$7,'Phase I Pro Forma'!$F279:$Z279)+SUMIF('Phase II Pro Forma'!$F$6:$Z$6,'Official Summary'!G$7,'Phase II Pro Forma'!$F279:$Z279)+SUMIF('Phase III Pro Forma'!$F$6:$Z$6,'Official Summary'!G$7,'Phase III Pro Forma'!$F279:$Z279)</f>
        <v>108559867.8648369</v>
      </c>
      <c r="H60" s="275">
        <f ca="1">+SUMIF('Phase I Pro Forma'!$F$6:$Z$6,'Official Summary'!H$7,'Phase I Pro Forma'!$F279:$Z279)+SUMIF('Phase II Pro Forma'!$F$6:$Z$6,'Official Summary'!H$7,'Phase II Pro Forma'!$F279:$Z279)+SUMIF('Phase III Pro Forma'!$F$6:$Z$6,'Official Summary'!H$7,'Phase III Pro Forma'!$F279:$Z279)</f>
        <v>59463110.661403</v>
      </c>
      <c r="I60" s="259">
        <f ca="1">+SUMIF('Phase I Pro Forma'!$F$6:$Z$6,'Official Summary'!I$7,'Phase I Pro Forma'!$F279:$Z279)+SUMIF('Phase II Pro Forma'!$F$6:$Z$6,'Official Summary'!I$7,'Phase II Pro Forma'!$F279:$Z279)+SUMIF('Phase III Pro Forma'!$F$6:$Z$6,'Official Summary'!I$7,'Phase III Pro Forma'!$F279:$Z279)</f>
        <v>153751083.55459937</v>
      </c>
      <c r="J60" s="259">
        <f ca="1">+SUMIF('Phase I Pro Forma'!$F$6:$Z$6,'Official Summary'!J$7,'Phase I Pro Forma'!$F279:$Z279)+SUMIF('Phase II Pro Forma'!$F$6:$Z$6,'Official Summary'!J$7,'Phase II Pro Forma'!$F279:$Z279)+SUMIF('Phase III Pro Forma'!$F$6:$Z$6,'Official Summary'!J$7,'Phase III Pro Forma'!$F279:$Z279)</f>
        <v>109418145.56775826</v>
      </c>
      <c r="K60" s="259">
        <f ca="1">+SUMIF('Phase I Pro Forma'!$F$6:$Z$6,'Official Summary'!K$7,'Phase I Pro Forma'!$F279:$Z279)+SUMIF('Phase II Pro Forma'!$F$6:$Z$6,'Official Summary'!K$7,'Phase II Pro Forma'!$F279:$Z279)+SUMIF('Phase III Pro Forma'!$F$6:$Z$6,'Official Summary'!K$7,'Phase III Pro Forma'!$F279:$Z279)</f>
        <v>44337854.74444294</v>
      </c>
      <c r="L60" s="259">
        <f ca="1">+SUMIF('Phase I Pro Forma'!$F$6:$Z$6,'Official Summary'!L$7,'Phase I Pro Forma'!$F279:$Z279)+SUMIF('Phase II Pro Forma'!$F$6:$Z$6,'Official Summary'!L$7,'Phase II Pro Forma'!$F279:$Z279)+SUMIF('Phase III Pro Forma'!$F$6:$Z$6,'Official Summary'!L$7,'Phase III Pro Forma'!$F279:$Z279)</f>
        <v>0</v>
      </c>
      <c r="M60" s="259">
        <f ca="1">+SUMIF('Phase I Pro Forma'!$F$6:$Z$6,'Official Summary'!M$7,'Phase I Pro Forma'!$F279:$Z279)+SUMIF('Phase II Pro Forma'!$F$6:$Z$6,'Official Summary'!M$7,'Phase II Pro Forma'!$F279:$Z279)+SUMIF('Phase III Pro Forma'!$F$6:$Z$6,'Official Summary'!M$7,'Phase III Pro Forma'!$F279:$Z279)</f>
        <v>0</v>
      </c>
      <c r="N60" s="289">
        <f ca="1">+SUMIF('Phase I Pro Forma'!$F$6:$Z$6,'Official Summary'!N$7,'Phase I Pro Forma'!$F279:$Z279)+SUMIF('Phase II Pro Forma'!$F$6:$Z$6,'Official Summary'!N$7,'Phase II Pro Forma'!$F279:$Z279)+SUMIF('Phase III Pro Forma'!$F$6:$Z$6,'Official Summary'!N$7,'Phase III Pro Forma'!$F279:$Z279)</f>
        <v>0</v>
      </c>
    </row>
    <row r="61" spans="2:14" ht="19" customHeight="1" x14ac:dyDescent="0.2">
      <c r="B61" s="292" t="s">
        <v>502</v>
      </c>
      <c r="C61" s="267"/>
      <c r="D61" s="284">
        <f ca="1">-SUMIF('Phase I Pro Forma'!$F$6:$Z$6,'Official Summary'!D$7,'Phase I Pro Forma'!$F280:$Z280)-SUMIF('Phase II Pro Forma'!$F$6:$Z$6,'Official Summary'!D$7,'Phase II Pro Forma'!$F280:$Z280)-SUMIF('Phase III Pro Forma'!$F$6:$Z$6,'Official Summary'!D$7,'Phase III Pro Forma'!$F280:$Z280)</f>
        <v>0</v>
      </c>
      <c r="E61" s="259">
        <f ca="1">-SUMIF('Phase I Pro Forma'!$F$6:$Z$6,'Official Summary'!E$7,'Phase I Pro Forma'!$F$280:$Z$280)-SUMIF('Phase II Pro Forma'!$F$6:$Z$6,'Official Summary'!E$7,'Phase II Pro Forma'!$F$280:$Z$280)-SUMIF('Phase III Pro Forma'!$F$6:$Z$6,'Official Summary'!E$7,'Phase III Pro Forma'!$F$280:$Z$280)</f>
        <v>0</v>
      </c>
      <c r="F61" s="280">
        <f ca="1">-SUMIF('Phase I Pro Forma'!$F$6:$Z$6,'Official Summary'!F$7,'Phase I Pro Forma'!$F$280:$Z$280)-SUMIF('Phase II Pro Forma'!$F$6:$Z$6,'Official Summary'!F$7,'Phase II Pro Forma'!$F$280:$Z$280)-SUMIF('Phase III Pro Forma'!$F$6:$Z$6,'Official Summary'!F$7,'Phase III Pro Forma'!$F$280:$Z$280)</f>
        <v>0</v>
      </c>
      <c r="G61" s="259">
        <f ca="1">-SUMIF('Phase I Pro Forma'!$F$6:$Z$6,'Official Summary'!G$7,'Phase I Pro Forma'!$F$280:$Z$280)-SUMIF('Phase II Pro Forma'!$F$6:$Z$6,'Official Summary'!G$7,'Phase II Pro Forma'!$F$280:$Z$280)-SUMIF('Phase III Pro Forma'!$F$6:$Z$6,'Official Summary'!G$7,'Phase III Pro Forma'!$F$280:$Z$280)</f>
        <v>-22236112.795499556</v>
      </c>
      <c r="H61" s="275">
        <f ca="1">-SUMIF('Phase I Pro Forma'!$F$6:$Z$6,'Official Summary'!H$7,'Phase I Pro Forma'!$F$280:$Z$280)-SUMIF('Phase II Pro Forma'!$F$6:$Z$6,'Official Summary'!H$7,'Phase II Pro Forma'!$F$280:$Z$280)-SUMIF('Phase III Pro Forma'!$F$6:$Z$6,'Official Summary'!H$7,'Phase III Pro Forma'!$F$280:$Z$280)</f>
        <v>-20021624.698411778</v>
      </c>
      <c r="I61" s="259">
        <f ca="1">-SUMIF('Phase I Pro Forma'!$F$6:$Z$6,'Official Summary'!I$7,'Phase I Pro Forma'!$F$280:$Z$280)-SUMIF('Phase II Pro Forma'!$F$6:$Z$6,'Official Summary'!I$7,'Phase II Pro Forma'!$F$280:$Z$280)-SUMIF('Phase III Pro Forma'!$F$6:$Z$6,'Official Summary'!I$7,'Phase III Pro Forma'!$F$280:$Z$280)</f>
        <v>-32739371.667783953</v>
      </c>
      <c r="J61" s="259">
        <f ca="1">-SUMIF('Phase I Pro Forma'!$F$6:$Z$6,'Official Summary'!J$7,'Phase I Pro Forma'!$F$280:$Z$280)-SUMIF('Phase II Pro Forma'!$F$6:$Z$6,'Official Summary'!J$7,'Phase II Pro Forma'!$F$280:$Z$280)-SUMIF('Phase III Pro Forma'!$F$6:$Z$6,'Official Summary'!J$7,'Phase III Pro Forma'!$F$280:$Z$280)</f>
        <v>-31459958.204396084</v>
      </c>
      <c r="K61" s="259">
        <f ca="1">-SUMIF('Phase I Pro Forma'!$F$6:$Z$6,'Official Summary'!K$7,'Phase I Pro Forma'!$F$280:$Z$280)-SUMIF('Phase II Pro Forma'!$F$6:$Z$6,'Official Summary'!K$7,'Phase II Pro Forma'!$F$280:$Z$280)-SUMIF('Phase III Pro Forma'!$F$6:$Z$6,'Official Summary'!K$7,'Phase III Pro Forma'!$F$280:$Z$280)</f>
        <v>-54311554.487153783</v>
      </c>
      <c r="L61" s="259">
        <f ca="1">-SUMIF('Phase I Pro Forma'!$F$6:$Z$6,'Official Summary'!L$7,'Phase I Pro Forma'!$F$280:$Z$280)-SUMIF('Phase II Pro Forma'!$F$6:$Z$6,'Official Summary'!L$7,'Phase II Pro Forma'!$F$280:$Z$280)-SUMIF('Phase III Pro Forma'!$F$6:$Z$6,'Official Summary'!L$7,'Phase III Pro Forma'!$F$280:$Z$280)</f>
        <v>-52175118.810342431</v>
      </c>
      <c r="M61" s="259">
        <f ca="1">-SUMIF('Phase I Pro Forma'!$F$6:$Z$6,'Official Summary'!M$7,'Phase I Pro Forma'!$F$280:$Z$280)-SUMIF('Phase II Pro Forma'!$F$6:$Z$6,'Official Summary'!M$7,'Phase II Pro Forma'!$F$280:$Z$280)-SUMIF('Phase III Pro Forma'!$F$6:$Z$6,'Official Summary'!M$7,'Phase III Pro Forma'!$F$280:$Z$280)</f>
        <v>-52175118.810342431</v>
      </c>
      <c r="N61" s="289">
        <f ca="1">-SUMIF('Phase I Pro Forma'!$F$6:$Z$6,'Official Summary'!N$7,'Phase I Pro Forma'!$F$280:$Z$280)-SUMIF('Phase II Pro Forma'!$F$6:$Z$6,'Official Summary'!N$7,'Phase II Pro Forma'!$F$280:$Z$280)-SUMIF('Phase III Pro Forma'!$F$6:$Z$6,'Official Summary'!N$7,'Phase III Pro Forma'!$F$280:$Z$280)</f>
        <v>-720748905.32456136</v>
      </c>
    </row>
    <row r="62" spans="2:14" ht="19" customHeight="1" x14ac:dyDescent="0.2">
      <c r="B62" s="294" t="s">
        <v>432</v>
      </c>
      <c r="C62" s="266"/>
      <c r="D62" s="295">
        <f ca="1">+SUM(D58:D61)</f>
        <v>-51505114.619219258</v>
      </c>
      <c r="E62" s="295">
        <f t="shared" ref="E62:N62" ca="1" si="13">+SUM(E58:E61)</f>
        <v>-12660104.707049996</v>
      </c>
      <c r="F62" s="295">
        <f t="shared" ca="1" si="13"/>
        <v>-18873780.060831055</v>
      </c>
      <c r="G62" s="295">
        <f t="shared" ca="1" si="13"/>
        <v>7482080.2522583678</v>
      </c>
      <c r="H62" s="295">
        <f t="shared" ca="1" si="13"/>
        <v>-50487247.03967829</v>
      </c>
      <c r="I62" s="295">
        <f t="shared" ca="1" si="13"/>
        <v>2003314.3984958157</v>
      </c>
      <c r="J62" s="295">
        <f t="shared" ca="1" si="13"/>
        <v>10725321.708948568</v>
      </c>
      <c r="K62" s="295">
        <f t="shared" ca="1" si="13"/>
        <v>45780472.659439847</v>
      </c>
      <c r="L62" s="295">
        <f t="shared" ca="1" si="13"/>
        <v>17998755.055716217</v>
      </c>
      <c r="M62" s="295">
        <f t="shared" ca="1" si="13"/>
        <v>18976722.244561613</v>
      </c>
      <c r="N62" s="295">
        <f t="shared" ca="1" si="13"/>
        <v>522658533.19528913</v>
      </c>
    </row>
    <row r="63" spans="2:14" ht="19" hidden="1" customHeight="1" outlineLevel="1" x14ac:dyDescent="0.2">
      <c r="B63" s="392" t="s">
        <v>472</v>
      </c>
      <c r="C63" s="389"/>
      <c r="D63" s="393">
        <f ca="1">+D62-'Cash Flow Roll-up'!F6</f>
        <v>0</v>
      </c>
      <c r="E63" s="393">
        <f ca="1">+E62-'Cash Flow Roll-up'!G6</f>
        <v>-4.4703483581542969E-8</v>
      </c>
      <c r="F63" s="393">
        <f ca="1">+F62-'Cash Flow Roll-up'!H6</f>
        <v>-2.9802322387695312E-8</v>
      </c>
      <c r="G63" s="393">
        <f ca="1">+G62-'Cash Flow Roll-up'!I6</f>
        <v>0</v>
      </c>
      <c r="H63" s="393">
        <f ca="1">+H62-'Cash Flow Roll-up'!J6</f>
        <v>0</v>
      </c>
      <c r="I63" s="393">
        <f ca="1">+I62-'Cash Flow Roll-up'!K6</f>
        <v>2.2351741790771484E-8</v>
      </c>
      <c r="J63" s="393">
        <f ca="1">+J62-'Cash Flow Roll-up'!L6</f>
        <v>2.6077032089233398E-8</v>
      </c>
      <c r="K63" s="393">
        <f ca="1">+K62-'Cash Flow Roll-up'!M6</f>
        <v>0</v>
      </c>
      <c r="L63" s="393">
        <f ca="1">+L62-'Cash Flow Roll-up'!N6</f>
        <v>0</v>
      </c>
      <c r="M63" s="393">
        <f ca="1">+M62-'Cash Flow Roll-up'!O6</f>
        <v>0</v>
      </c>
      <c r="N63" s="393">
        <f ca="1">+N62-'Cash Flow Roll-up'!P6</f>
        <v>0</v>
      </c>
    </row>
    <row r="64" spans="2:14" ht="19" customHeight="1" collapsed="1" x14ac:dyDescent="0.2">
      <c r="B64" s="299"/>
      <c r="C64" s="389"/>
      <c r="D64" s="390"/>
      <c r="E64" s="390"/>
      <c r="F64" s="390"/>
      <c r="G64" s="390"/>
      <c r="H64" s="390"/>
      <c r="I64" s="390"/>
      <c r="J64" s="390"/>
      <c r="K64" s="390"/>
      <c r="L64" s="390"/>
      <c r="M64" s="390"/>
      <c r="N64" s="390"/>
    </row>
    <row r="65" spans="2:14" ht="19" customHeight="1" x14ac:dyDescent="0.2">
      <c r="B65" s="264" t="s">
        <v>10</v>
      </c>
      <c r="C65" s="312">
        <v>0.15</v>
      </c>
      <c r="D65" s="313">
        <f ca="1">+NPV(C65,D62:N62)</f>
        <v>54419974.115587719</v>
      </c>
      <c r="E65" s="235"/>
      <c r="F65" s="235"/>
      <c r="G65" s="235"/>
      <c r="H65" s="255"/>
      <c r="I65" s="235"/>
      <c r="J65" s="235"/>
      <c r="K65" s="235"/>
      <c r="L65" s="235"/>
      <c r="M65" s="236"/>
      <c r="N65" s="235"/>
    </row>
    <row r="66" spans="2:14" ht="19" customHeight="1" x14ac:dyDescent="0.2">
      <c r="B66" s="234" t="s">
        <v>504</v>
      </c>
      <c r="C66" s="264"/>
      <c r="D66" s="314">
        <f ca="1">+('S&amp;U'!$Q$17*'Assumptions and Sensis'!$N$175+'S&amp;U'!$Q$18*'Assumptions and Sensis'!$N$182+'S&amp;U'!Q19*'Assumptions and Sensis'!$N$189)/SUM('S&amp;U'!$Q$17:$Q$19)</f>
        <v>0.67772159925576803</v>
      </c>
      <c r="E66" s="235"/>
      <c r="F66" s="235"/>
      <c r="J66" s="235"/>
      <c r="K66" s="235"/>
      <c r="L66" s="235"/>
      <c r="M66" s="236"/>
      <c r="N66" s="235"/>
    </row>
    <row r="67" spans="2:14" ht="19" customHeight="1" x14ac:dyDescent="0.2">
      <c r="B67" s="264" t="s">
        <v>434</v>
      </c>
      <c r="C67" s="264"/>
      <c r="D67" s="314">
        <f ca="1">+'Assumptions and Sensis'!$E$4</f>
        <v>0.12945660144928284</v>
      </c>
      <c r="E67" s="235"/>
      <c r="F67" s="235"/>
      <c r="G67" s="307" t="s">
        <v>444</v>
      </c>
      <c r="H67" s="235"/>
      <c r="I67" s="235"/>
      <c r="J67" s="549">
        <f ca="1">+Budget!G24+'Public Benefits'!F12</f>
        <v>59541741.984464817</v>
      </c>
      <c r="K67" s="235"/>
      <c r="L67" s="235"/>
      <c r="M67" s="236"/>
      <c r="N67" s="235"/>
    </row>
    <row r="68" spans="2:14" ht="19" customHeight="1" x14ac:dyDescent="0.2">
      <c r="B68" s="264" t="s">
        <v>433</v>
      </c>
      <c r="C68" s="264"/>
      <c r="D68" s="314">
        <f ca="1">+'Assumptions and Sensis'!$E$3</f>
        <v>0.22085344333029133</v>
      </c>
    </row>
    <row r="69" spans="2:14" ht="19" customHeight="1" x14ac:dyDescent="0.2">
      <c r="B69" s="248" t="s">
        <v>755</v>
      </c>
      <c r="C69" s="734"/>
      <c r="D69" s="315">
        <f ca="1">+'Assumptions and Sensis'!F3</f>
        <v>0.30116005615140645</v>
      </c>
      <c r="E69" s="233"/>
      <c r="F69" s="233"/>
      <c r="G69" s="308" t="s">
        <v>46</v>
      </c>
      <c r="H69" s="233"/>
      <c r="I69" s="233"/>
      <c r="J69" s="317">
        <f ca="1">+N55</f>
        <v>1193317734.3381305</v>
      </c>
      <c r="K69" s="318"/>
      <c r="L69" s="233"/>
      <c r="M69" s="261"/>
      <c r="N69" s="233"/>
    </row>
    <row r="70" spans="2:14" ht="38" customHeight="1" x14ac:dyDescent="0.2">
      <c r="B70" s="1011" t="s">
        <v>443</v>
      </c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</row>
    <row r="71" spans="2:14" ht="38" customHeight="1" x14ac:dyDescent="0.2">
      <c r="B71" s="1011" t="s">
        <v>445</v>
      </c>
      <c r="C71" s="1011"/>
      <c r="D71" s="1011"/>
      <c r="E71" s="1011"/>
      <c r="F71" s="1011"/>
      <c r="G71" s="1011"/>
      <c r="H71" s="1011"/>
      <c r="I71" s="1011"/>
      <c r="J71" s="1011"/>
      <c r="K71" s="1011"/>
      <c r="L71" s="1011"/>
      <c r="M71" s="1011"/>
      <c r="N71" s="1011"/>
    </row>
    <row r="72" spans="2:14" ht="19" customHeight="1" x14ac:dyDescent="0.2">
      <c r="N72" s="251"/>
    </row>
    <row r="73" spans="2:14" s="579" customFormat="1" ht="19" customHeight="1" x14ac:dyDescent="0.2">
      <c r="B73" s="36" t="s">
        <v>23</v>
      </c>
      <c r="C73" s="37"/>
      <c r="D73" s="37"/>
      <c r="E73" s="36"/>
      <c r="F73" s="45"/>
      <c r="G73" s="45"/>
      <c r="H73" s="45"/>
      <c r="I73" s="1000"/>
      <c r="J73" s="1000"/>
      <c r="K73" s="1000"/>
      <c r="L73" s="1000"/>
      <c r="M73" s="1000"/>
      <c r="N73" s="1000"/>
    </row>
    <row r="74" spans="2:14" ht="19" customHeight="1" x14ac:dyDescent="0.2">
      <c r="D74" s="406"/>
      <c r="E74" s="1001" t="s">
        <v>18</v>
      </c>
      <c r="F74" s="1001"/>
      <c r="G74" s="1001"/>
      <c r="H74" s="1001"/>
      <c r="I74" s="1001"/>
      <c r="J74" s="1001"/>
      <c r="K74" s="1001"/>
      <c r="L74" s="1001"/>
      <c r="M74" s="1001"/>
      <c r="N74" s="1001"/>
    </row>
    <row r="75" spans="2:14" s="750" customFormat="1" ht="19" customHeight="1" x14ac:dyDescent="0.2">
      <c r="B75" s="230"/>
      <c r="C75" s="230"/>
      <c r="D75" s="247" t="s">
        <v>12</v>
      </c>
      <c r="E75" s="404">
        <f>+E6</f>
        <v>2021</v>
      </c>
      <c r="F75" s="404">
        <f t="shared" ref="F75:L75" si="14">E75+1</f>
        <v>2022</v>
      </c>
      <c r="G75" s="404">
        <f t="shared" si="14"/>
        <v>2023</v>
      </c>
      <c r="H75" s="404">
        <f t="shared" si="14"/>
        <v>2024</v>
      </c>
      <c r="I75" s="404">
        <f t="shared" si="14"/>
        <v>2025</v>
      </c>
      <c r="J75" s="404">
        <f t="shared" si="14"/>
        <v>2026</v>
      </c>
      <c r="K75" s="404">
        <f t="shared" si="14"/>
        <v>2027</v>
      </c>
      <c r="L75" s="404">
        <f t="shared" si="14"/>
        <v>2028</v>
      </c>
      <c r="M75" s="404">
        <f>L75+1</f>
        <v>2029</v>
      </c>
      <c r="N75" s="404">
        <f>M75+1</f>
        <v>2030</v>
      </c>
    </row>
    <row r="76" spans="2:14" ht="19" customHeight="1" x14ac:dyDescent="0.2">
      <c r="B76" s="262" t="s">
        <v>6</v>
      </c>
      <c r="C76" s="262"/>
      <c r="D76" s="319"/>
      <c r="E76" s="228"/>
      <c r="F76" s="228"/>
      <c r="G76" s="228"/>
      <c r="H76" s="228"/>
      <c r="I76" s="228"/>
      <c r="J76" s="228"/>
      <c r="K76" s="228"/>
      <c r="L76" s="228"/>
      <c r="M76" s="320"/>
      <c r="N76" s="228"/>
    </row>
    <row r="77" spans="2:14" ht="19" customHeight="1" x14ac:dyDescent="0.2">
      <c r="B77" s="291" t="s">
        <v>920</v>
      </c>
      <c r="C77" s="258"/>
      <c r="D77" s="231" t="s">
        <v>13</v>
      </c>
      <c r="E77" s="259">
        <f>+SUMIF('Phase I Pro Forma'!$F$6:$Z$6,'Official Summary'!E$7,'Phase I Pro Forma'!$F$33:$Z$33)+SUMIF('Phase II Pro Forma'!$F$6:$Z$6,'Official Summary'!E$7,'Phase II Pro Forma'!$F$33:$Z$33)+SUMIF('Phase III Pro Forma'!$F$6:$Z$6,'Official Summary'!E$7,'Phase III Pro Forma'!$F$33:$Z$33)</f>
        <v>0</v>
      </c>
      <c r="F77" s="259">
        <f>+SUMIF('Phase I Pro Forma'!$F$6:$Z$6,'Official Summary'!F$7,'Phase I Pro Forma'!$F$33:$Z$33)+SUMIF('Phase II Pro Forma'!$F$6:$Z$6,'Official Summary'!F$7,'Phase II Pro Forma'!$F$33:$Z$33)+SUMIF('Phase III Pro Forma'!$F$6:$Z$6,'Official Summary'!F$7,'Phase III Pro Forma'!$F$33:$Z$33)</f>
        <v>0</v>
      </c>
      <c r="G77" s="259">
        <f>+SUMIF('Phase I Pro Forma'!$F$6:$Z$6,'Official Summary'!G$7,'Phase I Pro Forma'!$F$33:$Z$33)+SUMIF('Phase II Pro Forma'!$F$6:$Z$6,'Official Summary'!G$7,'Phase II Pro Forma'!$F$33:$Z$33)+SUMIF('Phase III Pro Forma'!$F$6:$Z$6,'Official Summary'!G$7,'Phase III Pro Forma'!$F$33:$Z$33)</f>
        <v>299.17097388150785</v>
      </c>
      <c r="H77" s="259">
        <f>+SUMIF('Phase I Pro Forma'!$F$6:$Z$6,'Official Summary'!H$7,'Phase I Pro Forma'!$F$33:$Z$33)+SUMIF('Phase II Pro Forma'!$F$6:$Z$6,'Official Summary'!H$7,'Phase II Pro Forma'!$F$33:$Z$33)+SUMIF('Phase III Pro Forma'!$F$6:$Z$6,'Official Summary'!H$7,'Phase III Pro Forma'!$F$33:$Z$33)</f>
        <v>299.17097388150785</v>
      </c>
      <c r="I77" s="259">
        <f>+SUMIF('Phase I Pro Forma'!$F$6:$Z$6,'Official Summary'!I$7,'Phase I Pro Forma'!$F$33:$Z$33)+SUMIF('Phase II Pro Forma'!$F$6:$Z$6,'Official Summary'!I$7,'Phase II Pro Forma'!$F$33:$Z$33)+SUMIF('Phase III Pro Forma'!$F$6:$Z$6,'Official Summary'!I$7,'Phase III Pro Forma'!$F$33:$Z$33)</f>
        <v>207.8197583636364</v>
      </c>
      <c r="J77" s="259">
        <f>+SUMIF('Phase I Pro Forma'!$F$6:$Z$6,'Official Summary'!J$7,'Phase I Pro Forma'!$F$33:$Z$33)+SUMIF('Phase II Pro Forma'!$F$6:$Z$6,'Official Summary'!J$7,'Phase II Pro Forma'!$F$33:$Z$33)+SUMIF('Phase III Pro Forma'!$F$6:$Z$6,'Official Summary'!J$7,'Phase III Pro Forma'!$F$33:$Z$33)</f>
        <v>207.8197583636364</v>
      </c>
      <c r="K77" s="259">
        <f>+SUMIF('Phase I Pro Forma'!$F$6:$Z$6,'Official Summary'!K$7,'Phase I Pro Forma'!$F$33:$Z$33)+SUMIF('Phase II Pro Forma'!$F$6:$Z$6,'Official Summary'!K$7,'Phase II Pro Forma'!$F$33:$Z$33)+SUMIF('Phase III Pro Forma'!$F$6:$Z$6,'Official Summary'!K$7,'Phase III Pro Forma'!$F$33:$Z$33)</f>
        <v>250.00063067863113</v>
      </c>
      <c r="L77" s="259">
        <f>+SUMIF('Phase I Pro Forma'!$F$6:$Z$6,'Official Summary'!L$7,'Phase I Pro Forma'!$F$33:$Z$33)+SUMIF('Phase II Pro Forma'!$F$6:$Z$6,'Official Summary'!L$7,'Phase II Pro Forma'!$F$33:$Z$33)+SUMIF('Phase III Pro Forma'!$F$6:$Z$6,'Official Summary'!L$7,'Phase III Pro Forma'!$F$33:$Z$33)</f>
        <v>250.00063067863113</v>
      </c>
      <c r="M77" s="259">
        <f>+SUMIF('Phase I Pro Forma'!$F$6:$Z$6,'Official Summary'!M$7,'Phase I Pro Forma'!$F$33:$Z$33)+SUMIF('Phase II Pro Forma'!$F$6:$Z$6,'Official Summary'!M$7,'Phase II Pro Forma'!$F$33:$Z$33)+SUMIF('Phase III Pro Forma'!$F$6:$Z$6,'Official Summary'!M$7,'Phase III Pro Forma'!$F$33:$Z$33)</f>
        <v>0</v>
      </c>
      <c r="N77" s="259">
        <f>+SUMIF('Phase I Pro Forma'!$F$6:$Z$6,'Official Summary'!N$7,'Phase I Pro Forma'!$F$33:$Z$33)+SUMIF('Phase II Pro Forma'!$F$6:$Z$6,'Official Summary'!N$7,'Phase II Pro Forma'!$F$33:$Z$33)+SUMIF('Phase III Pro Forma'!$F$6:$Z$6,'Official Summary'!N$7,'Phase III Pro Forma'!$F$33:$Z$33)</f>
        <v>0</v>
      </c>
    </row>
    <row r="78" spans="2:14" ht="19" customHeight="1" x14ac:dyDescent="0.2">
      <c r="B78" s="291" t="s">
        <v>921</v>
      </c>
      <c r="C78" s="258"/>
      <c r="D78" s="231" t="s">
        <v>13</v>
      </c>
      <c r="E78" s="259" t="s">
        <v>491</v>
      </c>
      <c r="F78" s="259" t="s">
        <v>491</v>
      </c>
      <c r="G78" s="259" t="s">
        <v>491</v>
      </c>
      <c r="H78" s="259" t="s">
        <v>491</v>
      </c>
      <c r="I78" s="259" t="s">
        <v>491</v>
      </c>
      <c r="J78" s="259" t="s">
        <v>491</v>
      </c>
      <c r="K78" s="259" t="s">
        <v>491</v>
      </c>
      <c r="L78" s="259" t="s">
        <v>491</v>
      </c>
      <c r="M78" s="259" t="s">
        <v>491</v>
      </c>
      <c r="N78" s="259" t="s">
        <v>491</v>
      </c>
    </row>
    <row r="79" spans="2:14" ht="19" customHeight="1" x14ac:dyDescent="0.2">
      <c r="B79" s="291" t="s">
        <v>424</v>
      </c>
      <c r="C79" s="258"/>
      <c r="D79" s="231" t="s">
        <v>13</v>
      </c>
      <c r="E79" s="259">
        <f>+SUMIF('Phase I Pro Forma'!$F$6:$Z$6,'Official Summary'!E$7,'Phase I Pro Forma'!$F$10:$Z$10)+SUMIF('Phase II Pro Forma'!$F$6:$Z$6,'Official Summary'!E$7,'Phase II Pro Forma'!$F$10:$Z$10)+SUMIF('Phase III Pro Forma'!$F$6:$Z$6,'Official Summary'!E$7,'Phase III Pro Forma'!$F$10:$Z$10)</f>
        <v>0</v>
      </c>
      <c r="F79" s="259">
        <f>+SUMIF('Phase I Pro Forma'!$F$6:$Z$6,'Official Summary'!F$7,'Phase I Pro Forma'!$F$10:$Z$10)+SUMIF('Phase II Pro Forma'!$F$6:$Z$6,'Official Summary'!F$7,'Phase II Pro Forma'!$F$10:$Z$10)+SUMIF('Phase III Pro Forma'!$F$6:$Z$6,'Official Summary'!F$7,'Phase III Pro Forma'!$F$10:$Z$10)</f>
        <v>0</v>
      </c>
      <c r="G79" s="259">
        <f>+SUMIF('Phase I Pro Forma'!$F$6:$Z$6,'Official Summary'!G$7,'Phase I Pro Forma'!$F$10:$Z$10)+SUMIF('Phase II Pro Forma'!$F$6:$Z$6,'Official Summary'!G$7,'Phase II Pro Forma'!$F$10:$Z$10)+SUMIF('Phase III Pro Forma'!$F$6:$Z$6,'Official Summary'!G$7,'Phase III Pro Forma'!$F$10:$Z$10)</f>
        <v>74.792743470376962</v>
      </c>
      <c r="H79" s="259">
        <f>+SUMIF('Phase I Pro Forma'!$F$6:$Z$6,'Official Summary'!H$7,'Phase I Pro Forma'!$F$10:$Z$10)+SUMIF('Phase II Pro Forma'!$F$6:$Z$6,'Official Summary'!H$7,'Phase II Pro Forma'!$F$10:$Z$10)+SUMIF('Phase III Pro Forma'!$F$6:$Z$6,'Official Summary'!H$7,'Phase III Pro Forma'!$F$10:$Z$10)</f>
        <v>74.792743470376962</v>
      </c>
      <c r="I79" s="259">
        <f>+SUMIF('Phase I Pro Forma'!$F$6:$Z$6,'Official Summary'!I$7,'Phase I Pro Forma'!$F$10:$Z$10)+SUMIF('Phase II Pro Forma'!$F$6:$Z$6,'Official Summary'!I$7,'Phase II Pro Forma'!$F$10:$Z$10)+SUMIF('Phase III Pro Forma'!$F$6:$Z$6,'Official Summary'!I$7,'Phase III Pro Forma'!$F$10:$Z$10)</f>
        <v>51.954939590909099</v>
      </c>
      <c r="J79" s="259">
        <f>+SUMIF('Phase I Pro Forma'!$F$6:$Z$6,'Official Summary'!J$7,'Phase I Pro Forma'!$F$10:$Z$10)+SUMIF('Phase II Pro Forma'!$F$6:$Z$6,'Official Summary'!J$7,'Phase II Pro Forma'!$F$10:$Z$10)+SUMIF('Phase III Pro Forma'!$F$6:$Z$6,'Official Summary'!J$7,'Phase III Pro Forma'!$F$10:$Z$10)</f>
        <v>51.954939590909099</v>
      </c>
      <c r="K79" s="259">
        <f>+SUMIF('Phase I Pro Forma'!$F$6:$Z$6,'Official Summary'!K$7,'Phase I Pro Forma'!$F$10:$Z$10)+SUMIF('Phase II Pro Forma'!$F$6:$Z$6,'Official Summary'!K$7,'Phase II Pro Forma'!$F$10:$Z$10)+SUMIF('Phase III Pro Forma'!$F$6:$Z$6,'Official Summary'!K$7,'Phase III Pro Forma'!$F$10:$Z$10)</f>
        <v>62.500157669657781</v>
      </c>
      <c r="L79" s="259">
        <f>+SUMIF('Phase I Pro Forma'!$F$6:$Z$6,'Official Summary'!L$7,'Phase I Pro Forma'!$F$10:$Z$10)+SUMIF('Phase II Pro Forma'!$F$6:$Z$6,'Official Summary'!L$7,'Phase II Pro Forma'!$F$10:$Z$10)+SUMIF('Phase III Pro Forma'!$F$6:$Z$6,'Official Summary'!L$7,'Phase III Pro Forma'!$F$10:$Z$10)</f>
        <v>62.500157669657781</v>
      </c>
      <c r="M79" s="259">
        <f>+SUMIF('Phase I Pro Forma'!$F$6:$Z$6,'Official Summary'!M$7,'Phase I Pro Forma'!$F$10:$Z$10)+SUMIF('Phase II Pro Forma'!$F$6:$Z$6,'Official Summary'!M$7,'Phase II Pro Forma'!$F$10:$Z$10)+SUMIF('Phase III Pro Forma'!$F$6:$Z$6,'Official Summary'!M$7,'Phase III Pro Forma'!$F$10:$Z$10)</f>
        <v>0</v>
      </c>
      <c r="N79" s="259">
        <f>+SUMIF('Phase I Pro Forma'!$F$6:$Z$6,'Official Summary'!N$7,'Phase I Pro Forma'!$F$10:$Z$10)+SUMIF('Phase II Pro Forma'!$F$6:$Z$6,'Official Summary'!N$7,'Phase II Pro Forma'!$F$10:$Z$10)+SUMIF('Phase III Pro Forma'!$F$6:$Z$6,'Official Summary'!N$7,'Phase III Pro Forma'!$F$10:$Z$10)</f>
        <v>0</v>
      </c>
    </row>
    <row r="80" spans="2:14" ht="19" customHeight="1" x14ac:dyDescent="0.2">
      <c r="B80" s="291" t="s">
        <v>425</v>
      </c>
      <c r="C80" s="258"/>
      <c r="D80" s="231" t="s">
        <v>13</v>
      </c>
      <c r="E80" s="259" t="s">
        <v>491</v>
      </c>
      <c r="F80" s="259" t="s">
        <v>491</v>
      </c>
      <c r="G80" s="259" t="s">
        <v>491</v>
      </c>
      <c r="H80" s="259" t="s">
        <v>491</v>
      </c>
      <c r="I80" s="259" t="s">
        <v>491</v>
      </c>
      <c r="J80" s="259" t="s">
        <v>491</v>
      </c>
      <c r="K80" s="259" t="s">
        <v>491</v>
      </c>
      <c r="L80" s="259" t="s">
        <v>491</v>
      </c>
      <c r="M80" s="259" t="s">
        <v>491</v>
      </c>
      <c r="N80" s="259" t="s">
        <v>491</v>
      </c>
    </row>
    <row r="81" spans="2:14" ht="19" customHeight="1" x14ac:dyDescent="0.2">
      <c r="B81" s="337" t="s">
        <v>24</v>
      </c>
      <c r="C81" s="335"/>
      <c r="D81" s="231" t="s">
        <v>489</v>
      </c>
      <c r="E81" s="379" t="s">
        <v>491</v>
      </c>
      <c r="F81" s="379" t="s">
        <v>491</v>
      </c>
      <c r="G81" s="379" t="s">
        <v>491</v>
      </c>
      <c r="H81" s="379" t="s">
        <v>491</v>
      </c>
      <c r="I81" s="379" t="s">
        <v>491</v>
      </c>
      <c r="J81" s="379" t="s">
        <v>491</v>
      </c>
      <c r="K81" s="379" t="s">
        <v>491</v>
      </c>
      <c r="L81" s="379" t="s">
        <v>491</v>
      </c>
      <c r="M81" s="379" t="s">
        <v>491</v>
      </c>
      <c r="N81" s="379" t="s">
        <v>491</v>
      </c>
    </row>
    <row r="82" spans="2:14" ht="19" customHeight="1" x14ac:dyDescent="0.2">
      <c r="B82" s="337" t="s">
        <v>25</v>
      </c>
      <c r="C82" s="335"/>
      <c r="D82" s="231" t="s">
        <v>489</v>
      </c>
      <c r="E82" s="379" t="s">
        <v>491</v>
      </c>
      <c r="F82" s="379" t="s">
        <v>491</v>
      </c>
      <c r="G82" s="379" t="s">
        <v>491</v>
      </c>
      <c r="H82" s="379" t="s">
        <v>491</v>
      </c>
      <c r="I82" s="379" t="s">
        <v>491</v>
      </c>
      <c r="J82" s="379" t="s">
        <v>491</v>
      </c>
      <c r="K82" s="379" t="s">
        <v>491</v>
      </c>
      <c r="L82" s="379" t="s">
        <v>491</v>
      </c>
      <c r="M82" s="379" t="s">
        <v>491</v>
      </c>
      <c r="N82" s="379" t="s">
        <v>491</v>
      </c>
    </row>
    <row r="83" spans="2:14" ht="19" customHeight="1" x14ac:dyDescent="0.2">
      <c r="B83" s="337" t="s">
        <v>145</v>
      </c>
      <c r="C83" s="335"/>
      <c r="D83" s="231" t="s">
        <v>489</v>
      </c>
      <c r="E83" s="379" t="s">
        <v>491</v>
      </c>
      <c r="F83" s="379" t="s">
        <v>491</v>
      </c>
      <c r="G83" s="379" t="s">
        <v>491</v>
      </c>
      <c r="H83" s="379" t="s">
        <v>491</v>
      </c>
      <c r="I83" s="379" t="s">
        <v>491</v>
      </c>
      <c r="J83" s="379" t="s">
        <v>491</v>
      </c>
      <c r="K83" s="379" t="s">
        <v>491</v>
      </c>
      <c r="L83" s="379" t="s">
        <v>491</v>
      </c>
      <c r="M83" s="379" t="s">
        <v>491</v>
      </c>
      <c r="N83" s="379" t="s">
        <v>491</v>
      </c>
    </row>
    <row r="84" spans="2:14" ht="19" customHeight="1" x14ac:dyDescent="0.2">
      <c r="B84" s="337" t="s">
        <v>26</v>
      </c>
      <c r="C84" s="338"/>
      <c r="D84" s="231" t="s">
        <v>15</v>
      </c>
      <c r="E84" s="259">
        <f>+SUMIF('Phase I Pro Forma'!$F$6:$Z$6,'Official Summary'!E$7,'Phase I Pro Forma'!$F$167:$Z$167)+SUMIF('Phase II Pro Forma'!$F$6:$Z$6,'Official Summary'!E$7,'Phase II Pro Forma'!$F$167:$Z$167)+SUMIF('Phase III Pro Forma'!$F$6:$Z$6,'Official Summary'!E$7,'Phase III Pro Forma'!$F$167:$Z$167)</f>
        <v>0</v>
      </c>
      <c r="F84" s="259">
        <f>+SUMIF('Phase I Pro Forma'!$F$6:$Z$6,'Official Summary'!F$7,'Phase I Pro Forma'!$F$167:$Z$167)+SUMIF('Phase II Pro Forma'!$F$6:$Z$6,'Official Summary'!F$7,'Phase II Pro Forma'!$F$167:$Z$167)+SUMIF('Phase III Pro Forma'!$F$6:$Z$6,'Official Summary'!F$7,'Phase III Pro Forma'!$F$167:$Z$167)</f>
        <v>0</v>
      </c>
      <c r="G84" s="259">
        <f>+SUMIF('Phase I Pro Forma'!$F$6:$Z$6,'Official Summary'!G$7,'Phase I Pro Forma'!$F$167:$Z$167)+SUMIF('Phase II Pro Forma'!$F$6:$Z$6,'Official Summary'!G$7,'Phase II Pro Forma'!$F$167:$Z$167)+SUMIF('Phase III Pro Forma'!$F$6:$Z$6,'Official Summary'!G$7,'Phase III Pro Forma'!$F$167:$Z$167)</f>
        <v>173.40350000000004</v>
      </c>
      <c r="H84" s="259">
        <f>+SUMIF('Phase I Pro Forma'!$F$6:$Z$6,'Official Summary'!H$7,'Phase I Pro Forma'!$F$167:$Z$167)+SUMIF('Phase II Pro Forma'!$F$6:$Z$6,'Official Summary'!H$7,'Phase II Pro Forma'!$F$167:$Z$167)+SUMIF('Phase III Pro Forma'!$F$6:$Z$6,'Official Summary'!H$7,'Phase III Pro Forma'!$F$167:$Z$167)</f>
        <v>173.40350000000004</v>
      </c>
      <c r="I84" s="259">
        <f>+SUMIF('Phase I Pro Forma'!$F$6:$Z$6,'Official Summary'!I$7,'Phase I Pro Forma'!$F$167:$Z$167)+SUMIF('Phase II Pro Forma'!$F$6:$Z$6,'Official Summary'!I$7,'Phase II Pro Forma'!$F$167:$Z$167)+SUMIF('Phase III Pro Forma'!$F$6:$Z$6,'Official Summary'!I$7,'Phase III Pro Forma'!$F$167:$Z$167)</f>
        <v>115.94133333333335</v>
      </c>
      <c r="J84" s="259">
        <f>+SUMIF('Phase I Pro Forma'!$F$6:$Z$6,'Official Summary'!J$7,'Phase I Pro Forma'!$F$167:$Z$167)+SUMIF('Phase II Pro Forma'!$F$6:$Z$6,'Official Summary'!J$7,'Phase II Pro Forma'!$F$167:$Z$167)+SUMIF('Phase III Pro Forma'!$F$6:$Z$6,'Official Summary'!J$7,'Phase III Pro Forma'!$F$167:$Z$167)</f>
        <v>115.94133333333335</v>
      </c>
      <c r="K84" s="259">
        <f>+SUMIF('Phase I Pro Forma'!$F$6:$Z$6,'Official Summary'!K$7,'Phase I Pro Forma'!$F$167:$Z$167)+SUMIF('Phase II Pro Forma'!$F$6:$Z$6,'Official Summary'!K$7,'Phase II Pro Forma'!$F$167:$Z$167)+SUMIF('Phase III Pro Forma'!$F$6:$Z$6,'Official Summary'!K$7,'Phase III Pro Forma'!$F$167:$Z$167)</f>
        <v>18.638844444444445</v>
      </c>
      <c r="L84" s="259">
        <f>+SUMIF('Phase I Pro Forma'!$F$6:$Z$6,'Official Summary'!L$7,'Phase I Pro Forma'!$F$167:$Z$167)+SUMIF('Phase II Pro Forma'!$F$6:$Z$6,'Official Summary'!L$7,'Phase II Pro Forma'!$F$167:$Z$167)+SUMIF('Phase III Pro Forma'!$F$6:$Z$6,'Official Summary'!L$7,'Phase III Pro Forma'!$F$167:$Z$167)</f>
        <v>18.638844444444445</v>
      </c>
      <c r="M84" s="259">
        <f>+SUMIF('Phase I Pro Forma'!$F$6:$Z$6,'Official Summary'!M$7,'Phase I Pro Forma'!$F$167:$Z$167)+SUMIF('Phase II Pro Forma'!$F$6:$Z$6,'Official Summary'!M$7,'Phase II Pro Forma'!$F$167:$Z$167)+SUMIF('Phase III Pro Forma'!$F$6:$Z$6,'Official Summary'!M$7,'Phase III Pro Forma'!$F$167:$Z$167)</f>
        <v>0</v>
      </c>
      <c r="N84" s="259">
        <f>+SUMIF('Phase I Pro Forma'!$F$6:$Z$6,'Official Summary'!N$7,'Phase I Pro Forma'!$F$167:$Z$167)+SUMIF('Phase II Pro Forma'!$F$6:$Z$6,'Official Summary'!N$7,'Phase II Pro Forma'!$F$167:$Z$167)+SUMIF('Phase III Pro Forma'!$F$6:$Z$6,'Official Summary'!N$7,'Phase III Pro Forma'!$F$167:$Z$167)</f>
        <v>0</v>
      </c>
    </row>
    <row r="85" spans="2:14" ht="19" customHeight="1" x14ac:dyDescent="0.2">
      <c r="B85" s="337" t="s">
        <v>27</v>
      </c>
      <c r="C85" s="338"/>
      <c r="D85" s="231" t="s">
        <v>16</v>
      </c>
      <c r="E85" s="259">
        <f>+SUMIF('Phase I Pro Forma'!$F$6:$Z$6,'Official Summary'!E$7,'Phase I Pro Forma'!$F$118:$Z$118)*('Assumptions and Sensis'!$F$207/SUM('Assumptions and Sensis'!$F$207,'Assumptions and Sensis'!$F$221))+SUMIF('Phase II Pro Forma'!$F$6:$Z$6,'Official Summary'!E$7,'Phase II Pro Forma'!$F$118:$Z$118)*('Assumptions and Sensis'!$G$207/SUM('Assumptions and Sensis'!$G$207,'Assumptions and Sensis'!$G$221))+SUMIF('Phase III Pro Forma'!$F$6:$Z$6,'Official Summary'!E$7,'Phase III Pro Forma'!$F$118:$Z$118)*('Assumptions and Sensis'!$H$207/SUM('Assumptions and Sensis'!$H$207,'Assumptions and Sensis'!$H$221))</f>
        <v>0</v>
      </c>
      <c r="F85" s="259">
        <f>+SUMIF('Phase I Pro Forma'!$F$6:$Z$6,'Official Summary'!F$7,'Phase I Pro Forma'!$F$118:$Z$118)*('Assumptions and Sensis'!$F$207/SUM('Assumptions and Sensis'!$F$207,'Assumptions and Sensis'!$F$221))+SUMIF('Phase II Pro Forma'!$F$6:$Z$6,'Official Summary'!F$7,'Phase II Pro Forma'!$F$118:$Z$118)*('Assumptions and Sensis'!$G$207/SUM('Assumptions and Sensis'!$G$207,'Assumptions and Sensis'!$G$221))+SUMIF('Phase III Pro Forma'!$F$6:$Z$6,'Official Summary'!F$7,'Phase III Pro Forma'!$F$118:$Z$118)*('Assumptions and Sensis'!$H$207/SUM('Assumptions and Sensis'!$H$207,'Assumptions and Sensis'!$H$221))</f>
        <v>0</v>
      </c>
      <c r="G85" s="259">
        <f>+SUMIF('Phase I Pro Forma'!$F$6:$Z$6,'Official Summary'!G$7,'Phase I Pro Forma'!$F$118:$Z$118)*('Assumptions and Sensis'!$F$207/SUM('Assumptions and Sensis'!$F$207,'Assumptions and Sensis'!$F$221))+SUMIF('Phase II Pro Forma'!$F$6:$Z$6,'Official Summary'!G$7,'Phase II Pro Forma'!$F$118:$Z$118)*('Assumptions and Sensis'!$G$207/SUM('Assumptions and Sensis'!$G$207,'Assumptions and Sensis'!$G$221))+SUMIF('Phase III Pro Forma'!$F$6:$Z$6,'Official Summary'!G$7,'Phase III Pro Forma'!$F$118:$Z$118)*('Assumptions and Sensis'!$H$207/SUM('Assumptions and Sensis'!$H$207,'Assumptions and Sensis'!$H$221))</f>
        <v>125.75757575757575</v>
      </c>
      <c r="H85" s="259">
        <f>+SUMIF('Phase I Pro Forma'!$F$6:$Z$6,'Official Summary'!H$7,'Phase I Pro Forma'!$F$118:$Z$118)*('Assumptions and Sensis'!$F$207/SUM('Assumptions and Sensis'!$F$207,'Assumptions and Sensis'!$F$221))+SUMIF('Phase II Pro Forma'!$F$6:$Z$6,'Official Summary'!H$7,'Phase II Pro Forma'!$F$118:$Z$118)*('Assumptions and Sensis'!$G$207/SUM('Assumptions and Sensis'!$G$207,'Assumptions and Sensis'!$G$221))+SUMIF('Phase III Pro Forma'!$F$6:$Z$6,'Official Summary'!H$7,'Phase III Pro Forma'!$F$118:$Z$118)*('Assumptions and Sensis'!$H$207/SUM('Assumptions and Sensis'!$H$207,'Assumptions and Sensis'!$H$221))</f>
        <v>125.75757575757575</v>
      </c>
      <c r="I85" s="259">
        <f>+SUMIF('Phase I Pro Forma'!$F$6:$Z$6,'Official Summary'!I$7,'Phase I Pro Forma'!$F$118:$Z$118)*('Assumptions and Sensis'!$F$207/SUM('Assumptions and Sensis'!$F$207,'Assumptions and Sensis'!$F$221))+SUMIF('Phase II Pro Forma'!$F$6:$Z$6,'Official Summary'!I$7,'Phase II Pro Forma'!$F$118:$Z$118)*('Assumptions and Sensis'!$G$207/SUM('Assumptions and Sensis'!$G$207,'Assumptions and Sensis'!$G$221))+SUMIF('Phase III Pro Forma'!$F$6:$Z$6,'Official Summary'!I$7,'Phase III Pro Forma'!$F$118:$Z$118)*('Assumptions and Sensis'!$H$207/SUM('Assumptions and Sensis'!$H$207,'Assumptions and Sensis'!$H$221))</f>
        <v>160.60606060606059</v>
      </c>
      <c r="J85" s="259">
        <f>+SUMIF('Phase I Pro Forma'!$F$6:$Z$6,'Official Summary'!J$7,'Phase I Pro Forma'!$F$118:$Z$118)*('Assumptions and Sensis'!$F$207/SUM('Assumptions and Sensis'!$F$207,'Assumptions and Sensis'!$F$221))+SUMIF('Phase II Pro Forma'!$F$6:$Z$6,'Official Summary'!J$7,'Phase II Pro Forma'!$F$118:$Z$118)*('Assumptions and Sensis'!$G$207/SUM('Assumptions and Sensis'!$G$207,'Assumptions and Sensis'!$G$221))+SUMIF('Phase III Pro Forma'!$F$6:$Z$6,'Official Summary'!J$7,'Phase III Pro Forma'!$F$118:$Z$118)*('Assumptions and Sensis'!$H$207/SUM('Assumptions and Sensis'!$H$207,'Assumptions and Sensis'!$H$221))</f>
        <v>160.60606060606059</v>
      </c>
      <c r="K85" s="259">
        <f>+SUMIF('Phase I Pro Forma'!$F$6:$Z$6,'Official Summary'!K$7,'Phase I Pro Forma'!$F$118:$Z$118)*('Assumptions and Sensis'!$F$207/SUM('Assumptions and Sensis'!$F$207,'Assumptions and Sensis'!$F$221))+SUMIF('Phase II Pro Forma'!$F$6:$Z$6,'Official Summary'!K$7,'Phase II Pro Forma'!$F$118:$Z$118)*('Assumptions and Sensis'!$G$207/SUM('Assumptions and Sensis'!$G$207,'Assumptions and Sensis'!$G$221))+SUMIF('Phase III Pro Forma'!$F$6:$Z$6,'Official Summary'!K$7,'Phase III Pro Forma'!$F$118:$Z$118)*('Assumptions and Sensis'!$H$207/SUM('Assumptions and Sensis'!$H$207,'Assumptions and Sensis'!$H$221))</f>
        <v>72.727272727272734</v>
      </c>
      <c r="L85" s="259">
        <f>+SUMIF('Phase I Pro Forma'!$F$6:$Z$6,'Official Summary'!L$7,'Phase I Pro Forma'!$F$118:$Z$118)*('Assumptions and Sensis'!$F$207/SUM('Assumptions and Sensis'!$F$207,'Assumptions and Sensis'!$F$221))+SUMIF('Phase II Pro Forma'!$F$6:$Z$6,'Official Summary'!L$7,'Phase II Pro Forma'!$F$118:$Z$118)*('Assumptions and Sensis'!$G$207/SUM('Assumptions and Sensis'!$G$207,'Assumptions and Sensis'!$G$221))+SUMIF('Phase III Pro Forma'!$F$6:$Z$6,'Official Summary'!L$7,'Phase III Pro Forma'!$F$118:$Z$118)*('Assumptions and Sensis'!$H$207/SUM('Assumptions and Sensis'!$H$207,'Assumptions and Sensis'!$H$221))</f>
        <v>72.727272727272734</v>
      </c>
      <c r="M85" s="259">
        <f>+SUMIF('Phase I Pro Forma'!$F$6:$Z$6,'Official Summary'!M$7,'Phase I Pro Forma'!$F$118:$Z$118)*('Assumptions and Sensis'!$F$207/SUM('Assumptions and Sensis'!$F$207,'Assumptions and Sensis'!$F$221))+SUMIF('Phase II Pro Forma'!$F$6:$Z$6,'Official Summary'!M$7,'Phase II Pro Forma'!$F$118:$Z$118)*('Assumptions and Sensis'!$G$207/SUM('Assumptions and Sensis'!$G$207,'Assumptions and Sensis'!$G$221))+SUMIF('Phase III Pro Forma'!$F$6:$Z$6,'Official Summary'!M$7,'Phase III Pro Forma'!$F$118:$Z$118)*('Assumptions and Sensis'!$H$207/SUM('Assumptions and Sensis'!$H$207,'Assumptions and Sensis'!$H$221))</f>
        <v>0</v>
      </c>
      <c r="N85" s="259">
        <f>+SUMIF('Phase I Pro Forma'!$F$6:$Z$6,'Official Summary'!N$7,'Phase I Pro Forma'!$F$118:$Z$118)*('Assumptions and Sensis'!$F$207/SUM('Assumptions and Sensis'!$F$207,'Assumptions and Sensis'!$F$221))+SUMIF('Phase II Pro Forma'!$F$6:$Z$6,'Official Summary'!N$7,'Phase II Pro Forma'!$F$118:$Z$118)*('Assumptions and Sensis'!$G$207/SUM('Assumptions and Sensis'!$G$207,'Assumptions and Sensis'!$G$221))+SUMIF('Phase III Pro Forma'!$F$6:$Z$6,'Official Summary'!N$7,'Phase III Pro Forma'!$F$118:$Z$118)*('Assumptions and Sensis'!$H$207/SUM('Assumptions and Sensis'!$H$207,'Assumptions and Sensis'!$H$221))</f>
        <v>0</v>
      </c>
    </row>
    <row r="86" spans="2:14" ht="19" customHeight="1" x14ac:dyDescent="0.2">
      <c r="B86" s="337" t="s">
        <v>28</v>
      </c>
      <c r="C86" s="338"/>
      <c r="D86" s="231" t="s">
        <v>16</v>
      </c>
      <c r="E86" s="259">
        <f>+SUMIF('Phase I Pro Forma'!$F$6:$Z$6,'Official Summary'!E$7,'Phase I Pro Forma'!$F$118:$Z$118)*('Assumptions and Sensis'!$F$221/SUM('Assumptions and Sensis'!$F$207,'Assumptions and Sensis'!$F$221))+SUMIF('Phase II Pro Forma'!$F$6:$Z$6,'Official Summary'!E$7,'Phase II Pro Forma'!$F$118:$Z$118)*('Assumptions and Sensis'!$G$221/SUM('Assumptions and Sensis'!$G$207,'Assumptions and Sensis'!$G$221))+SUMIF('Phase III Pro Forma'!$F$6:$Z$6,'Official Summary'!E$7,'Phase III Pro Forma'!$F$118:$Z$118)*('Assumptions and Sensis'!$H$221/SUM('Assumptions and Sensis'!$H$207,'Assumptions and Sensis'!$H$221))</f>
        <v>0</v>
      </c>
      <c r="F86" s="259">
        <f>+SUMIF('Phase I Pro Forma'!$F$6:$Z$6,'Official Summary'!F$7,'Phase I Pro Forma'!$F$118:$Z$118)*('Assumptions and Sensis'!$F$221/SUM('Assumptions and Sensis'!$F$207,'Assumptions and Sensis'!$F$221))+SUMIF('Phase II Pro Forma'!$F$6:$Z$6,'Official Summary'!F$7,'Phase II Pro Forma'!$F$118:$Z$118)*('Assumptions and Sensis'!$G$221/SUM('Assumptions and Sensis'!$G$207,'Assumptions and Sensis'!$G$221))+SUMIF('Phase III Pro Forma'!$F$6:$Z$6,'Official Summary'!F$7,'Phase III Pro Forma'!$F$118:$Z$118)*('Assumptions and Sensis'!$H$221/SUM('Assumptions and Sensis'!$H$207,'Assumptions and Sensis'!$H$221))</f>
        <v>0</v>
      </c>
      <c r="G86" s="259">
        <f>+SUMIF('Phase I Pro Forma'!$F$6:$Z$6,'Official Summary'!G$7,'Phase I Pro Forma'!$F$118:$Z$118)*('Assumptions and Sensis'!$F$221/SUM('Assumptions and Sensis'!$F$207,'Assumptions and Sensis'!$F$221))+SUMIF('Phase II Pro Forma'!$F$6:$Z$6,'Official Summary'!G$7,'Phase II Pro Forma'!$F$118:$Z$118)*('Assumptions and Sensis'!$G$221/SUM('Assumptions and Sensis'!$G$207,'Assumptions and Sensis'!$G$221))+SUMIF('Phase III Pro Forma'!$F$6:$Z$6,'Official Summary'!G$7,'Phase III Pro Forma'!$F$118:$Z$118)*('Assumptions and Sensis'!$H$221/SUM('Assumptions and Sensis'!$H$207,'Assumptions and Sensis'!$H$221))</f>
        <v>0</v>
      </c>
      <c r="H86" s="259">
        <f>+SUMIF('Phase I Pro Forma'!$F$6:$Z$6,'Official Summary'!H$7,'Phase I Pro Forma'!$F$118:$Z$118)*('Assumptions and Sensis'!$F$221/SUM('Assumptions and Sensis'!$F$207,'Assumptions and Sensis'!$F$221))+SUMIF('Phase II Pro Forma'!$F$6:$Z$6,'Official Summary'!H$7,'Phase II Pro Forma'!$F$118:$Z$118)*('Assumptions and Sensis'!$G$221/SUM('Assumptions and Sensis'!$G$207,'Assumptions and Sensis'!$G$221))+SUMIF('Phase III Pro Forma'!$F$6:$Z$6,'Official Summary'!H$7,'Phase III Pro Forma'!$F$118:$Z$118)*('Assumptions and Sensis'!$H$221/SUM('Assumptions and Sensis'!$H$207,'Assumptions and Sensis'!$H$221))</f>
        <v>0</v>
      </c>
      <c r="I86" s="259">
        <f>+SUMIF('Phase I Pro Forma'!$F$6:$Z$6,'Official Summary'!I$7,'Phase I Pro Forma'!$F$118:$Z$118)*('Assumptions and Sensis'!$F$221/SUM('Assumptions and Sensis'!$F$207,'Assumptions and Sensis'!$F$221))+SUMIF('Phase II Pro Forma'!$F$6:$Z$6,'Official Summary'!I$7,'Phase II Pro Forma'!$F$118:$Z$118)*('Assumptions and Sensis'!$G$221/SUM('Assumptions and Sensis'!$G$207,'Assumptions and Sensis'!$G$221))+SUMIF('Phase III Pro Forma'!$F$6:$Z$6,'Official Summary'!I$7,'Phase III Pro Forma'!$F$118:$Z$118)*('Assumptions and Sensis'!$H$221/SUM('Assumptions and Sensis'!$H$207,'Assumptions and Sensis'!$H$221))</f>
        <v>0</v>
      </c>
      <c r="J86" s="259">
        <f>+SUMIF('Phase I Pro Forma'!$F$6:$Z$6,'Official Summary'!J$7,'Phase I Pro Forma'!$F$118:$Z$118)*('Assumptions and Sensis'!$F$221/SUM('Assumptions and Sensis'!$F$207,'Assumptions and Sensis'!$F$221))+SUMIF('Phase II Pro Forma'!$F$6:$Z$6,'Official Summary'!J$7,'Phase II Pro Forma'!$F$118:$Z$118)*('Assumptions and Sensis'!$G$221/SUM('Assumptions and Sensis'!$G$207,'Assumptions and Sensis'!$G$221))+SUMIF('Phase III Pro Forma'!$F$6:$Z$6,'Official Summary'!J$7,'Phase III Pro Forma'!$F$118:$Z$118)*('Assumptions and Sensis'!$H$221/SUM('Assumptions and Sensis'!$H$207,'Assumptions and Sensis'!$H$221))</f>
        <v>0</v>
      </c>
      <c r="K86" s="259">
        <f>+SUMIF('Phase I Pro Forma'!$F$6:$Z$6,'Official Summary'!K$7,'Phase I Pro Forma'!$F$118:$Z$118)*('Assumptions and Sensis'!$F$221/SUM('Assumptions and Sensis'!$F$207,'Assumptions and Sensis'!$F$221))+SUMIF('Phase II Pro Forma'!$F$6:$Z$6,'Official Summary'!K$7,'Phase II Pro Forma'!$F$118:$Z$118)*('Assumptions and Sensis'!$G$221/SUM('Assumptions and Sensis'!$G$207,'Assumptions and Sensis'!$G$221))+SUMIF('Phase III Pro Forma'!$F$6:$Z$6,'Official Summary'!K$7,'Phase III Pro Forma'!$F$118:$Z$118)*('Assumptions and Sensis'!$H$221/SUM('Assumptions and Sensis'!$H$207,'Assumptions and Sensis'!$H$221))</f>
        <v>227.27272727272728</v>
      </c>
      <c r="L86" s="259">
        <f>+SUMIF('Phase I Pro Forma'!$F$6:$Z$6,'Official Summary'!L$7,'Phase I Pro Forma'!$F$118:$Z$118)*('Assumptions and Sensis'!$F$221/SUM('Assumptions and Sensis'!$F$207,'Assumptions and Sensis'!$F$221))+SUMIF('Phase II Pro Forma'!$F$6:$Z$6,'Official Summary'!L$7,'Phase II Pro Forma'!$F$118:$Z$118)*('Assumptions and Sensis'!$G$221/SUM('Assumptions and Sensis'!$G$207,'Assumptions and Sensis'!$G$221))+SUMIF('Phase III Pro Forma'!$F$6:$Z$6,'Official Summary'!L$7,'Phase III Pro Forma'!$F$118:$Z$118)*('Assumptions and Sensis'!$H$221/SUM('Assumptions and Sensis'!$H$207,'Assumptions and Sensis'!$H$221))</f>
        <v>227.27272727272728</v>
      </c>
      <c r="M86" s="259">
        <f>+SUMIF('Phase I Pro Forma'!$F$6:$Z$6,'Official Summary'!M$7,'Phase I Pro Forma'!$F$118:$Z$118)*('Assumptions and Sensis'!$F$221/SUM('Assumptions and Sensis'!$F$207,'Assumptions and Sensis'!$F$221))+SUMIF('Phase II Pro Forma'!$F$6:$Z$6,'Official Summary'!M$7,'Phase II Pro Forma'!$F$118:$Z$118)*('Assumptions and Sensis'!$G$221/SUM('Assumptions and Sensis'!$G$207,'Assumptions and Sensis'!$G$221))+SUMIF('Phase III Pro Forma'!$F$6:$Z$6,'Official Summary'!M$7,'Phase III Pro Forma'!$F$118:$Z$118)*('Assumptions and Sensis'!$H$221/SUM('Assumptions and Sensis'!$H$207,'Assumptions and Sensis'!$H$221))</f>
        <v>0</v>
      </c>
      <c r="N86" s="259">
        <f>+SUMIF('Phase I Pro Forma'!$F$6:$Z$6,'Official Summary'!N$7,'Phase I Pro Forma'!$F$118:$Z$118)*('Assumptions and Sensis'!$F$221/SUM('Assumptions and Sensis'!$F$207,'Assumptions and Sensis'!$F$221))+SUMIF('Phase II Pro Forma'!$F$6:$Z$6,'Official Summary'!N$7,'Phase II Pro Forma'!$F$118:$Z$118)*('Assumptions and Sensis'!$G$221/SUM('Assumptions and Sensis'!$G$207,'Assumptions and Sensis'!$G$221))+SUMIF('Phase III Pro Forma'!$F$6:$Z$6,'Official Summary'!N$7,'Phase III Pro Forma'!$F$118:$Z$118)*('Assumptions and Sensis'!$H$221/SUM('Assumptions and Sensis'!$H$207,'Assumptions and Sensis'!$H$221))</f>
        <v>0</v>
      </c>
    </row>
    <row r="87" spans="2:14" ht="19" customHeight="1" x14ac:dyDescent="0.2">
      <c r="B87" s="337" t="s">
        <v>48</v>
      </c>
      <c r="C87" s="338"/>
      <c r="D87" s="231" t="s">
        <v>16</v>
      </c>
      <c r="E87" s="259" t="s">
        <v>491</v>
      </c>
      <c r="F87" s="259" t="s">
        <v>491</v>
      </c>
      <c r="G87" s="259" t="s">
        <v>491</v>
      </c>
      <c r="H87" s="259" t="s">
        <v>491</v>
      </c>
      <c r="I87" s="259" t="s">
        <v>491</v>
      </c>
      <c r="J87" s="259" t="s">
        <v>491</v>
      </c>
      <c r="K87" s="259" t="s">
        <v>491</v>
      </c>
      <c r="L87" s="259" t="s">
        <v>491</v>
      </c>
      <c r="M87" s="259" t="s">
        <v>491</v>
      </c>
      <c r="N87" s="259" t="s">
        <v>491</v>
      </c>
    </row>
    <row r="88" spans="2:14" ht="19" customHeight="1" x14ac:dyDescent="0.2">
      <c r="B88" s="378" t="s">
        <v>235</v>
      </c>
      <c r="C88" s="332"/>
      <c r="D88" s="231" t="s">
        <v>489</v>
      </c>
      <c r="E88" s="379" t="s">
        <v>491</v>
      </c>
      <c r="F88" s="379" t="s">
        <v>491</v>
      </c>
      <c r="G88" s="379" t="s">
        <v>491</v>
      </c>
      <c r="H88" s="379" t="s">
        <v>491</v>
      </c>
      <c r="I88" s="379" t="s">
        <v>491</v>
      </c>
      <c r="J88" s="379" t="s">
        <v>491</v>
      </c>
      <c r="K88" s="379" t="s">
        <v>491</v>
      </c>
      <c r="L88" s="379" t="s">
        <v>491</v>
      </c>
      <c r="M88" s="379" t="s">
        <v>491</v>
      </c>
      <c r="N88" s="379" t="s">
        <v>491</v>
      </c>
    </row>
    <row r="89" spans="2:14" ht="19" customHeight="1" x14ac:dyDescent="0.2">
      <c r="B89" s="262" t="s">
        <v>492</v>
      </c>
      <c r="C89" s="262"/>
      <c r="D89" s="319"/>
      <c r="E89" s="263"/>
      <c r="F89" s="263"/>
      <c r="G89" s="263"/>
      <c r="H89" s="263"/>
      <c r="I89" s="263"/>
      <c r="J89" s="263"/>
      <c r="K89" s="263"/>
      <c r="L89" s="263"/>
      <c r="M89" s="320"/>
      <c r="N89" s="263"/>
    </row>
    <row r="90" spans="2:14" ht="19" customHeight="1" x14ac:dyDescent="0.2">
      <c r="B90" s="291" t="s">
        <v>920</v>
      </c>
      <c r="C90" s="335"/>
      <c r="D90" s="231" t="s">
        <v>14</v>
      </c>
      <c r="E90" s="259">
        <f>+SUMIF('Phase I Pro Forma'!$F$6:$Z$6,'Official Summary'!E$7,'Phase I Pro Forma'!$F$31:$Z$31)+SUMIF('Phase II Pro Forma'!$F$6:$Z$6,'Official Summary'!E$7,'Phase II Pro Forma'!$F$31:$Z$31)+SUMIF('Phase III Pro Forma'!$F$6:$Z$6,'Official Summary'!E$7,'Phase III Pro Forma'!$F$31:$Z$31)</f>
        <v>0</v>
      </c>
      <c r="F90" s="259">
        <f>+SUMIF('Phase I Pro Forma'!$F$6:$Z$6,'Official Summary'!F$7,'Phase I Pro Forma'!$F$31:$Z$31)+SUMIF('Phase II Pro Forma'!$F$6:$Z$6,'Official Summary'!F$7,'Phase II Pro Forma'!$F$31:$Z$31)+SUMIF('Phase III Pro Forma'!$F$6:$Z$6,'Official Summary'!F$7,'Phase III Pro Forma'!$F$31:$Z$31)</f>
        <v>0</v>
      </c>
      <c r="G90" s="259">
        <f>+SUMIF('Phase I Pro Forma'!$F$6:$Z$6,'Official Summary'!G$7,'Phase I Pro Forma'!$F$31:$Z$31)+SUMIF('Phase II Pro Forma'!$F$6:$Z$6,'Official Summary'!G$7,'Phase II Pro Forma'!$F$31:$Z$31)+SUMIF('Phase III Pro Forma'!$F$6:$Z$6,'Official Summary'!G$7,'Phase III Pro Forma'!$F$31:$Z$31)</f>
        <v>218663.17027884291</v>
      </c>
      <c r="H90" s="259">
        <f>+SUMIF('Phase I Pro Forma'!$F$6:$Z$6,'Official Summary'!H$7,'Phase I Pro Forma'!$F$31:$Z$31)+SUMIF('Phase II Pro Forma'!$F$6:$Z$6,'Official Summary'!H$7,'Phase II Pro Forma'!$F$31:$Z$31)+SUMIF('Phase III Pro Forma'!$F$6:$Z$6,'Official Summary'!H$7,'Phase III Pro Forma'!$F$31:$Z$31)</f>
        <v>218663.17027884291</v>
      </c>
      <c r="I90" s="259">
        <f>+SUMIF('Phase I Pro Forma'!$F$6:$Z$6,'Official Summary'!I$7,'Phase I Pro Forma'!$F$31:$Z$31)+SUMIF('Phase II Pro Forma'!$F$6:$Z$6,'Official Summary'!I$7,'Phase II Pro Forma'!$F$31:$Z$31)+SUMIF('Phase III Pro Forma'!$F$6:$Z$6,'Official Summary'!I$7,'Phase III Pro Forma'!$F$31:$Z$31)</f>
        <v>151894.84000000003</v>
      </c>
      <c r="J90" s="259">
        <f>+SUMIF('Phase I Pro Forma'!$F$6:$Z$6,'Official Summary'!J$7,'Phase I Pro Forma'!$F$31:$Z$31)+SUMIF('Phase II Pro Forma'!$F$6:$Z$6,'Official Summary'!J$7,'Phase II Pro Forma'!$F$31:$Z$31)+SUMIF('Phase III Pro Forma'!$F$6:$Z$6,'Official Summary'!J$7,'Phase III Pro Forma'!$F$31:$Z$31)</f>
        <v>151894.84000000003</v>
      </c>
      <c r="K90" s="259">
        <f>+SUMIF('Phase I Pro Forma'!$F$6:$Z$6,'Official Summary'!K$7,'Phase I Pro Forma'!$F$31:$Z$31)+SUMIF('Phase II Pro Forma'!$F$6:$Z$6,'Official Summary'!K$7,'Phase II Pro Forma'!$F$31:$Z$31)+SUMIF('Phase III Pro Forma'!$F$6:$Z$6,'Official Summary'!K$7,'Phase III Pro Forma'!$F$31:$Z$31)</f>
        <v>182724.71345282008</v>
      </c>
      <c r="L90" s="259">
        <f>+SUMIF('Phase I Pro Forma'!$F$6:$Z$6,'Official Summary'!L$7,'Phase I Pro Forma'!$F$31:$Z$31)+SUMIF('Phase II Pro Forma'!$F$6:$Z$6,'Official Summary'!L$7,'Phase II Pro Forma'!$F$31:$Z$31)+SUMIF('Phase III Pro Forma'!$F$6:$Z$6,'Official Summary'!L$7,'Phase III Pro Forma'!$F$31:$Z$31)</f>
        <v>182724.71345282008</v>
      </c>
      <c r="M90" s="259">
        <f>+SUMIF('Phase I Pro Forma'!$F$6:$Z$6,'Official Summary'!M$7,'Phase I Pro Forma'!$F$31:$Z$31)+SUMIF('Phase II Pro Forma'!$F$6:$Z$6,'Official Summary'!M$7,'Phase II Pro Forma'!$F$31:$Z$31)+SUMIF('Phase III Pro Forma'!$F$6:$Z$6,'Official Summary'!M$7,'Phase III Pro Forma'!$F$31:$Z$31)</f>
        <v>0</v>
      </c>
      <c r="N90" s="259">
        <f>+SUMIF('Phase I Pro Forma'!$F$6:$Z$6,'Official Summary'!N$7,'Phase I Pro Forma'!$F$31:$Z$31)+SUMIF('Phase II Pro Forma'!$F$6:$Z$6,'Official Summary'!N$7,'Phase II Pro Forma'!$F$31:$Z$31)+SUMIF('Phase III Pro Forma'!$F$6:$Z$6,'Official Summary'!N$7,'Phase III Pro Forma'!$F$31:$Z$31)</f>
        <v>0</v>
      </c>
    </row>
    <row r="91" spans="2:14" ht="19" customHeight="1" x14ac:dyDescent="0.2">
      <c r="B91" s="291" t="s">
        <v>921</v>
      </c>
      <c r="C91" s="335"/>
      <c r="D91" s="231" t="s">
        <v>14</v>
      </c>
      <c r="E91" s="259" t="s">
        <v>491</v>
      </c>
      <c r="F91" s="259" t="s">
        <v>491</v>
      </c>
      <c r="G91" s="259" t="s">
        <v>491</v>
      </c>
      <c r="H91" s="259" t="s">
        <v>491</v>
      </c>
      <c r="I91" s="259" t="s">
        <v>491</v>
      </c>
      <c r="J91" s="259" t="s">
        <v>491</v>
      </c>
      <c r="K91" s="259" t="s">
        <v>491</v>
      </c>
      <c r="L91" s="259" t="s">
        <v>491</v>
      </c>
      <c r="M91" s="259" t="s">
        <v>491</v>
      </c>
      <c r="N91" s="259" t="s">
        <v>491</v>
      </c>
    </row>
    <row r="92" spans="2:14" ht="19" customHeight="1" x14ac:dyDescent="0.2">
      <c r="B92" s="291" t="s">
        <v>424</v>
      </c>
      <c r="C92" s="335"/>
      <c r="D92" s="231" t="s">
        <v>14</v>
      </c>
      <c r="E92" s="259">
        <f>+SUMIF('Phase I Pro Forma'!$F$6:$Z$6,'Official Summary'!E$7,'Phase I Pro Forma'!$F$8:$Z$8)+SUMIF('Phase II Pro Forma'!$F$6:$Z$6,'Official Summary'!E$7,'Phase II Pro Forma'!$F$8:$Z$8)+SUMIF('Phase III Pro Forma'!$F$6:$Z$6,'Official Summary'!E$7,'Phase III Pro Forma'!$F$8:$Z$8)</f>
        <v>0</v>
      </c>
      <c r="F92" s="259">
        <f>+SUMIF('Phase I Pro Forma'!$F$6:$Z$6,'Official Summary'!F$7,'Phase I Pro Forma'!$F$8:$Z$8)+SUMIF('Phase II Pro Forma'!$F$6:$Z$6,'Official Summary'!F$7,'Phase II Pro Forma'!$F$8:$Z$8)+SUMIF('Phase III Pro Forma'!$F$6:$Z$6,'Official Summary'!F$7,'Phase III Pro Forma'!$F$8:$Z$8)</f>
        <v>0</v>
      </c>
      <c r="G92" s="259">
        <f>+SUMIF('Phase I Pro Forma'!$F$6:$Z$6,'Official Summary'!G$7,'Phase I Pro Forma'!$F$8:$Z$8)+SUMIF('Phase II Pro Forma'!$F$6:$Z$6,'Official Summary'!G$7,'Phase II Pro Forma'!$F$8:$Z$8)+SUMIF('Phase III Pro Forma'!$F$6:$Z$6,'Official Summary'!G$7,'Phase III Pro Forma'!$F$8:$Z$8)</f>
        <v>54665.792569710728</v>
      </c>
      <c r="H92" s="259">
        <f>+SUMIF('Phase I Pro Forma'!$F$6:$Z$6,'Official Summary'!H$7,'Phase I Pro Forma'!$F$8:$Z$8)+SUMIF('Phase II Pro Forma'!$F$6:$Z$6,'Official Summary'!H$7,'Phase II Pro Forma'!$F$8:$Z$8)+SUMIF('Phase III Pro Forma'!$F$6:$Z$6,'Official Summary'!H$7,'Phase III Pro Forma'!$F$8:$Z$8)</f>
        <v>54665.792569710728</v>
      </c>
      <c r="I92" s="259">
        <f>+SUMIF('Phase I Pro Forma'!$F$6:$Z$6,'Official Summary'!I$7,'Phase I Pro Forma'!$F$8:$Z$8)+SUMIF('Phase II Pro Forma'!$F$6:$Z$6,'Official Summary'!I$7,'Phase II Pro Forma'!$F$8:$Z$8)+SUMIF('Phase III Pro Forma'!$F$6:$Z$6,'Official Summary'!I$7,'Phase III Pro Forma'!$F$8:$Z$8)</f>
        <v>37973.710000000006</v>
      </c>
      <c r="J92" s="259">
        <f>+SUMIF('Phase I Pro Forma'!$F$6:$Z$6,'Official Summary'!J$7,'Phase I Pro Forma'!$F$8:$Z$8)+SUMIF('Phase II Pro Forma'!$F$6:$Z$6,'Official Summary'!J$7,'Phase II Pro Forma'!$F$8:$Z$8)+SUMIF('Phase III Pro Forma'!$F$6:$Z$6,'Official Summary'!J$7,'Phase III Pro Forma'!$F$8:$Z$8)</f>
        <v>37973.710000000006</v>
      </c>
      <c r="K92" s="259">
        <f>+SUMIF('Phase I Pro Forma'!$F$6:$Z$6,'Official Summary'!K$7,'Phase I Pro Forma'!$F$8:$Z$8)+SUMIF('Phase II Pro Forma'!$F$6:$Z$6,'Official Summary'!K$7,'Phase II Pro Forma'!$F$8:$Z$8)+SUMIF('Phase III Pro Forma'!$F$6:$Z$6,'Official Summary'!K$7,'Phase III Pro Forma'!$F$8:$Z$8)</f>
        <v>45681.178363205021</v>
      </c>
      <c r="L92" s="259">
        <f>+SUMIF('Phase I Pro Forma'!$F$6:$Z$6,'Official Summary'!L$7,'Phase I Pro Forma'!$F$8:$Z$8)+SUMIF('Phase II Pro Forma'!$F$6:$Z$6,'Official Summary'!L$7,'Phase II Pro Forma'!$F$8:$Z$8)+SUMIF('Phase III Pro Forma'!$F$6:$Z$6,'Official Summary'!L$7,'Phase III Pro Forma'!$F$8:$Z$8)</f>
        <v>45681.178363205021</v>
      </c>
      <c r="M92" s="259">
        <f>+SUMIF('Phase I Pro Forma'!$F$6:$Z$6,'Official Summary'!M$7,'Phase I Pro Forma'!$F$8:$Z$8)+SUMIF('Phase II Pro Forma'!$F$6:$Z$6,'Official Summary'!M$7,'Phase II Pro Forma'!$F$8:$Z$8)+SUMIF('Phase III Pro Forma'!$F$6:$Z$6,'Official Summary'!M$7,'Phase III Pro Forma'!$F$8:$Z$8)</f>
        <v>0</v>
      </c>
      <c r="N92" s="259">
        <f>+SUMIF('Phase I Pro Forma'!$F$6:$Z$6,'Official Summary'!N$7,'Phase I Pro Forma'!$F$8:$Z$8)+SUMIF('Phase II Pro Forma'!$F$6:$Z$6,'Official Summary'!N$7,'Phase II Pro Forma'!$F$8:$Z$8)+SUMIF('Phase III Pro Forma'!$F$6:$Z$6,'Official Summary'!N$7,'Phase III Pro Forma'!$F$8:$Z$8)</f>
        <v>0</v>
      </c>
    </row>
    <row r="93" spans="2:14" ht="19" customHeight="1" x14ac:dyDescent="0.2">
      <c r="B93" s="291" t="s">
        <v>425</v>
      </c>
      <c r="C93" s="331"/>
      <c r="D93" s="231" t="s">
        <v>14</v>
      </c>
      <c r="E93" s="259" t="s">
        <v>491</v>
      </c>
      <c r="F93" s="259" t="s">
        <v>491</v>
      </c>
      <c r="G93" s="259" t="s">
        <v>491</v>
      </c>
      <c r="H93" s="259" t="s">
        <v>491</v>
      </c>
      <c r="I93" s="259" t="s">
        <v>491</v>
      </c>
      <c r="J93" s="259" t="s">
        <v>491</v>
      </c>
      <c r="K93" s="259" t="s">
        <v>491</v>
      </c>
      <c r="L93" s="259" t="s">
        <v>491</v>
      </c>
      <c r="M93" s="259" t="s">
        <v>491</v>
      </c>
      <c r="N93" s="259" t="s">
        <v>491</v>
      </c>
    </row>
    <row r="94" spans="2:14" ht="19" customHeight="1" x14ac:dyDescent="0.2">
      <c r="B94" s="337" t="s">
        <v>24</v>
      </c>
      <c r="C94" s="331"/>
      <c r="D94" s="231" t="s">
        <v>14</v>
      </c>
      <c r="E94" s="259">
        <f>+SUMIF('Phase I Pro Forma'!$F$6:$Z$6,'Official Summary'!E$7,'Phase I Pro Forma'!$F$96:$Z$96)+SUMIF('Phase II Pro Forma'!$F$6:$Z$6,'Official Summary'!E$7,'Phase II Pro Forma'!$F$96:$Z$96)+SUMIF('Phase III Pro Forma'!$F$6:$Z$6,'Official Summary'!E$7,'Phase III Pro Forma'!$F$96:$Z$96)</f>
        <v>0</v>
      </c>
      <c r="F94" s="259">
        <f>+SUMIF('Phase I Pro Forma'!$F$6:$Z$6,'Official Summary'!F$7,'Phase I Pro Forma'!$F$96:$Z$96)+SUMIF('Phase II Pro Forma'!$F$6:$Z$6,'Official Summary'!F$7,'Phase II Pro Forma'!$F$96:$Z$96)+SUMIF('Phase III Pro Forma'!$F$6:$Z$6,'Official Summary'!F$7,'Phase III Pro Forma'!$F$96:$Z$96)</f>
        <v>0</v>
      </c>
      <c r="G94" s="259">
        <f>+SUMIF('Phase I Pro Forma'!$F$6:$Z$6,'Official Summary'!G$7,'Phase I Pro Forma'!$F$96:$Z$96)+SUMIF('Phase II Pro Forma'!$F$6:$Z$6,'Official Summary'!G$7,'Phase II Pro Forma'!$F$96:$Z$96)+SUMIF('Phase III Pro Forma'!$F$6:$Z$6,'Official Summary'!G$7,'Phase III Pro Forma'!$F$96:$Z$96)</f>
        <v>205034.40000000002</v>
      </c>
      <c r="H94" s="259">
        <f>+SUMIF('Phase I Pro Forma'!$F$6:$Z$6,'Official Summary'!H$7,'Phase I Pro Forma'!$F$96:$Z$96)+SUMIF('Phase II Pro Forma'!$F$6:$Z$6,'Official Summary'!H$7,'Phase II Pro Forma'!$F$96:$Z$96)+SUMIF('Phase III Pro Forma'!$F$6:$Z$6,'Official Summary'!H$7,'Phase III Pro Forma'!$F$96:$Z$96)</f>
        <v>205034.40000000002</v>
      </c>
      <c r="I94" s="259">
        <f>+SUMIF('Phase I Pro Forma'!$F$6:$Z$6,'Official Summary'!I$7,'Phase I Pro Forma'!$F$96:$Z$96)+SUMIF('Phase II Pro Forma'!$F$6:$Z$6,'Official Summary'!I$7,'Phase II Pro Forma'!$F$96:$Z$96)+SUMIF('Phase III Pro Forma'!$F$6:$Z$6,'Official Summary'!I$7,'Phase III Pro Forma'!$F$96:$Z$96)</f>
        <v>67468.5</v>
      </c>
      <c r="J94" s="259">
        <f>+SUMIF('Phase I Pro Forma'!$F$6:$Z$6,'Official Summary'!J$7,'Phase I Pro Forma'!$F$96:$Z$96)+SUMIF('Phase II Pro Forma'!$F$6:$Z$6,'Official Summary'!J$7,'Phase II Pro Forma'!$F$96:$Z$96)+SUMIF('Phase III Pro Forma'!$F$6:$Z$6,'Official Summary'!J$7,'Phase III Pro Forma'!$F$96:$Z$96)</f>
        <v>67468.5</v>
      </c>
      <c r="K94" s="259">
        <f>+SUMIF('Phase I Pro Forma'!$F$6:$Z$6,'Official Summary'!K$7,'Phase I Pro Forma'!$F$96:$Z$96)+SUMIF('Phase II Pro Forma'!$F$6:$Z$6,'Official Summary'!K$7,'Phase II Pro Forma'!$F$96:$Z$96)+SUMIF('Phase III Pro Forma'!$F$6:$Z$6,'Official Summary'!K$7,'Phase III Pro Forma'!$F$96:$Z$96)</f>
        <v>294484.54999999993</v>
      </c>
      <c r="L94" s="259">
        <f>+SUMIF('Phase I Pro Forma'!$F$6:$Z$6,'Official Summary'!L$7,'Phase I Pro Forma'!$F$96:$Z$96)+SUMIF('Phase II Pro Forma'!$F$6:$Z$6,'Official Summary'!L$7,'Phase II Pro Forma'!$F$96:$Z$96)+SUMIF('Phase III Pro Forma'!$F$6:$Z$6,'Official Summary'!L$7,'Phase III Pro Forma'!$F$96:$Z$96)</f>
        <v>294484.54999999993</v>
      </c>
      <c r="M94" s="259">
        <f>+SUMIF('Phase I Pro Forma'!$F$6:$Z$6,'Official Summary'!M$7,'Phase I Pro Forma'!$F$96:$Z$96)+SUMIF('Phase II Pro Forma'!$F$6:$Z$6,'Official Summary'!M$7,'Phase II Pro Forma'!$F$96:$Z$96)+SUMIF('Phase III Pro Forma'!$F$6:$Z$6,'Official Summary'!M$7,'Phase III Pro Forma'!$F$96:$Z$96)</f>
        <v>0</v>
      </c>
      <c r="N94" s="259">
        <f>+SUMIF('Phase I Pro Forma'!$F$6:$Z$6,'Official Summary'!N$7,'Phase I Pro Forma'!$F$96:$Z$96)+SUMIF('Phase II Pro Forma'!$F$6:$Z$6,'Official Summary'!N$7,'Phase II Pro Forma'!$F$96:$Z$96)+SUMIF('Phase III Pro Forma'!$F$6:$Z$6,'Official Summary'!N$7,'Phase III Pro Forma'!$F$96:$Z$96)</f>
        <v>0</v>
      </c>
    </row>
    <row r="95" spans="2:14" ht="19" customHeight="1" x14ac:dyDescent="0.2">
      <c r="B95" s="337" t="s">
        <v>25</v>
      </c>
      <c r="C95" s="335"/>
      <c r="D95" s="231" t="s">
        <v>14</v>
      </c>
      <c r="E95" s="259">
        <f>+SUMIF('Phase I Pro Forma'!$F$6:$Z$6,'Official Summary'!E$7,'Phase I Pro Forma'!$F$54:$Z$54)+SUMIF('Phase II Pro Forma'!$F$6:$Z$6,'Official Summary'!E$7,'Phase II Pro Forma'!$F$54:$Z$54)+SUMIF('Phase III Pro Forma'!$F$6:$Z$6,'Official Summary'!E$7,'Phase III Pro Forma'!$F$54:$Z$54)</f>
        <v>0</v>
      </c>
      <c r="F95" s="259">
        <f>+SUMIF('Phase I Pro Forma'!$F$6:$Z$6,'Official Summary'!F$7,'Phase I Pro Forma'!$F$54:$Z$54)+SUMIF('Phase II Pro Forma'!$F$6:$Z$6,'Official Summary'!F$7,'Phase II Pro Forma'!$F$54:$Z$54)+SUMIF('Phase III Pro Forma'!$F$6:$Z$6,'Official Summary'!F$7,'Phase III Pro Forma'!$F$54:$Z$54)</f>
        <v>0</v>
      </c>
      <c r="G95" s="259">
        <f>+SUMIF('Phase I Pro Forma'!$F$6:$Z$6,'Official Summary'!G$7,'Phase I Pro Forma'!$F$54:$Z$54)+SUMIF('Phase II Pro Forma'!$F$6:$Z$6,'Official Summary'!G$7,'Phase II Pro Forma'!$F$54:$Z$54)+SUMIF('Phase III Pro Forma'!$F$6:$Z$6,'Official Summary'!G$7,'Phase III Pro Forma'!$F$54:$Z$54)</f>
        <v>107100</v>
      </c>
      <c r="H95" s="259">
        <f>+SUMIF('Phase I Pro Forma'!$F$6:$Z$6,'Official Summary'!H$7,'Phase I Pro Forma'!$F$54:$Z$54)+SUMIF('Phase II Pro Forma'!$F$6:$Z$6,'Official Summary'!H$7,'Phase II Pro Forma'!$F$54:$Z$54)+SUMIF('Phase III Pro Forma'!$F$6:$Z$6,'Official Summary'!H$7,'Phase III Pro Forma'!$F$54:$Z$54)</f>
        <v>107100</v>
      </c>
      <c r="I95" s="259">
        <f>+SUMIF('Phase I Pro Forma'!$F$6:$Z$6,'Official Summary'!I$7,'Phase I Pro Forma'!$F$54:$Z$54)+SUMIF('Phase II Pro Forma'!$F$6:$Z$6,'Official Summary'!I$7,'Phase II Pro Forma'!$F$54:$Z$54)+SUMIF('Phase III Pro Forma'!$F$6:$Z$6,'Official Summary'!I$7,'Phase III Pro Forma'!$F$54:$Z$54)</f>
        <v>69300</v>
      </c>
      <c r="J95" s="259">
        <f>+SUMIF('Phase I Pro Forma'!$F$6:$Z$6,'Official Summary'!J$7,'Phase I Pro Forma'!$F$54:$Z$54)+SUMIF('Phase II Pro Forma'!$F$6:$Z$6,'Official Summary'!J$7,'Phase II Pro Forma'!$F$54:$Z$54)+SUMIF('Phase III Pro Forma'!$F$6:$Z$6,'Official Summary'!J$7,'Phase III Pro Forma'!$F$54:$Z$54)</f>
        <v>69300</v>
      </c>
      <c r="K95" s="259">
        <f>+SUMIF('Phase I Pro Forma'!$F$6:$Z$6,'Official Summary'!K$7,'Phase I Pro Forma'!$F$54:$Z$54)+SUMIF('Phase II Pro Forma'!$F$6:$Z$6,'Official Summary'!K$7,'Phase II Pro Forma'!$F$54:$Z$54)+SUMIF('Phase III Pro Forma'!$F$6:$Z$6,'Official Summary'!K$7,'Phase III Pro Forma'!$F$54:$Z$54)</f>
        <v>35248.5</v>
      </c>
      <c r="L95" s="259">
        <f>+SUMIF('Phase I Pro Forma'!$F$6:$Z$6,'Official Summary'!L$7,'Phase I Pro Forma'!$F$54:$Z$54)+SUMIF('Phase II Pro Forma'!$F$6:$Z$6,'Official Summary'!L$7,'Phase II Pro Forma'!$F$54:$Z$54)+SUMIF('Phase III Pro Forma'!$F$6:$Z$6,'Official Summary'!L$7,'Phase III Pro Forma'!$F$54:$Z$54)</f>
        <v>35248.5</v>
      </c>
      <c r="M95" s="259">
        <f>+SUMIF('Phase I Pro Forma'!$F$6:$Z$6,'Official Summary'!M$7,'Phase I Pro Forma'!$F$54:$Z$54)+SUMIF('Phase II Pro Forma'!$F$6:$Z$6,'Official Summary'!M$7,'Phase II Pro Forma'!$F$54:$Z$54)+SUMIF('Phase III Pro Forma'!$F$6:$Z$6,'Official Summary'!M$7,'Phase III Pro Forma'!$F$54:$Z$54)</f>
        <v>0</v>
      </c>
      <c r="N95" s="259">
        <f>+SUMIF('Phase I Pro Forma'!$F$6:$Z$6,'Official Summary'!N$7,'Phase I Pro Forma'!$F$54:$Z$54)+SUMIF('Phase II Pro Forma'!$F$6:$Z$6,'Official Summary'!N$7,'Phase II Pro Forma'!$F$54:$Z$54)+SUMIF('Phase III Pro Forma'!$F$6:$Z$6,'Official Summary'!N$7,'Phase III Pro Forma'!$F$54:$Z$54)</f>
        <v>0</v>
      </c>
    </row>
    <row r="96" spans="2:14" ht="19" customHeight="1" x14ac:dyDescent="0.2">
      <c r="B96" s="337" t="s">
        <v>145</v>
      </c>
      <c r="C96" s="331"/>
      <c r="D96" s="231" t="s">
        <v>14</v>
      </c>
      <c r="E96" s="259">
        <f>+SUMIF('Phase I Pro Forma'!$F$6:$Z$6,'Official Summary'!E$7,'Phase I Pro Forma'!$F$75:$Z$75)+SUMIF('Phase II Pro Forma'!$F$6:$Z$6,'Official Summary'!E$7,'Phase II Pro Forma'!$F$75:$Z$75)+SUMIF('Phase III Pro Forma'!$F$6:$Z$6,'Official Summary'!E$7,'Phase III Pro Forma'!$F$75:$Z$75)</f>
        <v>0</v>
      </c>
      <c r="F96" s="259">
        <f>+SUMIF('Phase I Pro Forma'!$F$6:$Z$6,'Official Summary'!F$7,'Phase I Pro Forma'!$F$75:$Z$75)+SUMIF('Phase II Pro Forma'!$F$6:$Z$6,'Official Summary'!F$7,'Phase II Pro Forma'!$F$75:$Z$75)+SUMIF('Phase III Pro Forma'!$F$6:$Z$6,'Official Summary'!F$7,'Phase III Pro Forma'!$F$75:$Z$75)</f>
        <v>0</v>
      </c>
      <c r="G96" s="259">
        <f>+SUMIF('Phase I Pro Forma'!$F$6:$Z$6,'Official Summary'!G$7,'Phase I Pro Forma'!$F$75:$Z$75)+SUMIF('Phase II Pro Forma'!$F$6:$Z$6,'Official Summary'!G$7,'Phase II Pro Forma'!$F$75:$Z$75)+SUMIF('Phase III Pro Forma'!$F$6:$Z$6,'Official Summary'!G$7,'Phase III Pro Forma'!$F$75:$Z$75)</f>
        <v>39562.5</v>
      </c>
      <c r="H96" s="259">
        <f>+SUMIF('Phase I Pro Forma'!$F$6:$Z$6,'Official Summary'!H$7,'Phase I Pro Forma'!$F$75:$Z$75)+SUMIF('Phase II Pro Forma'!$F$6:$Z$6,'Official Summary'!H$7,'Phase II Pro Forma'!$F$75:$Z$75)+SUMIF('Phase III Pro Forma'!$F$6:$Z$6,'Official Summary'!H$7,'Phase III Pro Forma'!$F$75:$Z$75)</f>
        <v>39562.5</v>
      </c>
      <c r="I96" s="259">
        <f>+SUMIF('Phase I Pro Forma'!$F$6:$Z$6,'Official Summary'!I$7,'Phase I Pro Forma'!$F$75:$Z$75)+SUMIF('Phase II Pro Forma'!$F$6:$Z$6,'Official Summary'!I$7,'Phase II Pro Forma'!$F$75:$Z$75)+SUMIF('Phase III Pro Forma'!$F$6:$Z$6,'Official Summary'!I$7,'Phase III Pro Forma'!$F$75:$Z$75)</f>
        <v>5.0000000000000002E-5</v>
      </c>
      <c r="J96" s="259">
        <f>+SUMIF('Phase I Pro Forma'!$F$6:$Z$6,'Official Summary'!J$7,'Phase I Pro Forma'!$F$75:$Z$75)+SUMIF('Phase II Pro Forma'!$F$6:$Z$6,'Official Summary'!J$7,'Phase II Pro Forma'!$F$75:$Z$75)+SUMIF('Phase III Pro Forma'!$F$6:$Z$6,'Official Summary'!J$7,'Phase III Pro Forma'!$F$75:$Z$75)</f>
        <v>5.0000000000000002E-5</v>
      </c>
      <c r="K96" s="259">
        <f>+SUMIF('Phase I Pro Forma'!$F$6:$Z$6,'Official Summary'!K$7,'Phase I Pro Forma'!$F$75:$Z$75)+SUMIF('Phase II Pro Forma'!$F$6:$Z$6,'Official Summary'!K$7,'Phase II Pro Forma'!$F$75:$Z$75)+SUMIF('Phase III Pro Forma'!$F$6:$Z$6,'Official Summary'!K$7,'Phase III Pro Forma'!$F$75:$Z$75)</f>
        <v>39105</v>
      </c>
      <c r="L96" s="259">
        <f>+SUMIF('Phase I Pro Forma'!$F$6:$Z$6,'Official Summary'!L$7,'Phase I Pro Forma'!$F$75:$Z$75)+SUMIF('Phase II Pro Forma'!$F$6:$Z$6,'Official Summary'!L$7,'Phase II Pro Forma'!$F$75:$Z$75)+SUMIF('Phase III Pro Forma'!$F$6:$Z$6,'Official Summary'!L$7,'Phase III Pro Forma'!$F$75:$Z$75)</f>
        <v>39105</v>
      </c>
      <c r="M96" s="259">
        <f>+SUMIF('Phase I Pro Forma'!$F$6:$Z$6,'Official Summary'!M$7,'Phase I Pro Forma'!$F$75:$Z$75)+SUMIF('Phase II Pro Forma'!$F$6:$Z$6,'Official Summary'!M$7,'Phase II Pro Forma'!$F$75:$Z$75)+SUMIF('Phase III Pro Forma'!$F$6:$Z$6,'Official Summary'!M$7,'Phase III Pro Forma'!$F$75:$Z$75)</f>
        <v>0</v>
      </c>
      <c r="N96" s="259">
        <f>+SUMIF('Phase I Pro Forma'!$F$6:$Z$6,'Official Summary'!N$7,'Phase I Pro Forma'!$F$75:$Z$75)+SUMIF('Phase II Pro Forma'!$F$6:$Z$6,'Official Summary'!N$7,'Phase II Pro Forma'!$F$75:$Z$75)+SUMIF('Phase III Pro Forma'!$F$6:$Z$6,'Official Summary'!N$7,'Phase III Pro Forma'!$F$75:$Z$75)</f>
        <v>0</v>
      </c>
    </row>
    <row r="97" spans="2:14" ht="19" customHeight="1" x14ac:dyDescent="0.2">
      <c r="B97" s="337" t="s">
        <v>26</v>
      </c>
      <c r="C97" s="331"/>
      <c r="D97" s="231" t="s">
        <v>14</v>
      </c>
      <c r="E97" s="259">
        <f>+E84*'Assumptions and Sensis'!$E$123</f>
        <v>0</v>
      </c>
      <c r="F97" s="259">
        <f>+F84*'Assumptions and Sensis'!$E$123</f>
        <v>0</v>
      </c>
      <c r="G97" s="259">
        <f>+G84*'Assumptions and Sensis'!$E$123</f>
        <v>78031.575000000012</v>
      </c>
      <c r="H97" s="259">
        <f>+H84*'Assumptions and Sensis'!$E$123</f>
        <v>78031.575000000012</v>
      </c>
      <c r="I97" s="259">
        <f>+I84*'Assumptions and Sensis'!$E$123</f>
        <v>52173.600000000006</v>
      </c>
      <c r="J97" s="259">
        <f>+J84*'Assumptions and Sensis'!$E$123</f>
        <v>52173.600000000006</v>
      </c>
      <c r="K97" s="259">
        <f>+K84*'Assumptions and Sensis'!$E$123</f>
        <v>8387.48</v>
      </c>
      <c r="L97" s="259">
        <f>+L84*'Assumptions and Sensis'!$E$123</f>
        <v>8387.48</v>
      </c>
      <c r="M97" s="259">
        <f>+M84*'Assumptions and Sensis'!$E$123</f>
        <v>0</v>
      </c>
      <c r="N97" s="259">
        <f>+N84*'Assumptions and Sensis'!$E$123</f>
        <v>0</v>
      </c>
    </row>
    <row r="98" spans="2:14" ht="19" customHeight="1" x14ac:dyDescent="0.2">
      <c r="B98" s="337" t="s">
        <v>27</v>
      </c>
      <c r="C98" s="331"/>
      <c r="D98" s="231" t="s">
        <v>14</v>
      </c>
      <c r="E98" s="259">
        <f>+E85*'Assumptions and Sensis'!$F$208</f>
        <v>0</v>
      </c>
      <c r="F98" s="259">
        <f>+F85*'Assumptions and Sensis'!$F$208</f>
        <v>0</v>
      </c>
      <c r="G98" s="259">
        <f>+G85*'Assumptions and Sensis'!$F$208</f>
        <v>41500</v>
      </c>
      <c r="H98" s="259">
        <f>+H85*'Assumptions and Sensis'!$F$208</f>
        <v>41500</v>
      </c>
      <c r="I98" s="259">
        <f>+I85*'Assumptions and Sensis'!$F$208</f>
        <v>52999.999999999993</v>
      </c>
      <c r="J98" s="259">
        <f>+J85*'Assumptions and Sensis'!$F$208</f>
        <v>52999.999999999993</v>
      </c>
      <c r="K98" s="259">
        <f>+K85*'Assumptions and Sensis'!$F$208</f>
        <v>24000.000000000004</v>
      </c>
      <c r="L98" s="259">
        <f>+L85*'Assumptions and Sensis'!$F$208</f>
        <v>24000.000000000004</v>
      </c>
      <c r="M98" s="259">
        <f>+M85*'Assumptions and Sensis'!$F$208</f>
        <v>0</v>
      </c>
      <c r="N98" s="259">
        <f>+N85*'Assumptions and Sensis'!$F$208</f>
        <v>0</v>
      </c>
    </row>
    <row r="99" spans="2:14" ht="19" customHeight="1" x14ac:dyDescent="0.2">
      <c r="B99" s="337" t="s">
        <v>28</v>
      </c>
      <c r="C99" s="335"/>
      <c r="D99" s="231" t="s">
        <v>14</v>
      </c>
      <c r="E99" s="259">
        <f>+E86*'Assumptions and Sensis'!$F$208</f>
        <v>0</v>
      </c>
      <c r="F99" s="259">
        <f>+F86*'Assumptions and Sensis'!$F$208</f>
        <v>0</v>
      </c>
      <c r="G99" s="259">
        <f>+G86*'Assumptions and Sensis'!$F$208</f>
        <v>0</v>
      </c>
      <c r="H99" s="259">
        <f>+H86*'Assumptions and Sensis'!$F$208</f>
        <v>0</v>
      </c>
      <c r="I99" s="259">
        <f>+I86*'Assumptions and Sensis'!$F$208</f>
        <v>0</v>
      </c>
      <c r="J99" s="259">
        <f>+J86*'Assumptions and Sensis'!$F$208</f>
        <v>0</v>
      </c>
      <c r="K99" s="259">
        <f>+K86*'Assumptions and Sensis'!$F$208</f>
        <v>75000</v>
      </c>
      <c r="L99" s="259">
        <f>+L86*'Assumptions and Sensis'!$F$208</f>
        <v>75000</v>
      </c>
      <c r="M99" s="259">
        <f>+M86*'Assumptions and Sensis'!$F$208</f>
        <v>0</v>
      </c>
      <c r="N99" s="259">
        <f>+N86*'Assumptions and Sensis'!$F$208</f>
        <v>0</v>
      </c>
    </row>
    <row r="100" spans="2:14" ht="19" customHeight="1" x14ac:dyDescent="0.2">
      <c r="B100" s="337" t="s">
        <v>48</v>
      </c>
      <c r="C100" s="335"/>
      <c r="D100" s="231" t="s">
        <v>14</v>
      </c>
      <c r="E100" s="259" t="s">
        <v>491</v>
      </c>
      <c r="F100" s="259" t="s">
        <v>491</v>
      </c>
      <c r="G100" s="259" t="s">
        <v>491</v>
      </c>
      <c r="H100" s="259" t="s">
        <v>491</v>
      </c>
      <c r="I100" s="259" t="s">
        <v>491</v>
      </c>
      <c r="J100" s="259" t="s">
        <v>491</v>
      </c>
      <c r="K100" s="259" t="s">
        <v>491</v>
      </c>
      <c r="L100" s="259" t="s">
        <v>491</v>
      </c>
      <c r="M100" s="259" t="s">
        <v>491</v>
      </c>
      <c r="N100" s="259" t="s">
        <v>491</v>
      </c>
    </row>
    <row r="101" spans="2:14" ht="19" customHeight="1" x14ac:dyDescent="0.2">
      <c r="B101" s="378" t="s">
        <v>235</v>
      </c>
      <c r="C101" s="331"/>
      <c r="D101" s="231" t="s">
        <v>14</v>
      </c>
      <c r="E101" s="259">
        <f>+SUMIF('Phase I Pro Forma'!$F$6:$Z$6,'Official Summary'!E$7,'Phase I Pro Forma'!$F$235:$Z$235)+SUMIF('Phase II Pro Forma'!$F$6:$Z$6,'Official Summary'!E$7,'Phase II Pro Forma'!$F$235:$Z$235)+SUMIF('Phase III Pro Forma'!$F$6:$Z$6,'Official Summary'!E$7,'Phase III Pro Forma'!$F$235:$Z$235)</f>
        <v>0</v>
      </c>
      <c r="F101" s="259">
        <f>+SUMIF('Phase I Pro Forma'!$F$6:$Z$6,'Official Summary'!F$7,'Phase I Pro Forma'!$F$235:$Z$235)+SUMIF('Phase II Pro Forma'!$F$6:$Z$6,'Official Summary'!F$7,'Phase II Pro Forma'!$F$235:$Z$235)+SUMIF('Phase III Pro Forma'!$F$6:$Z$6,'Official Summary'!F$7,'Phase III Pro Forma'!$F$235:$Z$235)</f>
        <v>0</v>
      </c>
      <c r="G101" s="259">
        <f>+SUMIF('Phase I Pro Forma'!$F$6:$Z$6,'Official Summary'!G$7,'Phase I Pro Forma'!$F$235:$Z$235)+SUMIF('Phase II Pro Forma'!$F$6:$Z$6,'Official Summary'!G$7,'Phase II Pro Forma'!$F$235:$Z$235)+SUMIF('Phase III Pro Forma'!$F$6:$Z$6,'Official Summary'!G$7,'Phase III Pro Forma'!$F$235:$Z$235)</f>
        <v>4.9999999999999998E-7</v>
      </c>
      <c r="H101" s="259">
        <f>+SUMIF('Phase I Pro Forma'!$F$6:$Z$6,'Official Summary'!H$7,'Phase I Pro Forma'!$F$235:$Z$235)+SUMIF('Phase II Pro Forma'!$F$6:$Z$6,'Official Summary'!H$7,'Phase II Pro Forma'!$F$235:$Z$235)+SUMIF('Phase III Pro Forma'!$F$6:$Z$6,'Official Summary'!H$7,'Phase III Pro Forma'!$F$235:$Z$235)</f>
        <v>4.9999999999999998E-7</v>
      </c>
      <c r="I101" s="259">
        <f>+SUMIF('Phase I Pro Forma'!$F$6:$Z$6,'Official Summary'!I$7,'Phase I Pro Forma'!$F$235:$Z$235)+SUMIF('Phase II Pro Forma'!$F$6:$Z$6,'Official Summary'!I$7,'Phase II Pro Forma'!$F$235:$Z$235)+SUMIF('Phase III Pro Forma'!$F$6:$Z$6,'Official Summary'!I$7,'Phase III Pro Forma'!$F$235:$Z$235)</f>
        <v>4.9999999999999998E-7</v>
      </c>
      <c r="J101" s="259">
        <f>+SUMIF('Phase I Pro Forma'!$F$6:$Z$6,'Official Summary'!J$7,'Phase I Pro Forma'!$F$235:$Z$235)+SUMIF('Phase II Pro Forma'!$F$6:$Z$6,'Official Summary'!J$7,'Phase II Pro Forma'!$F$235:$Z$235)+SUMIF('Phase III Pro Forma'!$F$6:$Z$6,'Official Summary'!J$7,'Phase III Pro Forma'!$F$235:$Z$235)</f>
        <v>4.9999999999999998E-7</v>
      </c>
      <c r="K101" s="259">
        <f>+SUMIF('Phase I Pro Forma'!$F$6:$Z$6,'Official Summary'!K$7,'Phase I Pro Forma'!$F$235:$Z$235)+SUMIF('Phase II Pro Forma'!$F$6:$Z$6,'Official Summary'!K$7,'Phase II Pro Forma'!$F$235:$Z$235)+SUMIF('Phase III Pro Forma'!$F$6:$Z$6,'Official Summary'!K$7,'Phase III Pro Forma'!$F$235:$Z$235)</f>
        <v>117315</v>
      </c>
      <c r="L101" s="259">
        <f>+SUMIF('Phase I Pro Forma'!$F$6:$Z$6,'Official Summary'!L$7,'Phase I Pro Forma'!$F$235:$Z$235)+SUMIF('Phase II Pro Forma'!$F$6:$Z$6,'Official Summary'!L$7,'Phase II Pro Forma'!$F$235:$Z$235)+SUMIF('Phase III Pro Forma'!$F$6:$Z$6,'Official Summary'!L$7,'Phase III Pro Forma'!$F$235:$Z$235)</f>
        <v>117315</v>
      </c>
      <c r="M101" s="259">
        <f>+SUMIF('Phase I Pro Forma'!$F$6:$Z$6,'Official Summary'!M$7,'Phase I Pro Forma'!$F$235:$Z$235)+SUMIF('Phase II Pro Forma'!$F$6:$Z$6,'Official Summary'!M$7,'Phase II Pro Forma'!$F$235:$Z$235)+SUMIF('Phase III Pro Forma'!$F$6:$Z$6,'Official Summary'!M$7,'Phase III Pro Forma'!$F$235:$Z$235)</f>
        <v>0</v>
      </c>
      <c r="N101" s="259">
        <f>+SUMIF('Phase I Pro Forma'!$F$6:$Z$6,'Official Summary'!N$7,'Phase I Pro Forma'!$F$235:$Z$235)+SUMIF('Phase II Pro Forma'!$F$6:$Z$6,'Official Summary'!N$7,'Phase II Pro Forma'!$F$235:$Z$235)+SUMIF('Phase III Pro Forma'!$F$6:$Z$6,'Official Summary'!N$7,'Phase III Pro Forma'!$F$235:$Z$235)</f>
        <v>0</v>
      </c>
    </row>
    <row r="102" spans="2:14" ht="19" customHeight="1" x14ac:dyDescent="0.2">
      <c r="B102" s="294" t="s">
        <v>17</v>
      </c>
      <c r="C102" s="266"/>
      <c r="D102" s="295" t="s">
        <v>14</v>
      </c>
      <c r="E102" s="295">
        <f>+SUM(E90:E101)</f>
        <v>0</v>
      </c>
      <c r="F102" s="295">
        <f t="shared" ref="F102:N102" si="15">+SUM(F90:F101)</f>
        <v>0</v>
      </c>
      <c r="G102" s="295">
        <f t="shared" si="15"/>
        <v>744557.43784905376</v>
      </c>
      <c r="H102" s="295">
        <f t="shared" si="15"/>
        <v>744557.43784905376</v>
      </c>
      <c r="I102" s="295">
        <f t="shared" si="15"/>
        <v>431810.65005050006</v>
      </c>
      <c r="J102" s="295">
        <f t="shared" si="15"/>
        <v>431810.65005050006</v>
      </c>
      <c r="K102" s="295">
        <f t="shared" si="15"/>
        <v>821946.42181602505</v>
      </c>
      <c r="L102" s="295">
        <f t="shared" si="15"/>
        <v>821946.42181602505</v>
      </c>
      <c r="M102" s="295">
        <f t="shared" si="15"/>
        <v>0</v>
      </c>
      <c r="N102" s="295">
        <f t="shared" si="15"/>
        <v>0</v>
      </c>
    </row>
    <row r="103" spans="2:14" ht="19" customHeight="1" x14ac:dyDescent="0.2">
      <c r="B103" s="1005" t="s">
        <v>493</v>
      </c>
      <c r="C103" s="1005"/>
      <c r="D103" s="1005"/>
      <c r="E103" s="1005"/>
      <c r="F103" s="1005"/>
      <c r="G103" s="1005"/>
      <c r="H103" s="1005"/>
      <c r="I103" s="1005"/>
      <c r="J103" s="1005"/>
      <c r="K103" s="1005"/>
      <c r="L103" s="1005"/>
      <c r="M103" s="1005"/>
      <c r="N103" s="1005"/>
    </row>
    <row r="104" spans="2:14" ht="19" customHeight="1" x14ac:dyDescent="0.2"/>
    <row r="105" spans="2:14" s="579" customFormat="1" ht="19" customHeight="1" x14ac:dyDescent="0.2">
      <c r="B105" s="36" t="s">
        <v>32</v>
      </c>
      <c r="C105" s="37"/>
      <c r="D105" s="37"/>
      <c r="E105" s="36"/>
      <c r="F105" s="45"/>
      <c r="G105" s="36"/>
      <c r="H105" s="252"/>
      <c r="I105" s="36" t="s">
        <v>33</v>
      </c>
      <c r="J105" s="37"/>
      <c r="K105" s="37"/>
      <c r="L105" s="36"/>
      <c r="M105" s="45"/>
      <c r="N105" s="36"/>
    </row>
    <row r="106" spans="2:14" s="751" customFormat="1" ht="19" customHeight="1" x14ac:dyDescent="0.2">
      <c r="B106" s="381" t="s">
        <v>2</v>
      </c>
      <c r="C106" s="1004" t="s">
        <v>495</v>
      </c>
      <c r="D106" s="1004"/>
      <c r="E106" s="1004" t="s">
        <v>497</v>
      </c>
      <c r="F106" s="1004"/>
      <c r="G106" s="334" t="s">
        <v>498</v>
      </c>
      <c r="H106" s="253"/>
      <c r="I106" s="1002"/>
      <c r="J106" s="1003"/>
      <c r="K106" s="1003"/>
      <c r="L106" s="1004" t="s">
        <v>34</v>
      </c>
      <c r="M106" s="1004"/>
      <c r="N106" s="254"/>
    </row>
    <row r="107" spans="2:14" ht="19" customHeight="1" thickBot="1" x14ac:dyDescent="0.25">
      <c r="B107" s="291" t="s">
        <v>427</v>
      </c>
      <c r="C107" s="1033" t="str">
        <f ca="1">+CONCATENATE(TEXT(Budget!$N$88,"$0,000")," pu"," / ",TEXT(Budget!$N$86,"$0.0")," pgsf")</f>
        <v>$167,668 pu / $196.3 pgsf</v>
      </c>
      <c r="D107" s="1033"/>
      <c r="E107" s="1033" t="str">
        <f ca="1">+CONCATENATE(TEXT(Budget!$N$87,"$0,000")," pu"," / ",TEXT(Budget!$N$85,"$0.0")," pgsf")</f>
        <v>$218,125 pu / $255.4 pgsf</v>
      </c>
      <c r="F107" s="1033"/>
      <c r="G107" s="383">
        <f ca="1">+Budget!N82</f>
        <v>330237117.86934507</v>
      </c>
      <c r="I107" s="396" t="s">
        <v>35</v>
      </c>
      <c r="J107" s="397"/>
      <c r="K107" s="1029" t="s">
        <v>505</v>
      </c>
      <c r="L107" s="1029"/>
      <c r="M107" s="1029" t="s">
        <v>506</v>
      </c>
      <c r="N107" s="1029"/>
    </row>
    <row r="108" spans="2:14" ht="19" customHeight="1" x14ac:dyDescent="0.2">
      <c r="B108" s="291" t="s">
        <v>426</v>
      </c>
      <c r="C108" s="1034" t="s">
        <v>491</v>
      </c>
      <c r="D108" s="1034"/>
      <c r="E108" s="1034" t="s">
        <v>491</v>
      </c>
      <c r="F108" s="1034"/>
      <c r="G108" s="385" t="s">
        <v>491</v>
      </c>
      <c r="I108" s="252" t="s">
        <v>626</v>
      </c>
      <c r="J108" s="331"/>
      <c r="K108" s="1006">
        <f ca="1">+'S&amp;U'!$G$23</f>
        <v>179009336.3210457</v>
      </c>
      <c r="L108" s="1007"/>
      <c r="M108" s="1006">
        <f ca="1">+'S&amp;U'!Q25</f>
        <v>75027222.339220732</v>
      </c>
      <c r="N108" s="1007"/>
    </row>
    <row r="109" spans="2:14" ht="19" customHeight="1" x14ac:dyDescent="0.2">
      <c r="B109" s="291" t="s">
        <v>423</v>
      </c>
      <c r="C109" s="1034" t="s">
        <v>491</v>
      </c>
      <c r="D109" s="1034"/>
      <c r="E109" s="1034" t="s">
        <v>491</v>
      </c>
      <c r="F109" s="1034"/>
      <c r="G109" s="385" t="s">
        <v>491</v>
      </c>
      <c r="I109" s="336"/>
      <c r="J109" s="331"/>
      <c r="K109" s="331"/>
      <c r="L109" s="395"/>
      <c r="M109" s="335"/>
      <c r="N109" s="335"/>
    </row>
    <row r="110" spans="2:14" ht="19" customHeight="1" x14ac:dyDescent="0.2">
      <c r="B110" s="291" t="s">
        <v>424</v>
      </c>
      <c r="C110" s="1030" t="str">
        <f ca="1">+CONCATENATE(TEXT(Budget!$M$88,"$0,000")," pu"," / ",TEXT(Budget!$M$86,"$0.0")," pgsf")</f>
        <v>$158,355 pu / $185.4 pgsf</v>
      </c>
      <c r="D110" s="1030"/>
      <c r="E110" s="1030" t="str">
        <f ca="1">+CONCATENATE(TEXT(Budget!$M$87,"$0,000")," pu"," / ",TEXT(Budget!$M$85,"$0.0")," pgsf")</f>
        <v>$195,926 pu / $229.4 pgsf</v>
      </c>
      <c r="F110" s="1030"/>
      <c r="G110" s="384">
        <f ca="1">+Budget!M82</f>
        <v>74157038.432284564</v>
      </c>
      <c r="I110" s="252"/>
      <c r="J110" s="331"/>
      <c r="K110" s="331"/>
      <c r="L110" s="331"/>
      <c r="M110" s="331"/>
      <c r="N110" s="335"/>
    </row>
    <row r="111" spans="2:14" ht="19" customHeight="1" x14ac:dyDescent="0.2">
      <c r="B111" s="291" t="s">
        <v>425</v>
      </c>
      <c r="C111" s="1034" t="s">
        <v>491</v>
      </c>
      <c r="D111" s="1034"/>
      <c r="E111" s="1034" t="s">
        <v>491</v>
      </c>
      <c r="F111" s="1034"/>
      <c r="G111" s="385" t="s">
        <v>491</v>
      </c>
      <c r="I111" s="252"/>
      <c r="J111" s="331"/>
      <c r="K111" s="331"/>
      <c r="L111" s="331"/>
      <c r="M111" s="331"/>
      <c r="N111" s="335"/>
    </row>
    <row r="112" spans="2:14" ht="19" customHeight="1" x14ac:dyDescent="0.2">
      <c r="B112" s="291" t="s">
        <v>24</v>
      </c>
      <c r="C112" s="1031">
        <f ca="1">+Budget!$R$86</f>
        <v>181.32830176981111</v>
      </c>
      <c r="D112" s="1031"/>
      <c r="E112" s="1031">
        <f ca="1">+Budget!$R$85</f>
        <v>244.02195515161114</v>
      </c>
      <c r="F112" s="1031"/>
      <c r="G112" s="384">
        <f ca="1">+Budget!R82</f>
        <v>297243658.72763836</v>
      </c>
      <c r="I112" s="394"/>
      <c r="J112" s="332"/>
      <c r="K112" s="332"/>
      <c r="L112" s="332"/>
      <c r="M112" s="332"/>
      <c r="N112" s="333"/>
    </row>
    <row r="113" spans="2:14" ht="19" customHeight="1" thickBot="1" x14ac:dyDescent="0.25">
      <c r="B113" s="291" t="s">
        <v>494</v>
      </c>
      <c r="C113" s="1031">
        <f ca="1">+SUM(Budget!$O$45,Budget!$Q$45)/SUM(Budget!$O$11:$O$19,Budget!$Q$11:$Q$19)</f>
        <v>178.52402355179893</v>
      </c>
      <c r="D113" s="1031"/>
      <c r="E113" s="1031">
        <f ca="1">+SUM(Budget!$O$82,Budget!$Q$82)/SUM(Budget!$O$11:$O$19,Budget!$Q$11:$Q$19)</f>
        <v>234.22685048078728</v>
      </c>
      <c r="F113" s="1031"/>
      <c r="G113" s="384">
        <f ca="1">+SUM(Budget!Q82,Budget!O82)</f>
        <v>148509192.27883837</v>
      </c>
      <c r="I113" s="396" t="s">
        <v>36</v>
      </c>
      <c r="J113" s="397"/>
      <c r="K113" s="1029" t="s">
        <v>505</v>
      </c>
      <c r="L113" s="1029"/>
      <c r="M113" s="1029" t="s">
        <v>506</v>
      </c>
      <c r="N113" s="1029"/>
    </row>
    <row r="114" spans="2:14" ht="19" customHeight="1" x14ac:dyDescent="0.2">
      <c r="B114" s="291" t="s">
        <v>26</v>
      </c>
      <c r="C114" s="1031">
        <f ca="1">+Budget!$P$86</f>
        <v>198.11095465308128</v>
      </c>
      <c r="D114" s="1031"/>
      <c r="E114" s="1030" t="str">
        <f ca="1">+CONCATENATE(TEXT(Budget!$P$87,"$0,000")," pu"," / ",TEXT(Budget!$P$85,"$0.0")," pgsf")</f>
        <v>$152,727 pu / $262.1 pgsf</v>
      </c>
      <c r="F114" s="1030"/>
      <c r="G114" s="384">
        <f ca="1">+Budget!P82</f>
        <v>94074683.365725368</v>
      </c>
      <c r="I114" s="252" t="s">
        <v>508</v>
      </c>
      <c r="J114" s="331"/>
      <c r="K114" s="1006">
        <f ca="1">+'S&amp;U'!G17</f>
        <v>611344074.74947345</v>
      </c>
      <c r="L114" s="1007"/>
      <c r="M114" s="1006">
        <v>0</v>
      </c>
      <c r="N114" s="1007"/>
    </row>
    <row r="115" spans="2:14" ht="19" customHeight="1" x14ac:dyDescent="0.2">
      <c r="B115" s="291" t="s">
        <v>27</v>
      </c>
      <c r="C115" s="1030" t="str">
        <f ca="1">+CONCATENATE(TEXT(Budget!$T$88,"$0,000")," per space"," / ",TEXT(Budget!$T$86,"$0.0")," pgsf")</f>
        <v>$17,938 per space / $54.4 pgsf</v>
      </c>
      <c r="D115" s="1030"/>
      <c r="E115" s="1030" t="str">
        <f ca="1">+CONCATENATE(TEXT(Budget!$T$87,"$0,000")," per space"," / ",TEXT(Budget!$T$85,"$0.0")," pgsf")</f>
        <v>$31,482 per space / $95.4 pgsf</v>
      </c>
      <c r="F115" s="1030"/>
      <c r="G115" s="384">
        <f ca="1">+Budget!T82</f>
        <v>22609862.682084691</v>
      </c>
      <c r="I115" s="252" t="s">
        <v>263</v>
      </c>
      <c r="J115" s="331"/>
      <c r="K115" s="1006">
        <v>0</v>
      </c>
      <c r="L115" s="1007"/>
      <c r="M115" s="1006">
        <f ca="1">+'S&amp;U'!Q17</f>
        <v>570104493.68010163</v>
      </c>
      <c r="N115" s="1007"/>
    </row>
    <row r="116" spans="2:14" ht="19" customHeight="1" x14ac:dyDescent="0.2">
      <c r="B116" s="291" t="s">
        <v>28</v>
      </c>
      <c r="C116" s="1030" t="str">
        <f ca="1">+CONCATENATE(TEXT(Budget!$U$88,"$0,000")," per space"," / ",TEXT(Budget!$U$86,"$0.0")," pgsf")</f>
        <v>$3,751 per space / $11.4 pgsf</v>
      </c>
      <c r="D116" s="1030"/>
      <c r="E116" s="1030" t="str">
        <f ca="1">+CONCATENATE(TEXT(Budget!$U$87,"$0,000")," per space"," / ",TEXT(Budget!$U$85,"$0.0")," pgsf")</f>
        <v>$19,328 per space / $58.6 pgsf</v>
      </c>
      <c r="F116" s="1030"/>
      <c r="G116" s="384">
        <f ca="1">+Budget!U82</f>
        <v>8785610.7485778909</v>
      </c>
      <c r="I116" s="252" t="s">
        <v>509</v>
      </c>
      <c r="J116" s="331"/>
      <c r="K116" s="1006">
        <v>0</v>
      </c>
      <c r="L116" s="1007"/>
      <c r="M116" s="1006">
        <f ca="1">+'S&amp;U'!Q18</f>
        <v>106156328.72090535</v>
      </c>
      <c r="N116" s="1007"/>
    </row>
    <row r="117" spans="2:14" ht="19" customHeight="1" x14ac:dyDescent="0.2">
      <c r="B117" s="291" t="s">
        <v>235</v>
      </c>
      <c r="C117" s="1031">
        <f ca="1">+Budget!$S$86</f>
        <v>125.02091447999999</v>
      </c>
      <c r="D117" s="1031"/>
      <c r="E117" s="1031">
        <f ca="1">+Budget!$S$85</f>
        <v>184.50167133200409</v>
      </c>
      <c r="F117" s="1031"/>
      <c r="G117" s="384">
        <f ca="1">+Budget!S82</f>
        <v>43289627.144628122</v>
      </c>
      <c r="I117" s="252" t="s">
        <v>510</v>
      </c>
      <c r="J117" s="331"/>
      <c r="K117" s="1006">
        <v>0</v>
      </c>
      <c r="L117" s="1007"/>
      <c r="M117" s="1006">
        <f ca="1">+'S&amp;U'!Q19</f>
        <v>39065366.330291457</v>
      </c>
      <c r="N117" s="1007"/>
    </row>
    <row r="118" spans="2:14" ht="19" customHeight="1" x14ac:dyDescent="0.2">
      <c r="B118" s="1032" t="s">
        <v>625</v>
      </c>
      <c r="C118" s="1032"/>
      <c r="D118" s="1032"/>
      <c r="E118" s="1032"/>
      <c r="F118" s="1032"/>
      <c r="G118" s="1032"/>
      <c r="I118" s="335"/>
      <c r="J118" s="331"/>
      <c r="K118" s="331"/>
      <c r="L118" s="335"/>
      <c r="M118" s="335"/>
      <c r="N118" s="335"/>
    </row>
    <row r="119" spans="2:14" ht="19" customHeight="1" x14ac:dyDescent="0.2">
      <c r="B119" s="291"/>
      <c r="C119" s="382"/>
      <c r="D119" s="382"/>
      <c r="E119" s="382"/>
      <c r="F119" s="382"/>
      <c r="G119" s="386"/>
      <c r="I119" s="335"/>
      <c r="J119" s="331"/>
      <c r="K119" s="331"/>
      <c r="L119" s="335"/>
      <c r="M119" s="335"/>
      <c r="N119" s="335"/>
    </row>
    <row r="120" spans="2:14" ht="19" customHeight="1" x14ac:dyDescent="0.2">
      <c r="B120" s="388" t="s">
        <v>8</v>
      </c>
      <c r="C120" s="388"/>
      <c r="D120" s="1025" t="s">
        <v>41</v>
      </c>
      <c r="E120" s="1025"/>
      <c r="F120" s="1026" t="s">
        <v>43</v>
      </c>
      <c r="G120" s="1026"/>
      <c r="I120" s="331"/>
      <c r="J120" s="331"/>
      <c r="K120" s="331"/>
      <c r="L120" s="331"/>
      <c r="M120" s="331"/>
      <c r="N120" s="335"/>
    </row>
    <row r="121" spans="2:14" ht="19" customHeight="1" x14ac:dyDescent="0.2">
      <c r="B121" s="337" t="s">
        <v>44</v>
      </c>
      <c r="D121" s="1027">
        <f>+SUM(Infra!J12:J14)</f>
        <v>17114000</v>
      </c>
      <c r="E121" s="1028"/>
      <c r="F121" s="1009">
        <f>+SUM(Infra!J10)</f>
        <v>1498000</v>
      </c>
      <c r="G121" s="1010"/>
      <c r="I121" s="332"/>
      <c r="J121" s="332"/>
      <c r="K121" s="332"/>
      <c r="L121" s="332"/>
      <c r="M121" s="332"/>
      <c r="N121" s="333"/>
    </row>
    <row r="122" spans="2:14" ht="19" customHeight="1" thickBot="1" x14ac:dyDescent="0.25">
      <c r="B122" s="337" t="s">
        <v>38</v>
      </c>
      <c r="D122" s="1008">
        <v>0</v>
      </c>
      <c r="E122" s="1008"/>
      <c r="F122" s="1027">
        <f>+Infra!$J$17+SUM(Infra!J19:$J$22)</f>
        <v>7102850</v>
      </c>
      <c r="G122" s="1027"/>
      <c r="I122" s="396" t="s">
        <v>507</v>
      </c>
      <c r="J122" s="397"/>
      <c r="K122" s="1029" t="s">
        <v>505</v>
      </c>
      <c r="L122" s="1029"/>
      <c r="M122" s="1029" t="s">
        <v>506</v>
      </c>
      <c r="N122" s="1029"/>
    </row>
    <row r="123" spans="2:14" ht="19" customHeight="1" x14ac:dyDescent="0.2">
      <c r="B123" s="337" t="s">
        <v>40</v>
      </c>
      <c r="D123" s="1008">
        <f>+Infra!J8</f>
        <v>5700000</v>
      </c>
      <c r="E123" s="1008"/>
      <c r="F123" s="1009">
        <f>+Infra!J7</f>
        <v>4530000</v>
      </c>
      <c r="G123" s="1010"/>
      <c r="I123" s="252" t="s">
        <v>98</v>
      </c>
      <c r="J123" s="331"/>
      <c r="K123" s="1006">
        <f ca="1">+'S&amp;U'!G18</f>
        <v>182048916.48680323</v>
      </c>
      <c r="L123" s="1007"/>
      <c r="M123" s="1006">
        <f ca="1">+'S&amp;U'!Q20</f>
        <v>182048916.48680323</v>
      </c>
      <c r="N123" s="1007"/>
    </row>
    <row r="124" spans="2:14" ht="19" customHeight="1" x14ac:dyDescent="0.2">
      <c r="B124" s="337" t="s">
        <v>39</v>
      </c>
      <c r="D124" s="1008">
        <v>0</v>
      </c>
      <c r="E124" s="1008"/>
      <c r="F124" s="1009">
        <f>+Infra!J6</f>
        <v>16710000</v>
      </c>
      <c r="G124" s="1010"/>
      <c r="I124" s="252" t="s">
        <v>622</v>
      </c>
      <c r="J124" s="331"/>
      <c r="K124" s="1006">
        <f>+'S&amp;U'!G20</f>
        <v>32172132.924260452</v>
      </c>
      <c r="L124" s="1007"/>
      <c r="M124" s="1006">
        <f>+'S&amp;U'!Q22</f>
        <v>32172132.924260452</v>
      </c>
      <c r="N124" s="1007"/>
    </row>
    <row r="125" spans="2:14" ht="19" customHeight="1" x14ac:dyDescent="0.2">
      <c r="B125" s="405" t="s">
        <v>605</v>
      </c>
      <c r="D125" s="1008">
        <v>0</v>
      </c>
      <c r="E125" s="1008"/>
      <c r="F125" s="1016">
        <f>+Infra!J23</f>
        <v>38054686.131914899</v>
      </c>
      <c r="G125" s="1017"/>
      <c r="I125" s="252" t="s">
        <v>621</v>
      </c>
      <c r="J125" s="331"/>
      <c r="K125" s="1006">
        <f>+'S&amp;U'!G21</f>
        <v>11076000.000062399</v>
      </c>
      <c r="L125" s="1007"/>
      <c r="M125" s="1006">
        <f>+'S&amp;U'!Q23</f>
        <v>11076000.000062399</v>
      </c>
      <c r="N125" s="1007"/>
    </row>
    <row r="126" spans="2:14" ht="19" customHeight="1" x14ac:dyDescent="0.2">
      <c r="B126" s="337" t="s">
        <v>523</v>
      </c>
      <c r="D126" s="1008">
        <v>0</v>
      </c>
      <c r="E126" s="1008"/>
      <c r="F126" s="1016">
        <f>+Infra!J15</f>
        <v>4000000</v>
      </c>
      <c r="G126" s="1017"/>
      <c r="I126" s="229" t="s">
        <v>614</v>
      </c>
      <c r="K126" s="998">
        <f ca="1">+'S&amp;U'!G22</f>
        <v>3256330.7674772362</v>
      </c>
      <c r="L126" s="999"/>
      <c r="M126" s="998">
        <f ca="1">+'S&amp;U'!Q24</f>
        <v>3256330.7674772362</v>
      </c>
      <c r="N126" s="999"/>
    </row>
    <row r="127" spans="2:14" ht="19" customHeight="1" x14ac:dyDescent="0.2">
      <c r="B127" s="330" t="s">
        <v>53</v>
      </c>
      <c r="C127" s="330"/>
      <c r="D127" s="1022"/>
      <c r="E127" s="1022"/>
      <c r="F127" s="1023">
        <f>+Budget!G23</f>
        <v>16840711.107142858</v>
      </c>
      <c r="G127" s="1024"/>
      <c r="I127" s="252"/>
      <c r="J127" s="331"/>
      <c r="K127" s="384"/>
      <c r="L127" s="331"/>
      <c r="M127" s="384"/>
      <c r="N127" s="331"/>
    </row>
    <row r="128" spans="2:14" ht="19" customHeight="1" x14ac:dyDescent="0.2">
      <c r="B128" s="391" t="s">
        <v>606</v>
      </c>
      <c r="C128" s="391"/>
      <c r="D128" s="1021">
        <f>+SUM(D121:E126)+D127</f>
        <v>22814000</v>
      </c>
      <c r="E128" s="1021"/>
      <c r="F128" s="1021">
        <f>+SUM(F121:G126)+F127</f>
        <v>88736247.23905775</v>
      </c>
      <c r="G128" s="1021"/>
      <c r="I128" s="332"/>
      <c r="J128" s="332"/>
      <c r="K128" s="332"/>
      <c r="L128" s="332"/>
      <c r="M128" s="332"/>
      <c r="N128" s="333"/>
    </row>
    <row r="129" spans="2:14" ht="19" customHeight="1" x14ac:dyDescent="0.2">
      <c r="B129" s="400" t="s">
        <v>3</v>
      </c>
      <c r="C129" s="400"/>
      <c r="D129" s="1018"/>
      <c r="E129" s="1018"/>
      <c r="F129" s="1019">
        <f ca="1">+SUM(G107:G117)</f>
        <v>1018906791.2491225</v>
      </c>
      <c r="G129" s="1020"/>
      <c r="H129" s="255"/>
      <c r="I129" s="398" t="s">
        <v>96</v>
      </c>
      <c r="J129" s="399"/>
      <c r="K129" s="1035">
        <f ca="1">+SUM(K123:L126,K114:L117,K108)</f>
        <v>1018906791.2491224</v>
      </c>
      <c r="L129" s="1036"/>
      <c r="M129" s="1035">
        <f ca="1">+SUM(M123:N126,M114:N117,M108)</f>
        <v>1018906791.2491225</v>
      </c>
      <c r="N129" s="1036"/>
    </row>
    <row r="130" spans="2:14" ht="19" customHeight="1" x14ac:dyDescent="0.2">
      <c r="D130" s="256"/>
      <c r="E130" s="257"/>
    </row>
    <row r="131" spans="2:14" ht="16" customHeight="1" x14ac:dyDescent="0.2">
      <c r="D131" s="256"/>
      <c r="E131" s="257"/>
    </row>
    <row r="132" spans="2:14" ht="16" customHeight="1" x14ac:dyDescent="0.2">
      <c r="D132" s="256"/>
      <c r="E132" s="257"/>
    </row>
    <row r="133" spans="2:14" ht="16" customHeight="1" x14ac:dyDescent="0.2">
      <c r="D133" s="256"/>
      <c r="E133" s="257"/>
    </row>
    <row r="134" spans="2:14" ht="16" customHeight="1" x14ac:dyDescent="0.2"/>
    <row r="135" spans="2:14" ht="16" customHeight="1" x14ac:dyDescent="0.2"/>
    <row r="136" spans="2:14" ht="16" customHeight="1" x14ac:dyDescent="0.2"/>
    <row r="137" spans="2:14" ht="16" customHeight="1" x14ac:dyDescent="0.2"/>
    <row r="138" spans="2:14" ht="16" customHeight="1" x14ac:dyDescent="0.2"/>
    <row r="139" spans="2:14" ht="16" customHeight="1" x14ac:dyDescent="0.2"/>
    <row r="140" spans="2:14" ht="16" customHeight="1" x14ac:dyDescent="0.2"/>
    <row r="141" spans="2:14" ht="16" customHeight="1" x14ac:dyDescent="0.2"/>
    <row r="142" spans="2:14" ht="16" customHeight="1" x14ac:dyDescent="0.2"/>
    <row r="143" spans="2:14" ht="16" customHeight="1" x14ac:dyDescent="0.2"/>
    <row r="144" spans="2:14" ht="16" customHeight="1" x14ac:dyDescent="0.2"/>
    <row r="145" ht="16" customHeight="1" x14ac:dyDescent="0.2"/>
    <row r="146" ht="16" customHeight="1" x14ac:dyDescent="0.2"/>
    <row r="147" ht="16" customHeight="1" x14ac:dyDescent="0.2"/>
    <row r="148" ht="16" customHeight="1" x14ac:dyDescent="0.2"/>
  </sheetData>
  <mergeCells count="89">
    <mergeCell ref="K114:L114"/>
    <mergeCell ref="M114:N114"/>
    <mergeCell ref="K113:L113"/>
    <mergeCell ref="M113:N113"/>
    <mergeCell ref="E112:F112"/>
    <mergeCell ref="E113:F113"/>
    <mergeCell ref="E114:F114"/>
    <mergeCell ref="K107:L107"/>
    <mergeCell ref="M107:N107"/>
    <mergeCell ref="K108:L108"/>
    <mergeCell ref="M108:N108"/>
    <mergeCell ref="K129:L129"/>
    <mergeCell ref="M129:N129"/>
    <mergeCell ref="K115:L115"/>
    <mergeCell ref="M115:N115"/>
    <mergeCell ref="K116:L116"/>
    <mergeCell ref="M116:N116"/>
    <mergeCell ref="M117:N117"/>
    <mergeCell ref="M123:N123"/>
    <mergeCell ref="K117:L117"/>
    <mergeCell ref="M122:N122"/>
    <mergeCell ref="K124:L124"/>
    <mergeCell ref="M124:N124"/>
    <mergeCell ref="E115:F115"/>
    <mergeCell ref="C107:D107"/>
    <mergeCell ref="C108:D108"/>
    <mergeCell ref="C109:D109"/>
    <mergeCell ref="E107:F107"/>
    <mergeCell ref="E108:F108"/>
    <mergeCell ref="E109:F109"/>
    <mergeCell ref="E110:F110"/>
    <mergeCell ref="E111:F111"/>
    <mergeCell ref="C111:D111"/>
    <mergeCell ref="C110:D110"/>
    <mergeCell ref="C112:D112"/>
    <mergeCell ref="C113:D113"/>
    <mergeCell ref="C114:D114"/>
    <mergeCell ref="C115:D115"/>
    <mergeCell ref="E116:F116"/>
    <mergeCell ref="E117:F117"/>
    <mergeCell ref="C116:D116"/>
    <mergeCell ref="C117:D117"/>
    <mergeCell ref="B118:G118"/>
    <mergeCell ref="D123:E123"/>
    <mergeCell ref="F123:G123"/>
    <mergeCell ref="D120:E120"/>
    <mergeCell ref="F120:G120"/>
    <mergeCell ref="K123:L123"/>
    <mergeCell ref="D121:E121"/>
    <mergeCell ref="F121:G121"/>
    <mergeCell ref="F122:G122"/>
    <mergeCell ref="D122:E122"/>
    <mergeCell ref="K122:L122"/>
    <mergeCell ref="F125:G125"/>
    <mergeCell ref="D129:E129"/>
    <mergeCell ref="F129:G129"/>
    <mergeCell ref="D126:E126"/>
    <mergeCell ref="D128:E128"/>
    <mergeCell ref="F128:G128"/>
    <mergeCell ref="D127:E127"/>
    <mergeCell ref="F127:G127"/>
    <mergeCell ref="F126:G126"/>
    <mergeCell ref="I4:J4"/>
    <mergeCell ref="K4:L4"/>
    <mergeCell ref="M4:N4"/>
    <mergeCell ref="B70:N70"/>
    <mergeCell ref="B71:N71"/>
    <mergeCell ref="B13:C13"/>
    <mergeCell ref="B14:C14"/>
    <mergeCell ref="B25:C25"/>
    <mergeCell ref="B24:C24"/>
    <mergeCell ref="B58:C58"/>
    <mergeCell ref="B28:N28"/>
    <mergeCell ref="K126:L126"/>
    <mergeCell ref="M126:N126"/>
    <mergeCell ref="I73:J73"/>
    <mergeCell ref="K73:L73"/>
    <mergeCell ref="M73:N73"/>
    <mergeCell ref="E74:N74"/>
    <mergeCell ref="I106:K106"/>
    <mergeCell ref="L106:M106"/>
    <mergeCell ref="E106:F106"/>
    <mergeCell ref="B103:N103"/>
    <mergeCell ref="C106:D106"/>
    <mergeCell ref="K125:L125"/>
    <mergeCell ref="M125:N125"/>
    <mergeCell ref="D124:E124"/>
    <mergeCell ref="F124:G124"/>
    <mergeCell ref="D125:E125"/>
  </mergeCells>
  <phoneticPr fontId="62" type="noConversion"/>
  <pageMargins left="0.25" right="0.25" top="0.75" bottom="0.75" header="0.3" footer="0.3"/>
  <pageSetup paperSize="3" scale="43" orientation="portrait" r:id="rId1"/>
  <headerFooter alignWithMargins="0">
    <oddHeader xml:space="preserve">&amp;L&amp;"Arial,Bold"2017 ULI Hines Student Competition&amp;RTeam &amp;A </oddHeader>
  </headerFooter>
  <rowBreaks count="1" manualBreakCount="1">
    <brk id="129" max="14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1:T280"/>
  <sheetViews>
    <sheetView showGridLines="0" topLeftCell="A57" zoomScale="58" workbookViewId="0">
      <selection activeCell="H71" sqref="H71"/>
    </sheetView>
  </sheetViews>
  <sheetFormatPr baseColWidth="10" defaultColWidth="14.5" defaultRowHeight="16" customHeight="1" outlineLevelRow="1" x14ac:dyDescent="0.15"/>
  <cols>
    <col min="1" max="1" width="8.5" customWidth="1"/>
    <col min="2" max="2" width="36.1640625" customWidth="1"/>
    <col min="3" max="4" width="14.5" customWidth="1"/>
    <col min="5" max="5" width="18.1640625" customWidth="1"/>
    <col min="6" max="8" width="24.6640625" customWidth="1"/>
    <col min="11" max="14" width="14.5" customWidth="1"/>
    <col min="18" max="18" width="27.6640625" customWidth="1"/>
  </cols>
  <sheetData>
    <row r="1" spans="2:19" ht="13" x14ac:dyDescent="0.15"/>
    <row r="2" spans="2:19" ht="13" x14ac:dyDescent="0.15">
      <c r="I2" s="195"/>
      <c r="J2" s="195"/>
    </row>
    <row r="3" spans="2:19" x14ac:dyDescent="0.2">
      <c r="B3" s="36" t="s">
        <v>262</v>
      </c>
      <c r="C3" s="37"/>
      <c r="D3" s="37"/>
      <c r="E3" s="36" t="s">
        <v>17</v>
      </c>
      <c r="F3" s="45" t="str">
        <f ca="1">+F$3</f>
        <v>I</v>
      </c>
      <c r="G3" s="45" t="str">
        <f ca="1">+G$3</f>
        <v>II</v>
      </c>
      <c r="H3" s="45" t="str">
        <f ca="1">+H$3</f>
        <v>III</v>
      </c>
      <c r="I3" s="1000" t="str">
        <f ca="1">+I$3</f>
        <v>I</v>
      </c>
      <c r="J3" s="1000"/>
      <c r="K3" s="1000" t="s">
        <v>240</v>
      </c>
      <c r="L3" s="1000"/>
      <c r="M3" s="1000" t="s">
        <v>241</v>
      </c>
      <c r="N3" s="1000"/>
    </row>
    <row r="4" spans="2:19" outlineLevel="1" x14ac:dyDescent="0.2">
      <c r="B4" s="160" t="s">
        <v>263</v>
      </c>
      <c r="C4" s="157"/>
      <c r="D4" s="158"/>
      <c r="E4" s="159"/>
      <c r="F4" s="161" t="str">
        <f ca="1">+F$3</f>
        <v>I</v>
      </c>
      <c r="G4" s="161" t="str">
        <f ca="1">+G$3</f>
        <v>II</v>
      </c>
      <c r="H4" s="161" t="str">
        <f ca="1">+H$3</f>
        <v>III</v>
      </c>
      <c r="I4" s="45" t="s">
        <v>323</v>
      </c>
      <c r="J4" s="45" t="s">
        <v>324</v>
      </c>
      <c r="K4" s="45" t="s">
        <v>323</v>
      </c>
      <c r="L4" s="45" t="s">
        <v>324</v>
      </c>
      <c r="M4" s="45" t="s">
        <v>323</v>
      </c>
      <c r="N4" s="45" t="s">
        <v>324</v>
      </c>
    </row>
    <row r="5" spans="2:19" x14ac:dyDescent="0.2">
      <c r="B5" s="827" t="s">
        <v>798</v>
      </c>
      <c r="C5" s="828"/>
      <c r="D5" s="829"/>
      <c r="E5" s="830"/>
      <c r="F5" s="831"/>
      <c r="G5" s="831"/>
      <c r="H5" s="831"/>
      <c r="I5" s="45"/>
      <c r="J5" s="45"/>
      <c r="K5" s="45"/>
      <c r="L5" s="45"/>
      <c r="M5" s="45"/>
      <c r="N5" s="45"/>
    </row>
    <row r="6" spans="2:19" x14ac:dyDescent="0.2">
      <c r="B6" s="32" t="s">
        <v>265</v>
      </c>
      <c r="C6" s="32"/>
      <c r="D6" s="39"/>
      <c r="E6" s="47">
        <f t="shared" ref="E6:E11" ca="1" si="0">+SUM(F6:H6)</f>
        <v>16329399.573737863</v>
      </c>
      <c r="F6" s="33">
        <f ca="1">+INDEX('Phase I Pro Forma'!$F$28:$Z$28,1,MATCH(1,'Phase I Pro Forma'!$F$3:$Z$3,0))</f>
        <v>7367253.5039282991</v>
      </c>
      <c r="G6" s="33">
        <f ca="1">+INDEX('Phase II Pro Forma'!$F$28:$Z$28,1,MATCH(1,'Phase II Pro Forma'!$F$3:$Z$3,0))</f>
        <v>3904161.8029663316</v>
      </c>
      <c r="H6" s="33">
        <f ca="1">+INDEX('Phase III Pro Forma'!$F$28:$Z$28,1,MATCH(1,'Phase III Pro Forma'!$F$3:$Z$3,0))</f>
        <v>5057984.2668432295</v>
      </c>
      <c r="I6" s="40"/>
      <c r="J6" s="115">
        <f t="shared" ref="J6:J11" ca="1" si="1">+F6/$F$65</f>
        <v>1.7863114000872753E-2</v>
      </c>
      <c r="K6" s="40"/>
      <c r="L6" s="115">
        <f t="shared" ref="L6:L11" ca="1" si="2">+G6/$G$65</f>
        <v>1.6328898678399217E-2</v>
      </c>
      <c r="M6" s="40"/>
      <c r="N6" s="115">
        <f t="shared" ref="N6:N11" ca="1" si="3">+H6/$H$65</f>
        <v>1.178310407299424E-2</v>
      </c>
      <c r="O6" s="33"/>
      <c r="R6" s="40"/>
      <c r="S6" s="115"/>
    </row>
    <row r="7" spans="2:19" x14ac:dyDescent="0.2">
      <c r="B7" s="32" t="s">
        <v>267</v>
      </c>
      <c r="C7" s="32"/>
      <c r="D7" s="39"/>
      <c r="E7" s="47">
        <f t="shared" ca="1" si="0"/>
        <v>358023801.17890537</v>
      </c>
      <c r="F7" s="33">
        <f ca="1">+INDEX('Phase I Pro Forma'!$F$51:$Z$51,1,MATCH(1,'Phase I Pro Forma'!$F$3:$Z$3,0))</f>
        <v>134795657.63661441</v>
      </c>
      <c r="G7" s="33">
        <f ca="1">+INDEX('Phase II Pro Forma'!$F$51:$Z$51,1,MATCH(1,'Phase II Pro Forma'!$F$3:$Z$3,0))</f>
        <v>97278514.007811472</v>
      </c>
      <c r="H7" s="33">
        <f ca="1">+INDEX('Phase III Pro Forma'!$F$51:$Z$51,1,MATCH(1,'Phase III Pro Forma'!$F$3:$Z$3,0))</f>
        <v>125949629.53447948</v>
      </c>
      <c r="I7" s="40"/>
      <c r="J7" s="115">
        <f t="shared" ca="1" si="1"/>
        <v>0.32683417204275039</v>
      </c>
      <c r="K7" s="40"/>
      <c r="L7" s="115">
        <f t="shared" ca="1" si="2"/>
        <v>0.40686095479237261</v>
      </c>
      <c r="M7" s="40"/>
      <c r="N7" s="115">
        <f t="shared" ca="1" si="3"/>
        <v>0.29341285272246959</v>
      </c>
      <c r="O7" s="33"/>
      <c r="R7" s="40"/>
      <c r="S7" s="115"/>
    </row>
    <row r="8" spans="2:19" x14ac:dyDescent="0.2">
      <c r="B8" s="32" t="s">
        <v>268</v>
      </c>
      <c r="C8" s="32"/>
      <c r="D8" s="39"/>
      <c r="E8" s="47">
        <f t="shared" ca="1" si="0"/>
        <v>126789092.81470382</v>
      </c>
      <c r="F8" s="33">
        <f ca="1">+INDEX('Phase I Pro Forma'!$F$72:$Z$72,1,MATCH(1,'Phase I Pro Forma'!$F$3:$Z$3,0))</f>
        <v>61577054.621789433</v>
      </c>
      <c r="G8" s="33">
        <f ca="1">+INDEX('Phase II Pro Forma'!$F$72:$Z$72,1,MATCH(1,'Phase II Pro Forma'!$F$3:$Z$3,0))</f>
        <v>42577454.084652245</v>
      </c>
      <c r="H8" s="33">
        <f ca="1">+INDEX('Phase III Pro Forma'!$F$72:$Z$72,1,MATCH(1,'Phase III Pro Forma'!$F$3:$Z$3,0))</f>
        <v>22634584.108262144</v>
      </c>
      <c r="I8" s="40"/>
      <c r="J8" s="115">
        <f t="shared" ca="1" si="1"/>
        <v>0.14930366465067121</v>
      </c>
      <c r="K8" s="40"/>
      <c r="L8" s="115">
        <f t="shared" ca="1" si="2"/>
        <v>0.17807738736756373</v>
      </c>
      <c r="M8" s="40"/>
      <c r="N8" s="115">
        <f t="shared" ca="1" si="3"/>
        <v>5.2729634203281084E-2</v>
      </c>
      <c r="O8" s="33"/>
      <c r="R8" s="40"/>
      <c r="S8" s="115"/>
    </row>
    <row r="9" spans="2:19" x14ac:dyDescent="0.2">
      <c r="B9" s="32" t="s">
        <v>269</v>
      </c>
      <c r="C9" s="32"/>
      <c r="D9" s="39"/>
      <c r="E9" s="47">
        <f t="shared" ca="1" si="0"/>
        <v>13699000.000000004</v>
      </c>
      <c r="F9" s="33">
        <f ca="1">+INDEX('Phase I Pro Forma'!$F$93:$Z$93,1,MATCH(1,'Phase I Pro Forma'!$F$3:$Z$3,0))</f>
        <v>2691666.6666666665</v>
      </c>
      <c r="G9" s="33">
        <f ca="1">+INDEX('Phase II Pro Forma'!$F$93:$Z$93,1,MATCH(1,'Phase II Pro Forma'!$F$3:$Z$3,0))</f>
        <v>0</v>
      </c>
      <c r="H9" s="33">
        <f ca="1">+INDEX('Phase III Pro Forma'!$F$93:$Z$93,1,MATCH(1,'Phase III Pro Forma'!$F$3:$Z$3,0))</f>
        <v>11007333.333333328</v>
      </c>
      <c r="I9" s="40"/>
      <c r="J9" s="115">
        <f t="shared" ca="1" si="1"/>
        <v>6.5263871391663432E-3</v>
      </c>
      <c r="K9" s="40"/>
      <c r="L9" s="115">
        <f t="shared" ca="1" si="2"/>
        <v>0</v>
      </c>
      <c r="M9" s="40"/>
      <c r="N9" s="115">
        <f t="shared" ca="1" si="3"/>
        <v>2.5642735799523045E-2</v>
      </c>
      <c r="O9" s="33"/>
      <c r="R9" s="40"/>
      <c r="S9" s="115"/>
    </row>
    <row r="10" spans="2:19" x14ac:dyDescent="0.2">
      <c r="B10" s="32" t="s">
        <v>270</v>
      </c>
      <c r="C10" s="32"/>
      <c r="D10" s="39"/>
      <c r="E10" s="47">
        <f t="shared" ca="1" si="0"/>
        <v>366520962.36519337</v>
      </c>
      <c r="F10" s="33">
        <f ca="1">+INDEX('Phase I Pro Forma'!$F$114:$Z$114,1,MATCH(1,'Phase I Pro Forma'!$F$3:$Z$3,0))</f>
        <v>126206389.68673135</v>
      </c>
      <c r="G10" s="33">
        <f ca="1">+INDEX('Phase II Pro Forma'!$F$114:$Z$114,1,MATCH(1,'Phase II Pro Forma'!$F$3:$Z$3,0))</f>
        <v>43207188.730298117</v>
      </c>
      <c r="H10" s="33">
        <f ca="1">+INDEX('Phase III Pro Forma'!$F$114:$Z$114,1,MATCH(1,'Phase III Pro Forma'!$F$3:$Z$3,0))</f>
        <v>197107383.94816387</v>
      </c>
      <c r="I10" s="40"/>
      <c r="J10" s="115">
        <f t="shared" ca="1" si="1"/>
        <v>0.30600808366517623</v>
      </c>
      <c r="K10" s="40"/>
      <c r="L10" s="115">
        <f t="shared" ca="1" si="2"/>
        <v>0.1807112108979349</v>
      </c>
      <c r="M10" s="40"/>
      <c r="N10" s="115">
        <f t="shared" ca="1" si="3"/>
        <v>0.45918229399048371</v>
      </c>
      <c r="O10" s="33"/>
      <c r="R10" s="40"/>
      <c r="S10" s="115"/>
    </row>
    <row r="11" spans="2:19" x14ac:dyDescent="0.2">
      <c r="B11" s="32" t="s">
        <v>271</v>
      </c>
      <c r="C11" s="32"/>
      <c r="D11" s="39"/>
      <c r="E11" s="47">
        <f t="shared" ca="1" si="0"/>
        <v>14636066.101993699</v>
      </c>
      <c r="F11" s="33">
        <f ca="1">+INDEX('Phase I Pro Forma'!$F$136:$Z$136,1,MATCH(1,'Phase I Pro Forma'!$F$3:$Z$3,0))</f>
        <v>2925073.3283755821</v>
      </c>
      <c r="G11" s="33">
        <f ca="1">+INDEX('Phase II Pro Forma'!$F$136:$Z$136,1,MATCH(1,'Phase II Pro Forma'!$F$3:$Z$3,0))</f>
        <v>3886555.5039668339</v>
      </c>
      <c r="H11" s="33">
        <f ca="1">+INDEX('Phase III Pro Forma'!$F$136:$Z$136,1,MATCH(1,'Phase III Pro Forma'!$F$3:$Z$3,0))</f>
        <v>7824437.2696512807</v>
      </c>
      <c r="I11" s="40"/>
      <c r="J11" s="115">
        <f t="shared" ca="1" si="1"/>
        <v>7.0923198581159955E-3</v>
      </c>
      <c r="K11" s="40"/>
      <c r="L11" s="115">
        <f t="shared" ca="1" si="2"/>
        <v>1.6255261496598512E-2</v>
      </c>
      <c r="M11" s="40"/>
      <c r="N11" s="115">
        <f t="shared" ca="1" si="3"/>
        <v>1.8227846074036338E-2</v>
      </c>
      <c r="O11" s="33"/>
      <c r="R11" s="40"/>
      <c r="S11" s="115"/>
    </row>
    <row r="12" spans="2:19" ht="5.25" customHeight="1" x14ac:dyDescent="0.2">
      <c r="B12" s="32"/>
      <c r="C12" s="32"/>
      <c r="D12" s="39"/>
      <c r="E12" s="47"/>
      <c r="F12" s="33"/>
      <c r="G12" s="33"/>
      <c r="H12" s="33"/>
      <c r="I12" s="40"/>
      <c r="J12" s="40"/>
      <c r="K12" s="40"/>
      <c r="L12" s="40"/>
      <c r="M12" s="40"/>
      <c r="N12" s="40"/>
      <c r="R12" s="40"/>
      <c r="S12" s="40"/>
    </row>
    <row r="13" spans="2:19" x14ac:dyDescent="0.2">
      <c r="B13" s="32" t="s">
        <v>182</v>
      </c>
      <c r="C13" s="32"/>
      <c r="D13" s="43"/>
      <c r="E13" s="151"/>
      <c r="F13" s="152">
        <f>+'Assumptions and Sensis'!N175</f>
        <v>0.65</v>
      </c>
      <c r="G13" s="152">
        <f>+'Assumptions and Sensis'!O175</f>
        <v>0.65</v>
      </c>
      <c r="H13" s="152">
        <f>+'Assumptions and Sensis'!P175</f>
        <v>0.65</v>
      </c>
      <c r="I13" s="40"/>
      <c r="J13" s="40"/>
      <c r="K13" s="40"/>
      <c r="L13" s="40"/>
      <c r="M13" s="40"/>
      <c r="N13" s="40"/>
      <c r="R13" s="40"/>
      <c r="S13" s="40"/>
    </row>
    <row r="14" spans="2:19" x14ac:dyDescent="0.2">
      <c r="B14" s="136" t="s">
        <v>272</v>
      </c>
      <c r="C14" s="136"/>
      <c r="D14" s="136"/>
      <c r="E14" s="35">
        <f ca="1">+SUM(F14:H14)</f>
        <v>582398909.32244718</v>
      </c>
      <c r="F14" s="128">
        <f ca="1">+F13*SUM(F6:F11)</f>
        <v>218116012.03866875</v>
      </c>
      <c r="G14" s="128">
        <f ca="1">+G13*SUM(G6:G11)</f>
        <v>124055018.18430173</v>
      </c>
      <c r="H14" s="128">
        <f ca="1">+H13*SUM(H6:H11)</f>
        <v>240227879.0994767</v>
      </c>
      <c r="I14" s="40"/>
      <c r="J14" s="40"/>
      <c r="K14" s="40"/>
      <c r="L14" s="40"/>
      <c r="M14" s="40"/>
      <c r="N14" s="40"/>
      <c r="R14" s="40"/>
      <c r="S14" s="40"/>
    </row>
    <row r="15" spans="2:19" x14ac:dyDescent="0.2">
      <c r="B15" s="324"/>
      <c r="C15" s="324"/>
      <c r="D15" s="324"/>
      <c r="E15" s="826"/>
      <c r="F15" s="326"/>
      <c r="G15" s="326"/>
      <c r="H15" s="326"/>
      <c r="I15" s="40"/>
      <c r="J15" s="40"/>
      <c r="K15" s="40"/>
      <c r="L15" s="40"/>
      <c r="M15" s="40"/>
      <c r="N15" s="40"/>
      <c r="R15" s="40"/>
      <c r="S15" s="40"/>
    </row>
    <row r="16" spans="2:19" x14ac:dyDescent="0.2">
      <c r="B16" s="825" t="s">
        <v>770</v>
      </c>
      <c r="D16" s="3"/>
      <c r="E16" s="2"/>
      <c r="I16" s="40"/>
      <c r="J16" s="40"/>
      <c r="K16" s="40"/>
      <c r="L16" s="40"/>
      <c r="M16" s="40"/>
      <c r="N16" s="40"/>
      <c r="R16" s="40"/>
      <c r="S16" s="40"/>
    </row>
    <row r="17" spans="2:19" x14ac:dyDescent="0.2">
      <c r="B17" s="32" t="s">
        <v>264</v>
      </c>
      <c r="C17" s="32"/>
      <c r="D17" s="39"/>
      <c r="E17" s="47">
        <f t="shared" ref="E17:E22" ca="1" si="4">+SUM(F17:H17)</f>
        <v>938940.47548992711</v>
      </c>
      <c r="F17" s="33">
        <f ca="1">+INDEX('Phase I Pro Forma'!$F$26:$Z$26,1,MATCH(1,'Phase I Pro Forma'!$F$3:$Z$3,0))</f>
        <v>423617.0764758772</v>
      </c>
      <c r="G17" s="33">
        <f ca="1">+INDEX('Phase II Pro Forma'!$F$26:$Z$26,1,MATCH(1,'Phase II Pro Forma'!$F$3:$Z$3,0))</f>
        <v>224489.30367056408</v>
      </c>
      <c r="H17" s="33">
        <f ca="1">+INDEX('Phase III Pro Forma'!$F$26:$Z$26,1,MATCH(1,'Phase III Pro Forma'!$F$3:$Z$3,0))</f>
        <v>290834.09534348571</v>
      </c>
      <c r="I17" s="115">
        <f t="shared" ref="I17:I22" ca="1" si="5">+F17/$F$64</f>
        <v>1.6344371739050026E-2</v>
      </c>
      <c r="J17" s="40"/>
      <c r="K17" s="115">
        <f t="shared" ref="K17:K22" ca="1" si="6">+G17/$G$64</f>
        <v>1.5047100409732415E-2</v>
      </c>
      <c r="L17" s="40"/>
      <c r="M17" s="115">
        <f t="shared" ref="M17:M22" ca="1" si="7">+H17/$H$64</f>
        <v>1.1116813523143965E-2</v>
      </c>
      <c r="N17" s="40"/>
      <c r="O17" s="33"/>
      <c r="R17" s="115"/>
      <c r="S17" s="40"/>
    </row>
    <row r="18" spans="2:19" x14ac:dyDescent="0.2">
      <c r="B18" s="32" t="s">
        <v>266</v>
      </c>
      <c r="C18" s="32"/>
      <c r="D18" s="39"/>
      <c r="E18" s="47">
        <f t="shared" ca="1" si="4"/>
        <v>19691309.064839795</v>
      </c>
      <c r="F18" s="33">
        <f ca="1">+INDEX('Phase I Pro Forma'!$F$49:$Z$49,1,MATCH(1,'Phase I Pro Forma'!$F$3:$Z$3,0))</f>
        <v>7413761.1700137928</v>
      </c>
      <c r="G18" s="33">
        <f ca="1">+INDEX('Phase II Pro Forma'!$F$49:$Z$49,1,MATCH(1,'Phase II Pro Forma'!$F$3:$Z$3,0))</f>
        <v>5350318.2704296308</v>
      </c>
      <c r="H18" s="33">
        <f ca="1">+INDEX('Phase III Pro Forma'!$F$49:$Z$49,1,MATCH(1,'Phase III Pro Forma'!$F$3:$Z$3,0))</f>
        <v>6927229.6243963717</v>
      </c>
      <c r="I18" s="115">
        <f t="shared" ca="1" si="5"/>
        <v>0.28604434352669467</v>
      </c>
      <c r="J18" s="40"/>
      <c r="K18" s="115">
        <f t="shared" ca="1" si="6"/>
        <v>0.35862188052096888</v>
      </c>
      <c r="L18" s="40"/>
      <c r="M18" s="115">
        <f t="shared" ca="1" si="7"/>
        <v>0.2647857359208966</v>
      </c>
      <c r="N18" s="40"/>
      <c r="R18" s="115"/>
      <c r="S18" s="40"/>
    </row>
    <row r="19" spans="2:19" x14ac:dyDescent="0.2">
      <c r="B19" s="32" t="s">
        <v>273</v>
      </c>
      <c r="C19" s="32"/>
      <c r="D19" s="39"/>
      <c r="E19" s="47">
        <f t="shared" ca="1" si="4"/>
        <v>8241291.032955749</v>
      </c>
      <c r="F19" s="33">
        <f ca="1">+INDEX('Phase I Pro Forma'!$F$70:$Z$70,1,MATCH(1,'Phase I Pro Forma'!$F$3:$Z$3,0))</f>
        <v>4002508.5504163131</v>
      </c>
      <c r="G19" s="33">
        <f ca="1">+INDEX('Phase II Pro Forma'!$F$70:$Z$70,1,MATCH(1,'Phase II Pro Forma'!$F$3:$Z$3,0))</f>
        <v>2767534.515502396</v>
      </c>
      <c r="H19" s="33">
        <f ca="1">+INDEX('Phase III Pro Forma'!$F$70:$Z$70,1,MATCH(1,'Phase III Pro Forma'!$F$3:$Z$3,0))</f>
        <v>1471247.9670370393</v>
      </c>
      <c r="I19" s="115">
        <f t="shared" ca="1" si="5"/>
        <v>0.15442835350490344</v>
      </c>
      <c r="J19" s="40"/>
      <c r="K19" s="115">
        <f t="shared" ca="1" si="6"/>
        <v>0.18550269015612411</v>
      </c>
      <c r="L19" s="40"/>
      <c r="M19" s="115">
        <f t="shared" ca="1" si="7"/>
        <v>5.6236835906529031E-2</v>
      </c>
      <c r="N19" s="40"/>
      <c r="R19" s="115"/>
      <c r="S19" s="40"/>
    </row>
    <row r="20" spans="2:19" x14ac:dyDescent="0.2">
      <c r="B20" s="32" t="s">
        <v>274</v>
      </c>
      <c r="C20" s="32"/>
      <c r="D20" s="39"/>
      <c r="E20" s="47">
        <f t="shared" ca="1" si="4"/>
        <v>924682.50000000035</v>
      </c>
      <c r="F20" s="33">
        <f ca="1">+INDEX('Phase I Pro Forma'!$F$91:$Z$91,1,MATCH(1,'Phase I Pro Forma'!$F$3:$Z$3,0))</f>
        <v>181687.5</v>
      </c>
      <c r="G20" s="33">
        <f ca="1">+INDEX('Phase II Pro Forma'!$F$91:$Z$91,1,MATCH(1,'Phase II Pro Forma'!$F$3:$Z$3,0))</f>
        <v>0</v>
      </c>
      <c r="H20" s="33">
        <f ca="1">+INDEX('Phase III Pro Forma'!$F$91:$Z$91,1,MATCH(1,'Phase III Pro Forma'!$F$3:$Z$3,0))</f>
        <v>742994.99999999965</v>
      </c>
      <c r="I20" s="115">
        <f t="shared" ca="1" si="5"/>
        <v>7.0100291164909003E-3</v>
      </c>
      <c r="J20" s="40"/>
      <c r="K20" s="115">
        <f t="shared" ca="1" si="6"/>
        <v>0</v>
      </c>
      <c r="L20" s="40"/>
      <c r="M20" s="115">
        <f t="shared" ca="1" si="7"/>
        <v>2.8400166953854892E-2</v>
      </c>
      <c r="N20" s="40"/>
      <c r="R20" s="115"/>
      <c r="S20" s="40"/>
    </row>
    <row r="21" spans="2:19" x14ac:dyDescent="0.2">
      <c r="B21" s="32" t="s">
        <v>275</v>
      </c>
      <c r="C21" s="32"/>
      <c r="D21" s="39"/>
      <c r="E21" s="47">
        <f t="shared" ca="1" si="4"/>
        <v>23823862.553737573</v>
      </c>
      <c r="F21" s="33">
        <f ca="1">+INDEX('Phase I Pro Forma'!$F$112:$Z$112,1,MATCH(1,'Phase I Pro Forma'!$F$3:$Z$3,0))</f>
        <v>8203415.3296375386</v>
      </c>
      <c r="G21" s="33">
        <f ca="1">+INDEX('Phase II Pro Forma'!$F$112:$Z$112,1,MATCH(1,'Phase II Pro Forma'!$F$3:$Z$3,0))</f>
        <v>2808467.2674693777</v>
      </c>
      <c r="H21" s="33">
        <f ca="1">+INDEX('Phase III Pro Forma'!$F$112:$Z$112,1,MATCH(1,'Phase III Pro Forma'!$F$3:$Z$3,0))</f>
        <v>12811979.956630651</v>
      </c>
      <c r="I21" s="115">
        <f t="shared" ca="1" si="5"/>
        <v>0.31651148436423499</v>
      </c>
      <c r="J21" s="40"/>
      <c r="K21" s="115">
        <f t="shared" ca="1" si="6"/>
        <v>0.18824633637366375</v>
      </c>
      <c r="L21" s="40"/>
      <c r="M21" s="115">
        <f t="shared" ca="1" si="7"/>
        <v>0.48972384710227285</v>
      </c>
      <c r="N21" s="40"/>
      <c r="R21" s="115"/>
      <c r="S21" s="40"/>
    </row>
    <row r="22" spans="2:19" x14ac:dyDescent="0.2">
      <c r="B22" s="32" t="s">
        <v>276</v>
      </c>
      <c r="C22" s="32"/>
      <c r="D22" s="39"/>
      <c r="E22" s="47">
        <f t="shared" ca="1" si="4"/>
        <v>951344.29662959045</v>
      </c>
      <c r="F22" s="33">
        <f ca="1">+INDEX('Phase I Pro Forma'!$F$134:$Z$134,1,MATCH(1,'Phase I Pro Forma'!$F$3:$Z$3,0))</f>
        <v>190129.76634441284</v>
      </c>
      <c r="G22" s="33">
        <f ca="1">+INDEX('Phase II Pro Forma'!$F$134:$Z$134,1,MATCH(1,'Phase II Pro Forma'!$F$3:$Z$3,0))</f>
        <v>252626.10775784421</v>
      </c>
      <c r="H22" s="33">
        <f ca="1">+INDEX('Phase III Pro Forma'!$F$134:$Z$134,1,MATCH(1,'Phase III Pro Forma'!$F$3:$Z$3,0))</f>
        <v>508588.42252733326</v>
      </c>
      <c r="I22" s="115">
        <f t="shared" ca="1" si="5"/>
        <v>7.3357561636653353E-3</v>
      </c>
      <c r="J22" s="40"/>
      <c r="K22" s="115">
        <f t="shared" ca="1" si="6"/>
        <v>1.6933058045075149E-2</v>
      </c>
      <c r="L22" s="40"/>
      <c r="M22" s="115">
        <f t="shared" ca="1" si="7"/>
        <v>1.9440233259408159E-2</v>
      </c>
      <c r="N22" s="40"/>
      <c r="R22" s="115"/>
      <c r="S22" s="40"/>
    </row>
    <row r="23" spans="2:19" ht="5.25" customHeight="1" x14ac:dyDescent="0.2">
      <c r="B23" s="32"/>
      <c r="C23" s="32"/>
      <c r="D23" s="39"/>
      <c r="E23" s="47"/>
      <c r="F23" s="33"/>
      <c r="G23" s="33"/>
      <c r="H23" s="33"/>
      <c r="I23" s="40"/>
      <c r="J23" s="40"/>
      <c r="K23" s="40"/>
      <c r="L23" s="40"/>
      <c r="M23" s="40"/>
      <c r="N23" s="40"/>
    </row>
    <row r="24" spans="2:19" x14ac:dyDescent="0.2">
      <c r="B24" s="32" t="s">
        <v>181</v>
      </c>
      <c r="C24" s="32"/>
      <c r="D24" s="43"/>
      <c r="E24" s="151"/>
      <c r="F24" s="113">
        <f>+'Assumptions and Sensis'!N176</f>
        <v>1.25</v>
      </c>
      <c r="G24" s="113">
        <f>+'Assumptions and Sensis'!O176</f>
        <v>1.25</v>
      </c>
      <c r="H24" s="113">
        <f>+'Assumptions and Sensis'!P176</f>
        <v>1.25</v>
      </c>
      <c r="I24" s="40"/>
      <c r="J24" s="40"/>
      <c r="K24" s="40"/>
      <c r="L24" s="40"/>
      <c r="M24" s="40"/>
      <c r="N24" s="40"/>
    </row>
    <row r="25" spans="2:19" x14ac:dyDescent="0.2">
      <c r="B25" s="32" t="s">
        <v>279</v>
      </c>
      <c r="C25" s="32"/>
      <c r="D25" s="43"/>
      <c r="E25" s="47"/>
      <c r="F25" s="33">
        <f ca="1">+SUM(F17:F22)/F24</f>
        <v>16332095.514310349</v>
      </c>
      <c r="G25" s="33">
        <f ca="1">+SUM(G17:G22)/G24</f>
        <v>9122748.3718638495</v>
      </c>
      <c r="H25" s="33">
        <f ca="1">+SUM(H17:H22)/H24</f>
        <v>18202300.052747902</v>
      </c>
      <c r="I25" s="40"/>
      <c r="J25" s="40"/>
      <c r="K25" s="40"/>
      <c r="L25" s="40"/>
      <c r="M25" s="40"/>
      <c r="N25" s="40"/>
    </row>
    <row r="26" spans="2:19" x14ac:dyDescent="0.2">
      <c r="B26" s="32" t="s">
        <v>162</v>
      </c>
      <c r="C26" s="32"/>
      <c r="D26" s="43"/>
      <c r="E26" s="151"/>
      <c r="F26" s="112">
        <f>+'Assumptions and Sensis'!N179</f>
        <v>30</v>
      </c>
      <c r="G26" s="112">
        <f>+'Assumptions and Sensis'!O179</f>
        <v>30</v>
      </c>
      <c r="H26" s="112">
        <f>+'Assumptions and Sensis'!P179</f>
        <v>30</v>
      </c>
      <c r="I26" s="40"/>
      <c r="J26" s="40"/>
      <c r="K26" s="40"/>
      <c r="L26" s="40"/>
      <c r="M26" s="40"/>
      <c r="N26" s="40"/>
    </row>
    <row r="27" spans="2:19" x14ac:dyDescent="0.2">
      <c r="B27" s="32" t="s">
        <v>155</v>
      </c>
      <c r="C27" s="32"/>
      <c r="D27" s="43"/>
      <c r="E27" s="151"/>
      <c r="F27" s="153">
        <f>+'Assumptions and Sensis'!N177</f>
        <v>6.5000000000000002E-2</v>
      </c>
      <c r="G27" s="153">
        <f>+'Assumptions and Sensis'!O177</f>
        <v>6.5000000000000002E-2</v>
      </c>
      <c r="H27" s="153">
        <f>+'Assumptions and Sensis'!P177</f>
        <v>6.5000000000000002E-2</v>
      </c>
      <c r="I27" s="40"/>
      <c r="J27" s="40"/>
      <c r="K27" s="40"/>
      <c r="L27" s="40"/>
      <c r="M27" s="40"/>
      <c r="N27" s="40"/>
    </row>
    <row r="28" spans="2:19" x14ac:dyDescent="0.2">
      <c r="B28" s="136" t="s">
        <v>277</v>
      </c>
      <c r="C28" s="136"/>
      <c r="D28" s="136"/>
      <c r="E28" s="35">
        <f ca="1">+SUM(F28:H28)</f>
        <v>570104493.68010163</v>
      </c>
      <c r="F28" s="128">
        <f ca="1">+PV(F27,F26,-F25)</f>
        <v>213275542.18726224</v>
      </c>
      <c r="G28" s="128">
        <f ca="1">+PV(G27,G26,-G25)</f>
        <v>119131014.36018541</v>
      </c>
      <c r="H28" s="128">
        <f ca="1">+PV(H27,H26,-H25)</f>
        <v>237697937.13265392</v>
      </c>
      <c r="I28" s="40"/>
      <c r="J28" s="40"/>
      <c r="K28" s="40"/>
      <c r="L28" s="40"/>
      <c r="M28" s="40"/>
      <c r="N28" s="40"/>
    </row>
    <row r="29" spans="2:19" ht="5.25" customHeight="1" x14ac:dyDescent="0.2">
      <c r="B29" s="5"/>
      <c r="D29" s="3"/>
      <c r="E29" s="2"/>
      <c r="I29" s="40"/>
      <c r="J29" s="40"/>
      <c r="K29" s="40"/>
      <c r="L29" s="40"/>
      <c r="M29" s="40"/>
      <c r="N29" s="40"/>
    </row>
    <row r="30" spans="2:19" x14ac:dyDescent="0.2">
      <c r="B30" s="34" t="s">
        <v>800</v>
      </c>
      <c r="C30" s="34"/>
      <c r="D30" s="34"/>
      <c r="E30" s="35">
        <f ca="1">+SUM(F30:H30)</f>
        <v>570104493.68010163</v>
      </c>
      <c r="F30" s="35">
        <f ca="1">+MIN(F28,F14)</f>
        <v>213275542.18726224</v>
      </c>
      <c r="G30" s="35">
        <f ca="1">+MIN(G28,G14)</f>
        <v>119131014.36018541</v>
      </c>
      <c r="H30" s="35">
        <f ca="1">+MIN(H28,H14)</f>
        <v>237697937.13265392</v>
      </c>
      <c r="I30" s="40"/>
      <c r="J30" s="40"/>
      <c r="K30" s="40"/>
      <c r="L30" s="40"/>
      <c r="M30" s="40"/>
      <c r="N30" s="40"/>
    </row>
    <row r="31" spans="2:19" x14ac:dyDescent="0.2">
      <c r="B31" s="5"/>
      <c r="D31" s="3"/>
      <c r="E31" s="2"/>
      <c r="I31" s="40"/>
      <c r="J31" s="40"/>
      <c r="K31" s="40"/>
      <c r="L31" s="40"/>
      <c r="M31" s="40"/>
      <c r="N31" s="40"/>
    </row>
    <row r="32" spans="2:19" x14ac:dyDescent="0.2">
      <c r="B32" s="160" t="s">
        <v>164</v>
      </c>
      <c r="C32" s="157"/>
      <c r="D32" s="158"/>
      <c r="E32" s="159"/>
      <c r="F32" s="161" t="str">
        <f ca="1">+F$3</f>
        <v>I</v>
      </c>
      <c r="G32" s="161" t="str">
        <f ca="1">+G$3</f>
        <v>II</v>
      </c>
      <c r="H32" s="161" t="str">
        <f ca="1">+H$3</f>
        <v>III</v>
      </c>
      <c r="I32" s="40"/>
      <c r="J32" s="40"/>
      <c r="K32" s="40"/>
      <c r="L32" s="40"/>
      <c r="M32" s="40"/>
      <c r="N32" s="40"/>
    </row>
    <row r="33" spans="2:19" x14ac:dyDescent="0.2">
      <c r="B33" s="32" t="s">
        <v>799</v>
      </c>
      <c r="C33" s="32"/>
      <c r="D33" s="39"/>
      <c r="E33" s="47">
        <f ca="1">+SUM(F33:H33)</f>
        <v>132695410.90113167</v>
      </c>
      <c r="F33" s="33">
        <f ca="1">+INDEX('Phase I Pro Forma'!$F$208:$Z$208,1,MATCH(1,'Phase I Pro Forma'!$F$3:$Z$3,0))</f>
        <v>76865191.335270256</v>
      </c>
      <c r="G33" s="33">
        <f ca="1">+INDEX('Phase II Pro Forma'!$F$208:$Z$208,1,MATCH(1,'Phase II Pro Forma'!$F$3:$Z$3,0))</f>
        <v>48241356.96065966</v>
      </c>
      <c r="H33" s="33">
        <f ca="1">+INDEX('Phase III Pro Forma'!$F$208:$Z$208,1,MATCH(1,'Phase III Pro Forma'!$F$3:$Z$3,0))</f>
        <v>7588862.605201764</v>
      </c>
      <c r="I33" s="40"/>
      <c r="J33" s="115">
        <f ca="1">+F33/$F$65</f>
        <v>0.18637225864274973</v>
      </c>
      <c r="K33" s="40"/>
      <c r="L33" s="115">
        <f ca="1">+G33/$G$65</f>
        <v>0.20176628676623873</v>
      </c>
      <c r="M33" s="40"/>
      <c r="N33" s="115">
        <f ca="1">+H33/$H$65</f>
        <v>1.7679050221434414E-2</v>
      </c>
      <c r="O33" s="33"/>
      <c r="S33" s="115"/>
    </row>
    <row r="34" spans="2:19" x14ac:dyDescent="0.2">
      <c r="B34" s="32"/>
      <c r="C34" s="32"/>
      <c r="D34" s="39"/>
      <c r="E34" s="47"/>
      <c r="F34" s="33"/>
      <c r="G34" s="33"/>
      <c r="H34" s="33"/>
      <c r="I34" s="40"/>
      <c r="J34" s="40"/>
      <c r="K34" s="40"/>
      <c r="L34" s="40"/>
      <c r="M34" s="40"/>
      <c r="N34" s="40"/>
    </row>
    <row r="35" spans="2:19" x14ac:dyDescent="0.2">
      <c r="B35" s="32" t="s">
        <v>182</v>
      </c>
      <c r="C35" s="32"/>
      <c r="D35" s="43"/>
      <c r="E35" s="151"/>
      <c r="F35" s="152">
        <f>+'Assumptions and Sensis'!N182</f>
        <v>0.8</v>
      </c>
      <c r="G35" s="152">
        <f>+'Assumptions and Sensis'!O182</f>
        <v>0.8</v>
      </c>
      <c r="H35" s="152">
        <f>+'Assumptions and Sensis'!P182</f>
        <v>0.8</v>
      </c>
      <c r="I35" s="40"/>
      <c r="J35" s="40"/>
      <c r="K35" s="40"/>
      <c r="L35" s="40"/>
      <c r="M35" s="40"/>
      <c r="N35" s="40"/>
    </row>
    <row r="36" spans="2:19" x14ac:dyDescent="0.2">
      <c r="B36" s="136" t="s">
        <v>272</v>
      </c>
      <c r="C36" s="136"/>
      <c r="D36" s="136"/>
      <c r="E36" s="35">
        <f ca="1">+SUM(F36:H36)</f>
        <v>106156328.72090535</v>
      </c>
      <c r="F36" s="128">
        <f ca="1">+F35*SUM(F33)</f>
        <v>61492153.068216205</v>
      </c>
      <c r="G36" s="128">
        <f ca="1">+G35*SUM(G33)</f>
        <v>38593085.568527728</v>
      </c>
      <c r="H36" s="128">
        <f ca="1">+H35*SUM(H33)</f>
        <v>6071090.084161412</v>
      </c>
      <c r="I36" s="40"/>
      <c r="J36" s="40"/>
      <c r="K36" s="40"/>
      <c r="L36" s="40"/>
      <c r="M36" s="40"/>
      <c r="N36" s="40"/>
    </row>
    <row r="37" spans="2:19" x14ac:dyDescent="0.2">
      <c r="B37" s="6"/>
      <c r="D37" s="4"/>
      <c r="I37" s="40"/>
      <c r="J37" s="40"/>
      <c r="K37" s="40"/>
      <c r="L37" s="40"/>
      <c r="M37" s="40"/>
      <c r="N37" s="40"/>
    </row>
    <row r="38" spans="2:19" x14ac:dyDescent="0.2">
      <c r="B38" s="32" t="s">
        <v>314</v>
      </c>
      <c r="C38" s="32"/>
      <c r="D38" s="39"/>
      <c r="E38" s="47">
        <f ca="1">+SUM(F38:H38)</f>
        <v>9562749.0015309006</v>
      </c>
      <c r="F38" s="33">
        <f ca="1">+INDEX('Phase I Pro Forma'!$F$206:$Z$206,1,MATCH(1,'Phase I Pro Forma'!$F$3:$Z$3,0))</f>
        <v>5503103.9098521462</v>
      </c>
      <c r="G38" s="33">
        <f ca="1">+INDEX('Phase II Pro Forma'!$F$206:$Z$206,1,MATCH(1,'Phase II Pro Forma'!$F$3:$Z$3,0))</f>
        <v>3515671.7091469439</v>
      </c>
      <c r="H38" s="33">
        <f ca="1">+INDEX('Phase III Pro Forma'!$F$206:$Z$206,1,MATCH(1,'Phase III Pro Forma'!$F$3:$Z$3,0))</f>
        <v>543973.38253181055</v>
      </c>
      <c r="I38" s="115">
        <f ca="1">+F38/$F$64</f>
        <v>0.2123256615845254</v>
      </c>
      <c r="J38" s="40"/>
      <c r="K38" s="115">
        <f ca="1">+G38/$G$64</f>
        <v>0.23564893449364904</v>
      </c>
      <c r="L38" s="40"/>
      <c r="M38" s="115">
        <f ca="1">+H38/$H$64</f>
        <v>2.0792784449904241E-2</v>
      </c>
      <c r="N38" s="40"/>
      <c r="O38" s="33"/>
      <c r="R38" s="115"/>
    </row>
    <row r="39" spans="2:19" x14ac:dyDescent="0.2">
      <c r="B39" s="6"/>
      <c r="D39" s="4"/>
      <c r="I39" s="40"/>
      <c r="J39" s="40"/>
      <c r="K39" s="40"/>
      <c r="L39" s="40"/>
      <c r="M39" s="40"/>
      <c r="N39" s="40"/>
    </row>
    <row r="40" spans="2:19" x14ac:dyDescent="0.2">
      <c r="B40" s="32" t="s">
        <v>181</v>
      </c>
      <c r="C40" s="32"/>
      <c r="D40" s="43"/>
      <c r="E40" s="151"/>
      <c r="F40" s="113">
        <f>+'Assumptions and Sensis'!N183</f>
        <v>1.3</v>
      </c>
      <c r="G40" s="113">
        <f>+'Assumptions and Sensis'!O183</f>
        <v>1.3</v>
      </c>
      <c r="H40" s="113">
        <f>+'Assumptions and Sensis'!P183</f>
        <v>1.3</v>
      </c>
      <c r="I40" s="40"/>
      <c r="J40" s="40"/>
      <c r="K40" s="40"/>
      <c r="L40" s="40"/>
      <c r="M40" s="40"/>
      <c r="N40" s="40"/>
    </row>
    <row r="41" spans="2:19" x14ac:dyDescent="0.2">
      <c r="B41" s="32" t="s">
        <v>279</v>
      </c>
      <c r="C41" s="32"/>
      <c r="D41" s="43"/>
      <c r="E41" s="47"/>
      <c r="F41" s="33">
        <f ca="1">+SUM(F38)/F40</f>
        <v>4233156.8537324201</v>
      </c>
      <c r="G41" s="33">
        <f ca="1">+SUM(G38)/G40</f>
        <v>2704362.8531899569</v>
      </c>
      <c r="H41" s="33">
        <f ca="1">+SUM(H38)/H40</f>
        <v>418441.06348600809</v>
      </c>
      <c r="I41" s="40"/>
      <c r="J41" s="40"/>
      <c r="K41" s="40"/>
      <c r="L41" s="40"/>
      <c r="M41" s="40"/>
      <c r="N41" s="40"/>
    </row>
    <row r="42" spans="2:19" x14ac:dyDescent="0.2">
      <c r="B42" s="32" t="s">
        <v>162</v>
      </c>
      <c r="C42" s="32"/>
      <c r="D42" s="43"/>
      <c r="E42" s="151"/>
      <c r="F42" s="162" t="s">
        <v>167</v>
      </c>
      <c r="G42" s="162" t="s">
        <v>167</v>
      </c>
      <c r="H42" s="162" t="s">
        <v>167</v>
      </c>
      <c r="I42" s="40"/>
      <c r="J42" s="40"/>
      <c r="K42" s="40"/>
      <c r="L42" s="40"/>
      <c r="M42" s="40"/>
      <c r="N42" s="40"/>
    </row>
    <row r="43" spans="2:19" x14ac:dyDescent="0.2">
      <c r="B43" s="32" t="s">
        <v>155</v>
      </c>
      <c r="C43" s="32"/>
      <c r="D43" s="43"/>
      <c r="E43" s="151"/>
      <c r="F43" s="153">
        <f>+'Assumptions and Sensis'!N184</f>
        <v>0.06</v>
      </c>
      <c r="G43" s="153">
        <f>+'Assumptions and Sensis'!O184</f>
        <v>0.06</v>
      </c>
      <c r="H43" s="153">
        <f>+'Assumptions and Sensis'!P184</f>
        <v>0.06</v>
      </c>
      <c r="I43" s="40"/>
      <c r="J43" s="40"/>
      <c r="K43" s="40"/>
      <c r="L43" s="40"/>
      <c r="M43" s="40"/>
      <c r="N43" s="40"/>
    </row>
    <row r="44" spans="2:19" x14ac:dyDescent="0.2">
      <c r="B44" s="136" t="s">
        <v>277</v>
      </c>
      <c r="C44" s="136"/>
      <c r="D44" s="136"/>
      <c r="E44" s="35">
        <f ca="1">+SUM(F44:H44)</f>
        <v>122599346.17347309</v>
      </c>
      <c r="F44" s="128">
        <f ca="1">+F41/F43</f>
        <v>70552614.22887367</v>
      </c>
      <c r="G44" s="128">
        <f ca="1">+G41/G43</f>
        <v>45072714.219832614</v>
      </c>
      <c r="H44" s="128">
        <f ca="1">+H41/H43</f>
        <v>6974017.724766802</v>
      </c>
      <c r="I44" s="40"/>
      <c r="J44" s="40"/>
      <c r="K44" s="40"/>
      <c r="L44" s="40"/>
      <c r="M44" s="40"/>
      <c r="N44" s="40"/>
    </row>
    <row r="45" spans="2:19" x14ac:dyDescent="0.2">
      <c r="B45" s="5"/>
      <c r="D45" s="3"/>
      <c r="E45" s="2"/>
      <c r="I45" s="40"/>
      <c r="J45" s="40"/>
      <c r="K45" s="40"/>
      <c r="L45" s="40"/>
      <c r="M45" s="40"/>
      <c r="N45" s="40"/>
    </row>
    <row r="46" spans="2:19" x14ac:dyDescent="0.2">
      <c r="B46" s="34" t="s">
        <v>801</v>
      </c>
      <c r="C46" s="34"/>
      <c r="D46" s="34"/>
      <c r="E46" s="35">
        <f ca="1">+SUM(F46:H46)</f>
        <v>106156328.72090535</v>
      </c>
      <c r="F46" s="35">
        <f ca="1">+MIN(F44,F36)</f>
        <v>61492153.068216205</v>
      </c>
      <c r="G46" s="35">
        <f ca="1">+MIN(G44,G36)</f>
        <v>38593085.568527728</v>
      </c>
      <c r="H46" s="35">
        <f ca="1">+MIN(H44,H36)</f>
        <v>6071090.084161412</v>
      </c>
      <c r="I46" s="40"/>
      <c r="J46" s="40"/>
      <c r="K46" s="40"/>
      <c r="L46" s="40"/>
      <c r="M46" s="40"/>
      <c r="N46" s="40"/>
    </row>
    <row r="47" spans="2:19" x14ac:dyDescent="0.2">
      <c r="B47" s="6"/>
      <c r="I47" s="40"/>
      <c r="J47" s="40"/>
      <c r="K47" s="40"/>
      <c r="L47" s="40"/>
      <c r="M47" s="40"/>
      <c r="N47" s="40"/>
    </row>
    <row r="48" spans="2:19" x14ac:dyDescent="0.2">
      <c r="B48" s="160" t="s">
        <v>261</v>
      </c>
      <c r="C48" s="157"/>
      <c r="D48" s="158"/>
      <c r="E48" s="159"/>
      <c r="F48" s="161" t="str">
        <f ca="1">+F$3</f>
        <v>I</v>
      </c>
      <c r="G48" s="161" t="str">
        <f ca="1">+G$3</f>
        <v>II</v>
      </c>
      <c r="H48" s="161" t="str">
        <f ca="1">+H$3</f>
        <v>III</v>
      </c>
      <c r="I48" s="40"/>
      <c r="J48" s="40"/>
      <c r="K48" s="40"/>
      <c r="L48" s="40"/>
      <c r="M48" s="40"/>
      <c r="N48" s="40"/>
      <c r="R48" s="40"/>
      <c r="S48" s="115"/>
    </row>
    <row r="49" spans="2:19" x14ac:dyDescent="0.2">
      <c r="B49" s="32" t="s">
        <v>315</v>
      </c>
      <c r="C49" s="32"/>
      <c r="D49" s="39"/>
      <c r="E49" s="47">
        <f ca="1">+SUM(F49:H49)</f>
        <v>52087155.107055284</v>
      </c>
      <c r="F49" s="33">
        <f ca="1">+INDEX('Phase I Pro Forma'!$F$253:$Z$253,1,MATCH(1,'Phase I Pro Forma'!$F$3:$Z$3,0))</f>
        <v>2.0509090909090914E-4</v>
      </c>
      <c r="G49" s="33">
        <f ca="1">+INDEX('Phase II Pro Forma'!$F$253:$Z$253,1,MATCH(1,'Phase II Pro Forma'!$F$3:$Z$3,0))</f>
        <v>2.1337658181818181E-4</v>
      </c>
      <c r="H49" s="33">
        <f ca="1">+INDEX('Phase III Pro Forma'!$F$253:$Z$253,1,MATCH(1,'Phase III Pro Forma'!$F$3:$Z$3,0))</f>
        <v>52087155.106636815</v>
      </c>
      <c r="I49" s="40"/>
      <c r="J49" s="115">
        <f ca="1">+F49/$F$65</f>
        <v>4.9727653428514296E-13</v>
      </c>
      <c r="K49" s="40"/>
      <c r="L49" s="115">
        <f ca="1">+G49/$G$65</f>
        <v>8.9243344940391513E-13</v>
      </c>
      <c r="M49" s="40"/>
      <c r="N49" s="115">
        <f ca="1">+H49/$H$65</f>
        <v>0.1213424829157773</v>
      </c>
      <c r="O49" s="33"/>
      <c r="R49" s="40"/>
      <c r="S49" s="40"/>
    </row>
    <row r="50" spans="2:19" x14ac:dyDescent="0.2">
      <c r="B50" s="32"/>
      <c r="C50" s="32"/>
      <c r="D50" s="39"/>
      <c r="E50" s="47"/>
      <c r="F50" s="33"/>
      <c r="G50" s="33"/>
      <c r="H50" s="33"/>
      <c r="I50" s="40"/>
      <c r="J50" s="40"/>
      <c r="K50" s="40"/>
      <c r="L50" s="40"/>
      <c r="M50" s="40"/>
      <c r="N50" s="40"/>
      <c r="R50" s="40"/>
      <c r="S50" s="40"/>
    </row>
    <row r="51" spans="2:19" x14ac:dyDescent="0.2">
      <c r="B51" s="32" t="s">
        <v>182</v>
      </c>
      <c r="C51" s="32"/>
      <c r="D51" s="43"/>
      <c r="E51" s="151"/>
      <c r="F51" s="152">
        <f>+'Assumptions and Sensis'!N189</f>
        <v>0.75</v>
      </c>
      <c r="G51" s="152">
        <f>+'Assumptions and Sensis'!O189</f>
        <v>0.75</v>
      </c>
      <c r="H51" s="152">
        <f>+'Assumptions and Sensis'!P189</f>
        <v>0.75</v>
      </c>
      <c r="I51" s="40"/>
      <c r="J51" s="40"/>
      <c r="K51" s="40"/>
      <c r="L51" s="40"/>
      <c r="M51" s="40"/>
      <c r="N51" s="40"/>
      <c r="R51" s="40"/>
      <c r="S51" s="40"/>
    </row>
    <row r="52" spans="2:19" x14ac:dyDescent="0.2">
      <c r="B52" s="136" t="s">
        <v>272</v>
      </c>
      <c r="C52" s="136"/>
      <c r="D52" s="136"/>
      <c r="E52" s="35">
        <f ca="1">+SUM(F52:H52)</f>
        <v>39065366.330291457</v>
      </c>
      <c r="F52" s="128">
        <f ca="1">+F51*SUM(F49)</f>
        <v>1.5381818181818186E-4</v>
      </c>
      <c r="G52" s="128">
        <f ca="1">+G51*SUM(G49)</f>
        <v>1.6003243636363636E-4</v>
      </c>
      <c r="H52" s="128">
        <f ca="1">+H51*SUM(H49)</f>
        <v>39065366.329977609</v>
      </c>
      <c r="I52" s="40"/>
      <c r="J52" s="40"/>
      <c r="K52" s="40"/>
      <c r="L52" s="40"/>
      <c r="M52" s="40"/>
      <c r="N52" s="40"/>
      <c r="R52" s="40"/>
      <c r="S52" s="40"/>
    </row>
    <row r="53" spans="2:19" x14ac:dyDescent="0.2">
      <c r="B53" s="6"/>
      <c r="D53" s="4"/>
      <c r="I53" s="40"/>
      <c r="J53" s="40"/>
      <c r="K53" s="40"/>
      <c r="L53" s="40"/>
      <c r="M53" s="40"/>
      <c r="N53" s="40"/>
      <c r="R53" s="115"/>
      <c r="S53" s="40"/>
    </row>
    <row r="54" spans="2:19" x14ac:dyDescent="0.2">
      <c r="B54" s="32" t="s">
        <v>316</v>
      </c>
      <c r="C54" s="32"/>
      <c r="D54" s="39"/>
      <c r="E54" s="47">
        <f ca="1">+SUM(F54:H54)</f>
        <v>2864793.5308880406</v>
      </c>
      <c r="F54" s="33">
        <f ca="1">+INDEX('Phase I Pro Forma'!$F$251:$Z$251,1,MATCH(1,'Phase I Pro Forma'!$F$3:$Z$3,0))</f>
        <v>1.1280000000000002E-5</v>
      </c>
      <c r="G54" s="33">
        <f ca="1">+INDEX('Phase II Pro Forma'!$F$251:$Z$251,1,MATCH(1,'Phase II Pro Forma'!$F$3:$Z$3,0))</f>
        <v>1.1735712E-5</v>
      </c>
      <c r="H54" s="33">
        <f ca="1">+INDEX('Phase III Pro Forma'!$F$251:$Z$251,1,MATCH(1,'Phase III Pro Forma'!$F$3:$Z$3,0))</f>
        <v>2864793.5308650248</v>
      </c>
      <c r="I54" s="115">
        <f ca="1">+F54/$F$64</f>
        <v>4.3521501718069418E-13</v>
      </c>
      <c r="J54" s="40"/>
      <c r="K54" s="115">
        <f ca="1">+G54/$G$64</f>
        <v>7.8662294352716006E-13</v>
      </c>
      <c r="L54" s="40"/>
      <c r="M54" s="115">
        <f ca="1">+H54/$H$64</f>
        <v>0.10950358288399006</v>
      </c>
      <c r="N54" s="40"/>
      <c r="O54" s="33"/>
    </row>
    <row r="55" spans="2:19" x14ac:dyDescent="0.2">
      <c r="B55" s="6"/>
      <c r="D55" s="4"/>
      <c r="I55" s="40"/>
      <c r="J55" s="40"/>
      <c r="K55" s="40"/>
      <c r="L55" s="40"/>
      <c r="M55" s="40"/>
      <c r="N55" s="40"/>
    </row>
    <row r="56" spans="2:19" x14ac:dyDescent="0.2">
      <c r="B56" s="32" t="s">
        <v>181</v>
      </c>
      <c r="C56" s="32"/>
      <c r="D56" s="43"/>
      <c r="E56" s="151"/>
      <c r="F56" s="113">
        <f>+'Assumptions and Sensis'!N190</f>
        <v>1.3</v>
      </c>
      <c r="G56" s="113">
        <f>+'Assumptions and Sensis'!O190</f>
        <v>1.3</v>
      </c>
      <c r="H56" s="113">
        <f>+'Assumptions and Sensis'!P190</f>
        <v>1.3</v>
      </c>
      <c r="I56" s="40"/>
      <c r="J56" s="40"/>
      <c r="K56" s="40"/>
      <c r="L56" s="40"/>
      <c r="M56" s="40"/>
      <c r="N56" s="40"/>
    </row>
    <row r="57" spans="2:19" x14ac:dyDescent="0.2">
      <c r="B57" s="32" t="s">
        <v>279</v>
      </c>
      <c r="C57" s="32"/>
      <c r="D57" s="43"/>
      <c r="E57" s="47"/>
      <c r="F57" s="33">
        <f ca="1">+SUM(F54)/F56</f>
        <v>8.676923076923078E-6</v>
      </c>
      <c r="G57" s="33">
        <f ca="1">+SUM(G54)/G56</f>
        <v>9.0274707692307679E-6</v>
      </c>
      <c r="H57" s="33">
        <f ca="1">+SUM(H54)/H56</f>
        <v>2203687.3314346345</v>
      </c>
      <c r="I57" s="40"/>
      <c r="J57" s="40"/>
      <c r="K57" s="40"/>
      <c r="L57" s="40"/>
      <c r="M57" s="40"/>
      <c r="N57" s="40"/>
    </row>
    <row r="58" spans="2:19" x14ac:dyDescent="0.2">
      <c r="B58" s="32" t="s">
        <v>162</v>
      </c>
      <c r="C58" s="32"/>
      <c r="D58" s="43"/>
      <c r="E58" s="151"/>
      <c r="F58" s="162" t="s">
        <v>167</v>
      </c>
      <c r="G58" s="162" t="s">
        <v>167</v>
      </c>
      <c r="H58" s="162" t="s">
        <v>167</v>
      </c>
      <c r="I58" s="40"/>
      <c r="J58" s="40"/>
      <c r="K58" s="40"/>
      <c r="L58" s="40"/>
      <c r="M58" s="40"/>
      <c r="N58" s="40"/>
    </row>
    <row r="59" spans="2:19" x14ac:dyDescent="0.2">
      <c r="B59" s="32" t="s">
        <v>155</v>
      </c>
      <c r="C59" s="32"/>
      <c r="D59" s="43"/>
      <c r="E59" s="151"/>
      <c r="F59" s="153">
        <f>+'Assumptions and Sensis'!N191</f>
        <v>5.5E-2</v>
      </c>
      <c r="G59" s="153">
        <f>+'Assumptions and Sensis'!O191</f>
        <v>5.5E-2</v>
      </c>
      <c r="H59" s="153">
        <f>+'Assumptions and Sensis'!P191</f>
        <v>5.5E-2</v>
      </c>
      <c r="I59" s="40"/>
      <c r="J59" s="40"/>
      <c r="K59" s="40"/>
      <c r="L59" s="40"/>
      <c r="M59" s="40"/>
      <c r="N59" s="40"/>
    </row>
    <row r="60" spans="2:19" x14ac:dyDescent="0.2">
      <c r="B60" s="136" t="s">
        <v>277</v>
      </c>
      <c r="C60" s="136"/>
      <c r="D60" s="136"/>
      <c r="E60" s="35">
        <f ca="1">+SUM(F60:H60)</f>
        <v>40067042.390042521</v>
      </c>
      <c r="F60" s="128">
        <f ca="1">+F57/F59</f>
        <v>1.5776223776223778E-4</v>
      </c>
      <c r="G60" s="128">
        <f ca="1">+G57/G59</f>
        <v>1.6413583216783213E-4</v>
      </c>
      <c r="H60" s="128">
        <f ca="1">+H57/H59</f>
        <v>40067042.389720626</v>
      </c>
      <c r="I60" s="40"/>
      <c r="J60" s="40"/>
      <c r="K60" s="40"/>
      <c r="L60" s="40"/>
      <c r="M60" s="40"/>
      <c r="N60" s="40"/>
    </row>
    <row r="61" spans="2:19" x14ac:dyDescent="0.2">
      <c r="B61" s="5"/>
      <c r="D61" s="3"/>
      <c r="E61" s="2"/>
      <c r="I61" s="40"/>
      <c r="J61" s="40"/>
      <c r="K61" s="40"/>
      <c r="L61" s="40"/>
      <c r="M61" s="40"/>
      <c r="N61" s="40"/>
    </row>
    <row r="62" spans="2:19" x14ac:dyDescent="0.2">
      <c r="B62" s="34" t="s">
        <v>802</v>
      </c>
      <c r="C62" s="34"/>
      <c r="D62" s="34"/>
      <c r="E62" s="35">
        <f ca="1">+SUM(F62:H62)</f>
        <v>39065366.330291457</v>
      </c>
      <c r="F62" s="35">
        <f ca="1">+MIN(F60,F52)</f>
        <v>1.5381818181818186E-4</v>
      </c>
      <c r="G62" s="35">
        <f ca="1">+MIN(G60,G52)</f>
        <v>1.6003243636363636E-4</v>
      </c>
      <c r="H62" s="35">
        <f ca="1">+MIN(H60,H52)</f>
        <v>39065366.329977609</v>
      </c>
      <c r="I62" s="40"/>
      <c r="J62" s="40"/>
      <c r="K62" s="40"/>
      <c r="L62" s="40"/>
      <c r="M62" s="40"/>
      <c r="N62" s="40"/>
    </row>
    <row r="63" spans="2:19" x14ac:dyDescent="0.2">
      <c r="B63" s="1"/>
      <c r="D63" s="4"/>
      <c r="I63" s="40"/>
      <c r="J63" s="40"/>
      <c r="K63" s="40"/>
      <c r="L63" s="40"/>
      <c r="M63" s="40"/>
      <c r="N63" s="40"/>
    </row>
    <row r="64" spans="2:19" ht="18" x14ac:dyDescent="0.2">
      <c r="B64" s="165" t="s">
        <v>321</v>
      </c>
      <c r="C64" s="165"/>
      <c r="D64" s="165"/>
      <c r="E64" s="138">
        <f ca="1">+SUM(F64:H64)</f>
        <v>66998972.456071571</v>
      </c>
      <c r="F64" s="166">
        <f ca="1">+SUM(F17:F22,F38,F54)</f>
        <v>25918223.302751362</v>
      </c>
      <c r="G64" s="166">
        <f ca="1">+SUM(G17:G22,G38,G54)</f>
        <v>14919107.173988493</v>
      </c>
      <c r="H64" s="166">
        <f ca="1">+SUM(H17:H22,H38,H54)</f>
        <v>26161641.979331713</v>
      </c>
      <c r="I64" s="167">
        <f ca="1">+SUM(I6:I63)</f>
        <v>0.99999999999999989</v>
      </c>
      <c r="K64" s="167">
        <f ca="1">+SUM(K6:K63)</f>
        <v>0.99999999999999989</v>
      </c>
      <c r="M64" s="167">
        <f ca="1">+SUM(M6:M63)</f>
        <v>0.99999999999999989</v>
      </c>
    </row>
    <row r="65" spans="2:18" ht="16" customHeight="1" x14ac:dyDescent="0.2">
      <c r="B65" s="165" t="s">
        <v>320</v>
      </c>
      <c r="C65" s="165"/>
      <c r="D65" s="165"/>
      <c r="E65" s="138">
        <f ca="1">+SUM(F65:H65)</f>
        <v>1080780888.0427213</v>
      </c>
      <c r="F65" s="166">
        <f ca="1">+SUM(F6:F11,F33,F49)</f>
        <v>412428286.77958113</v>
      </c>
      <c r="G65" s="166">
        <f ca="1">+SUM(G6:G11,G33,G49)</f>
        <v>239095231.09056801</v>
      </c>
      <c r="H65" s="166">
        <f ca="1">+SUM(H6:H11,H33,H49)</f>
        <v>429257370.17257196</v>
      </c>
      <c r="J65" s="167">
        <f ca="1">+SUM(J6:J63)</f>
        <v>0.99999999999999989</v>
      </c>
      <c r="L65" s="167">
        <f ca="1">+SUM(L6:L63)</f>
        <v>1.0000000000000002</v>
      </c>
      <c r="N65" s="167">
        <f ca="1">+SUM(N6:N63)</f>
        <v>0.99999999999999978</v>
      </c>
    </row>
    <row r="66" spans="2:18" ht="16" customHeight="1" x14ac:dyDescent="0.2">
      <c r="B66" s="165" t="s">
        <v>352</v>
      </c>
      <c r="C66" s="165"/>
      <c r="D66" s="165"/>
      <c r="E66" s="138">
        <f ca="1">+SUM(F66:H66)</f>
        <v>715326188.73129845</v>
      </c>
      <c r="F66" s="166">
        <f ca="1">+F62+F46+F30</f>
        <v>274767695.25563228</v>
      </c>
      <c r="G66" s="166">
        <f ca="1">+G62+G46+G30</f>
        <v>157724099.92887318</v>
      </c>
      <c r="H66" s="166">
        <f ca="1">+H62+H46+H30</f>
        <v>282834393.54679292</v>
      </c>
    </row>
    <row r="67" spans="2:18" ht="16" customHeight="1" x14ac:dyDescent="0.15">
      <c r="B67" s="1079" t="s">
        <v>322</v>
      </c>
      <c r="C67" s="1079"/>
      <c r="D67" s="1079"/>
      <c r="E67" s="1079"/>
      <c r="F67" s="1079"/>
      <c r="G67" s="1079"/>
      <c r="H67" s="1079"/>
    </row>
    <row r="68" spans="2:18" ht="16" customHeight="1" x14ac:dyDescent="0.15">
      <c r="B68" s="1"/>
      <c r="D68" s="4"/>
    </row>
    <row r="69" spans="2:18" ht="21" customHeight="1" thickBot="1" x14ac:dyDescent="0.25">
      <c r="B69" s="118" t="s">
        <v>734</v>
      </c>
      <c r="C69" s="40"/>
      <c r="D69" s="40"/>
      <c r="E69" s="551" t="s">
        <v>654</v>
      </c>
      <c r="F69" s="551" t="s">
        <v>655</v>
      </c>
      <c r="G69" s="551" t="s">
        <v>174</v>
      </c>
      <c r="H69" s="551" t="s">
        <v>227</v>
      </c>
      <c r="J69" s="1078" t="s">
        <v>734</v>
      </c>
      <c r="K69" s="1078"/>
      <c r="L69" s="1078"/>
      <c r="M69" s="1078"/>
      <c r="N69" s="1078"/>
      <c r="O69" s="1078"/>
      <c r="P69" s="1078"/>
      <c r="Q69" s="1078"/>
      <c r="R69" s="1078"/>
    </row>
    <row r="70" spans="2:18" ht="16" customHeight="1" x14ac:dyDescent="0.2">
      <c r="B70" s="40" t="s">
        <v>141</v>
      </c>
      <c r="C70" s="40"/>
      <c r="D70" s="40"/>
      <c r="E70" s="33">
        <f ca="1">-Budget!$M$82</f>
        <v>-74157038.432284564</v>
      </c>
      <c r="F70" s="550">
        <f ca="1">+'S&amp;U'!$Q$20*'Loan Sizing'!E70/'Loan Sizing'!$E$78+G70</f>
        <v>45421832.123847812</v>
      </c>
      <c r="G70" s="33">
        <f>+'S&amp;U'!$G$20</f>
        <v>32172132.924260452</v>
      </c>
      <c r="H70" s="41">
        <f ca="1">+Budget!$G$11</f>
        <v>323241.01511111116</v>
      </c>
    </row>
    <row r="71" spans="2:18" ht="16" customHeight="1" x14ac:dyDescent="0.2">
      <c r="B71" s="40" t="s">
        <v>928</v>
      </c>
      <c r="C71" s="40"/>
      <c r="D71" s="40"/>
      <c r="E71" s="33">
        <f ca="1">-Budget!$N$82</f>
        <v>-330237117.86934507</v>
      </c>
      <c r="F71" s="550">
        <f ca="1">+'S&amp;U'!$Q$20*'Loan Sizing'!E71/'Loan Sizing'!$E$78+G71</f>
        <v>62260068.899535514</v>
      </c>
      <c r="G71" s="33">
        <f ca="1">+'S&amp;U'!$G$22</f>
        <v>3256330.7674772362</v>
      </c>
      <c r="H71" s="41">
        <f ca="1">+Budget!$G$12</f>
        <v>1292964.0604444447</v>
      </c>
    </row>
    <row r="72" spans="2:18" ht="16" customHeight="1" x14ac:dyDescent="0.2">
      <c r="B72" s="40" t="s">
        <v>25</v>
      </c>
      <c r="C72" s="40"/>
      <c r="D72" s="40"/>
      <c r="E72" s="33">
        <f ca="1">-Budget!$O$82</f>
        <v>-112282661.1373806</v>
      </c>
      <c r="F72" s="550">
        <f ca="1">+'S&amp;U'!$Q$20*'Loan Sizing'!E72/'Loan Sizing'!$E$78+G72</f>
        <v>20061635.643095072</v>
      </c>
      <c r="G72" s="33">
        <v>0</v>
      </c>
      <c r="H72" s="41">
        <f ca="1">+Budget!$G$13</f>
        <v>476705</v>
      </c>
    </row>
    <row r="73" spans="2:18" ht="16" customHeight="1" x14ac:dyDescent="0.2">
      <c r="B73" s="40" t="s">
        <v>26</v>
      </c>
      <c r="C73" s="40"/>
      <c r="D73" s="40"/>
      <c r="E73" s="33">
        <f ca="1">-Budget!$P$82</f>
        <v>-94074683.365725368</v>
      </c>
      <c r="F73" s="550">
        <f ca="1">+'S&amp;U'!$Q$20*'Loan Sizing'!E73/'Loan Sizing'!$E$78+G73</f>
        <v>16808401.242054377</v>
      </c>
      <c r="G73" s="33">
        <v>0</v>
      </c>
      <c r="H73" s="41">
        <f ca="1">+Budget!$G$14</f>
        <v>358884.81333333335</v>
      </c>
    </row>
    <row r="74" spans="2:18" ht="16" customHeight="1" x14ac:dyDescent="0.2">
      <c r="B74" s="40" t="s">
        <v>145</v>
      </c>
      <c r="C74" s="40"/>
      <c r="D74" s="40"/>
      <c r="E74" s="33">
        <f ca="1">-Budget!$Q$82</f>
        <v>-36226531.141457766</v>
      </c>
      <c r="F74" s="550">
        <f ca="1">+'S&amp;U'!$Q$20*'Loan Sizing'!E74/'Loan Sizing'!$E$78+G74</f>
        <v>17548624.188083287</v>
      </c>
      <c r="G74" s="33">
        <f>+'S&amp;U'!$G$21</f>
        <v>11076000.000062399</v>
      </c>
      <c r="H74" s="41">
        <f ca="1">+Budget!$G$15</f>
        <v>157335</v>
      </c>
    </row>
    <row r="75" spans="2:18" ht="16" customHeight="1" x14ac:dyDescent="0.2">
      <c r="B75" s="40" t="s">
        <v>146</v>
      </c>
      <c r="C75" s="40"/>
      <c r="D75" s="40"/>
      <c r="E75" s="33">
        <f ca="1">-Budget!$R$82</f>
        <v>-297243658.72763836</v>
      </c>
      <c r="F75" s="550">
        <f ca="1">+'S&amp;U'!$Q$20*'Loan Sizing'!E75/'Loan Sizing'!$E$78+G75</f>
        <v>53108769.583918773</v>
      </c>
      <c r="G75" s="33">
        <v>0</v>
      </c>
      <c r="H75" s="41">
        <f ca="1">+Budget!$G$16</f>
        <v>1218102.111111111</v>
      </c>
    </row>
    <row r="76" spans="2:18" ht="16" customHeight="1" x14ac:dyDescent="0.2">
      <c r="B76" s="40" t="s">
        <v>235</v>
      </c>
      <c r="C76" s="40"/>
      <c r="D76" s="40"/>
      <c r="E76" s="33">
        <f ca="1">-Budget!$S$82</f>
        <v>-43289627.144628122</v>
      </c>
      <c r="F76" s="550">
        <f ca="1">+'S&amp;U'!$Q$20*'Loan Sizing'!E76/'Loan Sizing'!$E$78+G76</f>
        <v>7734593.3744693166</v>
      </c>
      <c r="G76" s="33">
        <v>0</v>
      </c>
      <c r="H76" s="41">
        <f ca="1">+Budget!$G$17</f>
        <v>234630</v>
      </c>
    </row>
    <row r="77" spans="2:18" ht="16" customHeight="1" x14ac:dyDescent="0.2">
      <c r="B77" s="40" t="s">
        <v>221</v>
      </c>
      <c r="C77" s="40"/>
      <c r="D77" s="40"/>
      <c r="E77" s="33">
        <f ca="1">-Budget!$T$82-Budget!$U$82</f>
        <v>-31395473.43066258</v>
      </c>
      <c r="F77" s="550">
        <f ca="1">+'S&amp;U'!$Q$20*'Loan Sizing'!E77/'Loan Sizing'!$E$78+G77</f>
        <v>5609455.1235991316</v>
      </c>
      <c r="G77" s="33">
        <v>0</v>
      </c>
      <c r="H77" s="41">
        <f ca="1">+Budget!$G$18+Budget!$G$19</f>
        <v>387000</v>
      </c>
    </row>
    <row r="78" spans="2:18" ht="16" customHeight="1" x14ac:dyDescent="0.2">
      <c r="B78" s="118" t="s">
        <v>17</v>
      </c>
      <c r="C78" s="40"/>
      <c r="D78" s="40"/>
      <c r="E78" s="33">
        <f ca="1">+SUM(E70:E77)</f>
        <v>-1018906791.2491226</v>
      </c>
      <c r="F78" s="33">
        <f ca="1">+SUM(F70:F77)</f>
        <v>228553380.17860329</v>
      </c>
      <c r="G78" s="33">
        <f ca="1">+SUM(G70:G77)</f>
        <v>46504463.691800088</v>
      </c>
      <c r="H78" s="40"/>
    </row>
    <row r="79" spans="2:18" ht="16" customHeight="1" x14ac:dyDescent="0.2">
      <c r="B79" s="40"/>
      <c r="C79" s="40"/>
      <c r="D79" s="40"/>
      <c r="E79" s="33"/>
      <c r="F79" s="550"/>
      <c r="G79" s="40"/>
      <c r="H79" s="40"/>
    </row>
    <row r="80" spans="2:18" ht="16" customHeight="1" x14ac:dyDescent="0.2">
      <c r="B80" s="118"/>
      <c r="C80" s="40"/>
      <c r="D80" s="40"/>
      <c r="E80" s="551" t="s">
        <v>255</v>
      </c>
      <c r="F80" s="551" t="s">
        <v>737</v>
      </c>
      <c r="G80" s="551" t="s">
        <v>656</v>
      </c>
      <c r="H80" s="40"/>
    </row>
    <row r="81" spans="2:8" ht="16" customHeight="1" x14ac:dyDescent="0.2">
      <c r="B81" s="40" t="str">
        <f t="shared" ref="B81:B88" si="8">+B70</f>
        <v>Affordable Residential</v>
      </c>
      <c r="C81" s="40"/>
      <c r="D81" s="40"/>
      <c r="E81" s="115">
        <f ca="1">-$E$17/E70</f>
        <v>1.2661515283506192E-2</v>
      </c>
      <c r="F81" s="115">
        <f ca="1">-$E$17/SUM(E70:F70)</f>
        <v>3.2675612814871323E-2</v>
      </c>
      <c r="G81" s="115">
        <f>+'Assumptions and Sensis'!M153</f>
        <v>5.7500000000000002E-2</v>
      </c>
      <c r="H81" s="115"/>
    </row>
    <row r="82" spans="2:8" ht="16" customHeight="1" x14ac:dyDescent="0.2">
      <c r="B82" s="40" t="str">
        <f t="shared" si="8"/>
        <v>Market Rate and WF Residential</v>
      </c>
      <c r="C82" s="40"/>
      <c r="D82" s="40"/>
      <c r="E82" s="115">
        <f ca="1">-$E$18/E71</f>
        <v>5.9627788638315513E-2</v>
      </c>
      <c r="F82" s="115">
        <f ca="1">-$E$18/SUM(E71:F71)</f>
        <v>7.3481326630543756E-2</v>
      </c>
      <c r="G82" s="115">
        <f>+'Assumptions and Sensis'!M154</f>
        <v>5.5E-2</v>
      </c>
      <c r="H82" s="115"/>
    </row>
    <row r="83" spans="2:8" ht="16" customHeight="1" x14ac:dyDescent="0.2">
      <c r="B83" s="40" t="str">
        <f t="shared" si="8"/>
        <v>Retail</v>
      </c>
      <c r="C83" s="40"/>
      <c r="D83" s="40"/>
      <c r="E83" s="115">
        <f ca="1">-$E$19/E72</f>
        <v>7.3397717416692917E-2</v>
      </c>
      <c r="F83" s="115">
        <f ca="1">-$E$19/SUM(E72:F72)</f>
        <v>8.9364556388135383E-2</v>
      </c>
      <c r="G83" s="115">
        <f>+'Assumptions and Sensis'!M155</f>
        <v>6.5000000000000002E-2</v>
      </c>
      <c r="H83" s="115"/>
    </row>
    <row r="84" spans="2:8" ht="16" customHeight="1" x14ac:dyDescent="0.2">
      <c r="B84" s="40" t="str">
        <f t="shared" si="8"/>
        <v>Hotel</v>
      </c>
      <c r="C84" s="40"/>
      <c r="D84" s="40"/>
      <c r="E84" s="115">
        <f ca="1">-$E$38/E73</f>
        <v>0.10165061055113726</v>
      </c>
      <c r="F84" s="115">
        <f ca="1">-$E$38/SUM(E73:F73)</f>
        <v>0.12376354521918034</v>
      </c>
      <c r="G84" s="115">
        <f>+'Assumptions and Sensis'!M156</f>
        <v>0.08</v>
      </c>
      <c r="H84" s="115"/>
    </row>
    <row r="85" spans="2:8" ht="16" customHeight="1" x14ac:dyDescent="0.2">
      <c r="B85" s="40" t="str">
        <f t="shared" si="8"/>
        <v>Community Facility</v>
      </c>
      <c r="C85" s="40"/>
      <c r="D85" s="40"/>
      <c r="E85" s="115">
        <f ca="1">-$E$20/E74</f>
        <v>2.5525008077347779E-2</v>
      </c>
      <c r="F85" s="115">
        <f ca="1">-$E$20/SUM(E74:F74)</f>
        <v>4.9506751602750698E-2</v>
      </c>
      <c r="G85" s="115">
        <f>+'Assumptions and Sensis'!M157</f>
        <v>6.7500000000000004E-2</v>
      </c>
      <c r="H85" s="115"/>
    </row>
    <row r="86" spans="2:8" ht="16" customHeight="1" x14ac:dyDescent="0.2">
      <c r="B86" s="40" t="str">
        <f t="shared" si="8"/>
        <v>Office</v>
      </c>
      <c r="C86" s="40"/>
      <c r="D86" s="40"/>
      <c r="E86" s="115">
        <f ca="1">-$E$21/E75</f>
        <v>8.0149270991066487E-2</v>
      </c>
      <c r="F86" s="115">
        <f ca="1">-$E$21/SUM(E75:F75)</f>
        <v>9.7584833684761549E-2</v>
      </c>
      <c r="G86" s="115">
        <f>+'Assumptions and Sensis'!M158</f>
        <v>6.5000000000000002E-2</v>
      </c>
      <c r="H86" s="115"/>
    </row>
    <row r="87" spans="2:8" ht="16" customHeight="1" x14ac:dyDescent="0.2">
      <c r="B87" s="40" t="str">
        <f t="shared" si="8"/>
        <v>Industrial</v>
      </c>
      <c r="C87" s="40"/>
      <c r="D87" s="40"/>
      <c r="E87" s="115">
        <f ca="1">-$E$54/E76</f>
        <v>6.6177366723832759E-2</v>
      </c>
      <c r="F87" s="115">
        <f ca="1">-$E$54/SUM(E76:F76)</f>
        <v>8.0573500489611399E-2</v>
      </c>
      <c r="G87" s="115">
        <f>+'Assumptions and Sensis'!M159</f>
        <v>5.5E-2</v>
      </c>
      <c r="H87" s="115"/>
    </row>
    <row r="88" spans="2:8" ht="16" customHeight="1" x14ac:dyDescent="0.2">
      <c r="B88" s="40" t="str">
        <f t="shared" si="8"/>
        <v>Parking</v>
      </c>
      <c r="C88" s="40"/>
      <c r="D88" s="40"/>
      <c r="E88" s="115">
        <f ca="1">-$E$22/E77</f>
        <v>3.0301957342056013E-2</v>
      </c>
      <c r="F88" s="115">
        <f ca="1">-$E$22/SUM(E77:F77)</f>
        <v>3.6893803661381598E-2</v>
      </c>
      <c r="G88" s="115">
        <f>+'Assumptions and Sensis'!M160</f>
        <v>6.5000000000000002E-2</v>
      </c>
      <c r="H88" s="115"/>
    </row>
    <row r="89" spans="2:8" ht="16" customHeight="1" x14ac:dyDescent="0.2">
      <c r="B89" s="118"/>
      <c r="C89" s="40"/>
      <c r="D89" s="40"/>
      <c r="E89" s="33"/>
      <c r="F89" s="33"/>
      <c r="G89" s="33"/>
      <c r="H89" s="40"/>
    </row>
    <row r="90" spans="2:8" ht="16" customHeight="1" x14ac:dyDescent="0.2">
      <c r="B90" s="118"/>
      <c r="C90" s="40"/>
      <c r="D90" s="40"/>
      <c r="E90" s="551" t="s">
        <v>17</v>
      </c>
      <c r="F90" t="str">
        <f>B98</f>
        <v>Phase I</v>
      </c>
      <c r="G90" t="str">
        <f>B127</f>
        <v>Phase II</v>
      </c>
      <c r="H90" t="str">
        <f>B156</f>
        <v>Phase III</v>
      </c>
    </row>
    <row r="91" spans="2:8" ht="16" customHeight="1" x14ac:dyDescent="0.2">
      <c r="B91" s="40" t="s">
        <v>393</v>
      </c>
      <c r="C91" s="40"/>
      <c r="D91" s="40"/>
      <c r="E91" s="115">
        <f ca="1">+'Cash Flow Roll-up'!$C$58</f>
        <v>0.12945660144928306</v>
      </c>
      <c r="F91" s="857">
        <f ca="1">E120</f>
        <v>0.11972108472418541</v>
      </c>
      <c r="G91" s="857">
        <f ca="1">E149</f>
        <v>0.13785665601235575</v>
      </c>
      <c r="H91" s="857">
        <f ca="1">E178</f>
        <v>0.14509319275795374</v>
      </c>
    </row>
    <row r="92" spans="2:8" ht="16" customHeight="1" x14ac:dyDescent="0.2">
      <c r="B92" s="40" t="s">
        <v>739</v>
      </c>
      <c r="C92" s="40"/>
      <c r="D92" s="40"/>
      <c r="E92" s="115">
        <f ca="1">+'Cash Flow Roll-up'!$D$58</f>
        <v>0.22085344333029111</v>
      </c>
      <c r="F92" s="857">
        <f ca="1">E121</f>
        <v>0.20213049169868547</v>
      </c>
      <c r="G92" s="857">
        <f ca="1">E150</f>
        <v>0.25390363378108316</v>
      </c>
      <c r="H92" s="857">
        <f ca="1">E179</f>
        <v>0.24148009708429607</v>
      </c>
    </row>
    <row r="93" spans="2:8" ht="16" customHeight="1" x14ac:dyDescent="0.2">
      <c r="B93" s="40" t="s">
        <v>740</v>
      </c>
      <c r="C93" s="40"/>
      <c r="D93" s="40"/>
      <c r="E93" s="115">
        <f ca="1">+'Cash Flow Roll-up'!$E$58</f>
        <v>0.30116005615140645</v>
      </c>
      <c r="F93" s="857">
        <f ca="1">E122</f>
        <v>0.29685512823841814</v>
      </c>
      <c r="G93" s="857">
        <f ca="1">E151</f>
        <v>0.32964171412919885</v>
      </c>
      <c r="H93" s="857">
        <f ca="1">E180</f>
        <v>0.29078066901367527</v>
      </c>
    </row>
    <row r="98" spans="1:18" ht="16" customHeight="1" thickBot="1" x14ac:dyDescent="0.25">
      <c r="B98" s="118" t="s">
        <v>21</v>
      </c>
      <c r="C98" s="40"/>
      <c r="D98" s="40"/>
      <c r="E98" s="551" t="s">
        <v>654</v>
      </c>
      <c r="F98" s="551" t="s">
        <v>655</v>
      </c>
      <c r="G98" s="551" t="s">
        <v>174</v>
      </c>
      <c r="H98" s="551" t="s">
        <v>227</v>
      </c>
      <c r="J98" s="1078" t="s">
        <v>21</v>
      </c>
      <c r="K98" s="1078"/>
      <c r="L98" s="1078"/>
      <c r="M98" s="1078"/>
      <c r="N98" s="1078"/>
      <c r="O98" s="1078"/>
      <c r="P98" s="1078"/>
      <c r="Q98" s="1078"/>
      <c r="R98" s="1078"/>
    </row>
    <row r="99" spans="1:18" ht="16" customHeight="1" x14ac:dyDescent="0.2">
      <c r="A99" s="205">
        <v>0</v>
      </c>
      <c r="B99" s="40" t="s">
        <v>141</v>
      </c>
      <c r="C99" s="40"/>
      <c r="D99" s="40"/>
      <c r="E99" s="33">
        <f ca="1">-OFFSET(Budget!$Y$82,0,'Loan Sizing'!A99)</f>
        <v>-28476143.659180529</v>
      </c>
      <c r="F99" s="33">
        <f ca="1">+'S&amp;U'!$R$20*'Loan Sizing'!E99/'Loan Sizing'!$E$107+G99</f>
        <v>18000852.991571195</v>
      </c>
      <c r="G99" s="33">
        <f>+'S&amp;U'!$H$20</f>
        <v>12714766.389964083</v>
      </c>
      <c r="H99" s="41">
        <f ca="1">+Budget!$H$11</f>
        <v>125993.56</v>
      </c>
    </row>
    <row r="100" spans="1:18" ht="16" customHeight="1" x14ac:dyDescent="0.2">
      <c r="A100" s="205">
        <f t="shared" ref="A100:A106" si="9">+A99+1</f>
        <v>1</v>
      </c>
      <c r="B100" s="40" t="s">
        <v>928</v>
      </c>
      <c r="C100" s="40"/>
      <c r="D100" s="40"/>
      <c r="E100" s="33">
        <f ca="1">-OFFSET(Budget!$Y$82,0,'Loan Sizing'!A100)</f>
        <v>-126389322.40077291</v>
      </c>
      <c r="F100" s="33">
        <f ca="1">+'S&amp;U'!$R$20*'Loan Sizing'!E100/'Loan Sizing'!$E$107+G100</f>
        <v>26718247.230787907</v>
      </c>
      <c r="G100" s="33">
        <f ca="1">+'S&amp;U'!$H$22</f>
        <v>3256330.7674772362</v>
      </c>
      <c r="H100" s="41">
        <f ca="1">+Budget!$H$12</f>
        <v>503974.24</v>
      </c>
    </row>
    <row r="101" spans="1:18" ht="16" customHeight="1" x14ac:dyDescent="0.2">
      <c r="A101" s="205">
        <f t="shared" si="9"/>
        <v>2</v>
      </c>
      <c r="B101" s="40" t="s">
        <v>25</v>
      </c>
      <c r="C101" s="40"/>
      <c r="D101" s="40"/>
      <c r="E101" s="33">
        <f ca="1">-OFFSET(Budget!$Y$82,0,'Loan Sizing'!A101)</f>
        <v>-57178274.17871049</v>
      </c>
      <c r="F101" s="33">
        <f ca="1">+'S&amp;U'!$R$20*'Loan Sizing'!E101/'Loan Sizing'!$E$107+G101</f>
        <v>10614123.620691041</v>
      </c>
      <c r="G101" s="33">
        <v>0</v>
      </c>
      <c r="H101" s="41">
        <f ca="1">+Budget!$H$13</f>
        <v>244375</v>
      </c>
    </row>
    <row r="102" spans="1:18" ht="16" customHeight="1" x14ac:dyDescent="0.2">
      <c r="A102" s="205">
        <f t="shared" si="9"/>
        <v>3</v>
      </c>
      <c r="B102" s="40" t="s">
        <v>26</v>
      </c>
      <c r="C102" s="40"/>
      <c r="D102" s="40"/>
      <c r="E102" s="33">
        <f ca="1">-OFFSET(Budget!$Y$82,0,'Loan Sizing'!A102)</f>
        <v>-54725371.994492203</v>
      </c>
      <c r="F102" s="33">
        <f ca="1">+'S&amp;U'!$R$20*'Loan Sizing'!E102/'Loan Sizing'!$E$107+G102</f>
        <v>10158786.215239061</v>
      </c>
      <c r="G102" s="33">
        <v>0</v>
      </c>
      <c r="H102" s="41">
        <f ca="1">+Budget!$H$14</f>
        <v>208084.2</v>
      </c>
    </row>
    <row r="103" spans="1:18" ht="16" customHeight="1" x14ac:dyDescent="0.2">
      <c r="A103" s="205">
        <f t="shared" si="9"/>
        <v>4</v>
      </c>
      <c r="B103" s="40" t="s">
        <v>145</v>
      </c>
      <c r="C103" s="40"/>
      <c r="D103" s="40"/>
      <c r="E103" s="33">
        <f ca="1">-OFFSET(Budget!$Y$82,0,'Loan Sizing'!A103)</f>
        <v>-17335700.017437719</v>
      </c>
      <c r="F103" s="33">
        <f ca="1">+'S&amp;U'!$R$20*'Loan Sizing'!E103/'Loan Sizing'!$E$107+G103</f>
        <v>8756062.5539903194</v>
      </c>
      <c r="G103" s="33">
        <f>+'S&amp;U'!$H$21</f>
        <v>5538000</v>
      </c>
      <c r="H103" s="41">
        <f ca="1">+Budget!$H$15</f>
        <v>79125</v>
      </c>
    </row>
    <row r="104" spans="1:18" ht="16" customHeight="1" x14ac:dyDescent="0.2">
      <c r="A104" s="205">
        <f t="shared" si="9"/>
        <v>5</v>
      </c>
      <c r="B104" s="40" t="s">
        <v>146</v>
      </c>
      <c r="C104" s="40"/>
      <c r="D104" s="40"/>
      <c r="E104" s="33">
        <f ca="1">-OFFSET(Budget!$Y$82,0,'Loan Sizing'!A104)</f>
        <v>-107386026.91856527</v>
      </c>
      <c r="F104" s="33">
        <f ca="1">+'S&amp;U'!$R$20*'Loan Sizing'!E104/'Loan Sizing'!$E$107+G104</f>
        <v>19934294.646355364</v>
      </c>
      <c r="G104" s="33">
        <v>0</v>
      </c>
      <c r="H104" s="41">
        <f ca="1">+Budget!$H$16</f>
        <v>455632</v>
      </c>
    </row>
    <row r="105" spans="1:18" ht="16" customHeight="1" x14ac:dyDescent="0.2">
      <c r="A105" s="205">
        <f t="shared" si="9"/>
        <v>6</v>
      </c>
      <c r="B105" s="40" t="s">
        <v>235</v>
      </c>
      <c r="C105" s="40"/>
      <c r="D105" s="40"/>
      <c r="E105" s="33">
        <f ca="1">-OFFSET(Budget!$Y$82,0,'Loan Sizing'!A105)</f>
        <v>-1.4006167860903208E-5</v>
      </c>
      <c r="F105" s="33">
        <f ca="1">+'S&amp;U'!$R$20*'Loan Sizing'!E105/'Loan Sizing'!$E$107+G105</f>
        <v>2.5999944780272687E-6</v>
      </c>
      <c r="G105" s="33">
        <v>0</v>
      </c>
      <c r="H105" s="41">
        <f ca="1">+Budget!$H$17</f>
        <v>0</v>
      </c>
    </row>
    <row r="106" spans="1:18" ht="16" customHeight="1" x14ac:dyDescent="0.2">
      <c r="A106" s="205">
        <f t="shared" si="9"/>
        <v>7</v>
      </c>
      <c r="B106" s="40" t="s">
        <v>221</v>
      </c>
      <c r="C106" s="40"/>
      <c r="D106" s="40"/>
      <c r="E106" s="33">
        <f ca="1">-Budget!$AF$82-Budget!$AG$82</f>
        <v>-8169371.3945902148</v>
      </c>
      <c r="F106" s="33">
        <f ca="1">+'S&amp;U'!$R$20*'Loan Sizing'!E106/'Loan Sizing'!$E$107+G106</f>
        <v>1516497.6405986594</v>
      </c>
      <c r="G106" s="33">
        <v>0</v>
      </c>
      <c r="H106" s="41">
        <f ca="1">+Budget!$H$18+Budget!$H$19</f>
        <v>83000</v>
      </c>
    </row>
    <row r="107" spans="1:18" ht="16" customHeight="1" x14ac:dyDescent="0.2">
      <c r="B107" s="118" t="s">
        <v>17</v>
      </c>
      <c r="C107" s="40"/>
      <c r="D107" s="40"/>
      <c r="E107" s="33">
        <f ca="1">+SUM(E99:E106)</f>
        <v>-399660210.56376332</v>
      </c>
      <c r="F107" s="33">
        <f ca="1">+SUM(F99:F106)</f>
        <v>95698864.899236143</v>
      </c>
      <c r="G107" s="33">
        <f ca="1">+SUM(G99:G106)</f>
        <v>21509097.157441318</v>
      </c>
      <c r="H107" s="40"/>
    </row>
    <row r="108" spans="1:18" ht="16" customHeight="1" x14ac:dyDescent="0.2">
      <c r="B108" s="40"/>
      <c r="C108" s="40"/>
      <c r="D108" s="40"/>
      <c r="E108" s="33"/>
      <c r="F108" s="550"/>
      <c r="G108" s="40"/>
      <c r="H108" s="40"/>
    </row>
    <row r="109" spans="1:18" ht="16" customHeight="1" x14ac:dyDescent="0.2">
      <c r="B109" s="118"/>
      <c r="C109" s="40"/>
      <c r="D109" s="40"/>
      <c r="E109" s="551" t="s">
        <v>255</v>
      </c>
      <c r="F109" s="551" t="s">
        <v>737</v>
      </c>
      <c r="G109" s="551" t="s">
        <v>656</v>
      </c>
      <c r="H109" s="40"/>
    </row>
    <row r="110" spans="1:18" ht="16" customHeight="1" x14ac:dyDescent="0.2">
      <c r="B110" s="40" t="str">
        <f t="shared" ref="B110:B117" si="10">+B99</f>
        <v>Affordable Residential</v>
      </c>
      <c r="C110" s="40"/>
      <c r="D110" s="40"/>
      <c r="E110" s="115">
        <f ca="1">-$F$17/E99</f>
        <v>1.4876209417468145E-2</v>
      </c>
      <c r="F110" s="115">
        <f ca="1">-$F$17/SUM(E99:F99)</f>
        <v>4.0439648876354747E-2</v>
      </c>
      <c r="G110" s="115">
        <f>+$G$81</f>
        <v>5.7500000000000002E-2</v>
      </c>
      <c r="H110" s="115"/>
    </row>
    <row r="111" spans="1:18" ht="16" customHeight="1" x14ac:dyDescent="0.2">
      <c r="B111" s="40" t="str">
        <f t="shared" si="10"/>
        <v>Market Rate and WF Residential</v>
      </c>
      <c r="C111" s="40"/>
      <c r="D111" s="40"/>
      <c r="E111" s="115">
        <f ca="1">-$F$18/E100</f>
        <v>5.8658128939921075E-2</v>
      </c>
      <c r="F111" s="115">
        <f ca="1">-$F$18/SUM(E100:F100)</f>
        <v>7.4382273466699553E-2</v>
      </c>
      <c r="G111" s="115">
        <f>+$G$82</f>
        <v>5.5E-2</v>
      </c>
      <c r="H111" s="115"/>
    </row>
    <row r="112" spans="1:18" ht="16" customHeight="1" x14ac:dyDescent="0.2">
      <c r="B112" s="40" t="str">
        <f t="shared" si="10"/>
        <v>Retail</v>
      </c>
      <c r="C112" s="40"/>
      <c r="D112" s="40"/>
      <c r="E112" s="115">
        <f ca="1">-$F$19/E101</f>
        <v>7.0000513445132792E-2</v>
      </c>
      <c r="F112" s="115">
        <f ca="1">-$F$19/SUM(E101:F101)</f>
        <v>8.5956868158244243E-2</v>
      </c>
      <c r="G112" s="115">
        <f>+$G$83</f>
        <v>6.5000000000000002E-2</v>
      </c>
      <c r="H112" s="115"/>
    </row>
    <row r="113" spans="1:18" ht="16" customHeight="1" x14ac:dyDescent="0.2">
      <c r="B113" s="40" t="str">
        <f t="shared" si="10"/>
        <v>Hotel</v>
      </c>
      <c r="C113" s="40"/>
      <c r="D113" s="40"/>
      <c r="E113" s="115">
        <f ca="1">-$F$38/E102</f>
        <v>0.10055854732985647</v>
      </c>
      <c r="F113" s="115">
        <f ca="1">-$F$38/SUM(E102:F102)</f>
        <v>0.12348049135085369</v>
      </c>
      <c r="G113" s="115">
        <f>+$G$84</f>
        <v>0.08</v>
      </c>
      <c r="H113" s="115"/>
    </row>
    <row r="114" spans="1:18" ht="16" customHeight="1" x14ac:dyDescent="0.2">
      <c r="B114" s="40" t="str">
        <f t="shared" si="10"/>
        <v>Community Facility</v>
      </c>
      <c r="C114" s="40"/>
      <c r="D114" s="40"/>
      <c r="E114" s="115">
        <f ca="1">-$F$20/E103</f>
        <v>1.0480540146474806E-2</v>
      </c>
      <c r="F114" s="115">
        <f ca="1">-$F$20/SUM(E103:F103)</f>
        <v>2.1176594089675652E-2</v>
      </c>
      <c r="G114" s="115">
        <f>+$G$85</f>
        <v>6.7500000000000004E-2</v>
      </c>
      <c r="H114" s="115"/>
    </row>
    <row r="115" spans="1:18" ht="16" customHeight="1" x14ac:dyDescent="0.2">
      <c r="B115" s="40" t="str">
        <f t="shared" si="10"/>
        <v>Office</v>
      </c>
      <c r="C115" s="40"/>
      <c r="D115" s="40"/>
      <c r="E115" s="115">
        <f ca="1">-$F$21/E104</f>
        <v>7.639183201980726E-2</v>
      </c>
      <c r="F115" s="115">
        <f ca="1">-$F$21/SUM(E104:F104)</f>
        <v>9.3805063850569248E-2</v>
      </c>
      <c r="G115" s="115">
        <f>+$G$86</f>
        <v>6.5000000000000002E-2</v>
      </c>
      <c r="H115" s="115"/>
    </row>
    <row r="116" spans="1:18" ht="16" customHeight="1" x14ac:dyDescent="0.2">
      <c r="B116" s="40" t="str">
        <f t="shared" si="10"/>
        <v>Industrial</v>
      </c>
      <c r="C116" s="40"/>
      <c r="D116" s="40"/>
      <c r="E116" s="115">
        <v>0</v>
      </c>
      <c r="F116" s="115">
        <v>0</v>
      </c>
      <c r="G116" s="115">
        <v>0</v>
      </c>
      <c r="H116" s="115"/>
    </row>
    <row r="117" spans="1:18" ht="16" customHeight="1" x14ac:dyDescent="0.2">
      <c r="B117" s="40" t="str">
        <f t="shared" si="10"/>
        <v>Parking</v>
      </c>
      <c r="C117" s="40"/>
      <c r="D117" s="40"/>
      <c r="E117" s="115">
        <f ca="1">-$F$22/E106</f>
        <v>2.3273487905118063E-2</v>
      </c>
      <c r="F117" s="115">
        <f ca="1">-$F$22/SUM(E106:F106)</f>
        <v>2.8578592255766134E-2</v>
      </c>
      <c r="G117" s="115">
        <f>+$G$88</f>
        <v>6.5000000000000002E-2</v>
      </c>
      <c r="H117" s="115"/>
    </row>
    <row r="118" spans="1:18" ht="16" customHeight="1" x14ac:dyDescent="0.2">
      <c r="B118" s="118"/>
      <c r="C118" s="40"/>
      <c r="D118" s="40"/>
      <c r="E118" s="33"/>
      <c r="F118" s="33"/>
      <c r="G118" s="33"/>
      <c r="H118" s="40"/>
    </row>
    <row r="119" spans="1:18" ht="16" customHeight="1" x14ac:dyDescent="0.2">
      <c r="B119" s="118"/>
      <c r="C119" s="40"/>
      <c r="D119" s="40"/>
      <c r="E119" s="551" t="s">
        <v>738</v>
      </c>
    </row>
    <row r="120" spans="1:18" ht="16" customHeight="1" x14ac:dyDescent="0.2">
      <c r="B120" s="40" t="s">
        <v>393</v>
      </c>
      <c r="C120" s="40"/>
      <c r="D120" s="40"/>
      <c r="E120" s="115">
        <f ca="1">+'Cash Flow Roll-up'!C55</f>
        <v>0.11972108472418541</v>
      </c>
    </row>
    <row r="121" spans="1:18" ht="16" customHeight="1" x14ac:dyDescent="0.2">
      <c r="B121" s="40" t="s">
        <v>739</v>
      </c>
      <c r="C121" s="40"/>
      <c r="D121" s="40"/>
      <c r="E121" s="115">
        <f ca="1">+'Cash Flow Roll-up'!D55</f>
        <v>0.20213049169868547</v>
      </c>
    </row>
    <row r="122" spans="1:18" ht="16" customHeight="1" x14ac:dyDescent="0.2">
      <c r="B122" s="40" t="s">
        <v>740</v>
      </c>
      <c r="C122" s="40"/>
      <c r="D122" s="40"/>
      <c r="E122" s="115">
        <f ca="1">+'Cash Flow Roll-up'!E55</f>
        <v>0.29685512823841814</v>
      </c>
    </row>
    <row r="127" spans="1:18" ht="16" customHeight="1" thickBot="1" x14ac:dyDescent="0.25">
      <c r="B127" s="118" t="s">
        <v>375</v>
      </c>
      <c r="C127" s="40"/>
      <c r="D127" s="40"/>
      <c r="E127" s="551" t="s">
        <v>654</v>
      </c>
      <c r="F127" s="551" t="s">
        <v>655</v>
      </c>
      <c r="G127" s="551" t="s">
        <v>174</v>
      </c>
      <c r="H127" s="551" t="s">
        <v>227</v>
      </c>
      <c r="J127" s="1078" t="s">
        <v>375</v>
      </c>
      <c r="K127" s="1078"/>
      <c r="L127" s="1078"/>
      <c r="M127" s="1078"/>
      <c r="N127" s="1078"/>
      <c r="O127" s="1078"/>
      <c r="P127" s="1078"/>
      <c r="Q127" s="1078"/>
      <c r="R127" s="1078"/>
    </row>
    <row r="128" spans="1:18" ht="16" customHeight="1" x14ac:dyDescent="0.2">
      <c r="A128" s="205">
        <v>0</v>
      </c>
      <c r="B128" s="40" t="s">
        <v>141</v>
      </c>
      <c r="C128" s="40"/>
      <c r="D128" s="40"/>
      <c r="E128" s="33">
        <f ca="1">-OFFSET(Budget!$AJ$82,0,'Loan Sizing'!A128)</f>
        <v>-19874033.949583188</v>
      </c>
      <c r="F128" s="550">
        <f ca="1">+'S&amp;U'!$S$20*'Loan Sizing'!E128/'Loan Sizing'!$E$136+G128</f>
        <v>12738535.206980372</v>
      </c>
      <c r="G128" s="33">
        <f>+'S&amp;U'!$I$20</f>
        <v>8832339.7304545473</v>
      </c>
      <c r="H128" s="41">
        <f ca="1">+Budget!$I$11</f>
        <v>90127</v>
      </c>
    </row>
    <row r="129" spans="1:8" ht="16" customHeight="1" x14ac:dyDescent="0.2">
      <c r="A129" s="205">
        <f t="shared" ref="A129:A135" si="11">+A128+1</f>
        <v>1</v>
      </c>
      <c r="B129" s="40" t="s">
        <v>928</v>
      </c>
      <c r="C129" s="40"/>
      <c r="D129" s="40"/>
      <c r="E129" s="33">
        <f ca="1">-OFFSET(Budget!$AJ$82,0,'Loan Sizing'!A129)</f>
        <v>-88918495.21241726</v>
      </c>
      <c r="F129" s="33">
        <f ca="1">+'S&amp;U'!$S$20*'Loan Sizing'!E129/'Loan Sizing'!$E$136+G129</f>
        <v>17476724.889337935</v>
      </c>
      <c r="G129" s="33">
        <f>+'S&amp;U'!$I$22</f>
        <v>0</v>
      </c>
      <c r="H129" s="41">
        <f ca="1">+Budget!$I$12</f>
        <v>360508</v>
      </c>
    </row>
    <row r="130" spans="1:8" ht="16" customHeight="1" x14ac:dyDescent="0.2">
      <c r="A130" s="205">
        <f t="shared" si="11"/>
        <v>2</v>
      </c>
      <c r="B130" s="40" t="s">
        <v>25</v>
      </c>
      <c r="C130" s="40"/>
      <c r="D130" s="40"/>
      <c r="E130" s="33">
        <f ca="1">-OFFSET(Budget!$AJ$82,0,'Loan Sizing'!A130)</f>
        <v>-35528934.379400946</v>
      </c>
      <c r="F130" s="33">
        <f ca="1">+'S&amp;U'!$S$20*'Loan Sizing'!E130/'Loan Sizing'!$E$136+G130</f>
        <v>6983130.0032326616</v>
      </c>
      <c r="G130" s="33">
        <v>0</v>
      </c>
      <c r="H130" s="41">
        <f ca="1">+Budget!$I$13</f>
        <v>154000</v>
      </c>
    </row>
    <row r="131" spans="1:8" ht="16" customHeight="1" x14ac:dyDescent="0.2">
      <c r="A131" s="205">
        <f t="shared" si="11"/>
        <v>3</v>
      </c>
      <c r="B131" s="40" t="s">
        <v>26</v>
      </c>
      <c r="C131" s="40"/>
      <c r="D131" s="40"/>
      <c r="E131" s="33">
        <f ca="1">-OFFSET(Budget!$AJ$82,0,'Loan Sizing'!A131)</f>
        <v>-33291800.608584289</v>
      </c>
      <c r="F131" s="33">
        <f ca="1">+'S&amp;U'!$S$20*'Loan Sizing'!E131/'Loan Sizing'!$E$136+G131</f>
        <v>6543426.5269220322</v>
      </c>
      <c r="G131" s="33">
        <v>0</v>
      </c>
      <c r="H131" s="41">
        <f ca="1">+Budget!$I$14</f>
        <v>128434</v>
      </c>
    </row>
    <row r="132" spans="1:8" ht="16" customHeight="1" x14ac:dyDescent="0.2">
      <c r="A132" s="205">
        <f t="shared" si="11"/>
        <v>4</v>
      </c>
      <c r="B132" s="40" t="s">
        <v>145</v>
      </c>
      <c r="C132" s="40"/>
      <c r="D132" s="40"/>
      <c r="E132" s="33">
        <f ca="1">-OFFSET(Budget!$AJ$82,0,'Loan Sizing'!A132)</f>
        <v>0</v>
      </c>
      <c r="F132" s="33">
        <f ca="1">+'S&amp;U'!$S$20*'Loan Sizing'!E132/'Loan Sizing'!$E$136+G132</f>
        <v>6.2400000000000012E-5</v>
      </c>
      <c r="G132" s="33">
        <f>+'S&amp;U'!$I$21</f>
        <v>6.2400000000000012E-5</v>
      </c>
      <c r="H132" s="41">
        <f ca="1">+Budget!$I$15</f>
        <v>0</v>
      </c>
    </row>
    <row r="133" spans="1:8" ht="16" customHeight="1" x14ac:dyDescent="0.2">
      <c r="A133" s="205">
        <f t="shared" si="11"/>
        <v>5</v>
      </c>
      <c r="B133" s="40" t="s">
        <v>146</v>
      </c>
      <c r="C133" s="40"/>
      <c r="D133" s="40"/>
      <c r="E133" s="33">
        <f ca="1">-OFFSET(Budget!$AJ$82,0,'Loan Sizing'!A133)</f>
        <v>-34707814.198342048</v>
      </c>
      <c r="F133" s="33">
        <f ca="1">+'S&amp;U'!$S$20*'Loan Sizing'!E133/'Loan Sizing'!$E$136+G133</f>
        <v>6821740.7279062187</v>
      </c>
      <c r="G133" s="33">
        <v>0</v>
      </c>
      <c r="H133" s="41">
        <f ca="1">+Budget!$I$16</f>
        <v>149930</v>
      </c>
    </row>
    <row r="134" spans="1:8" ht="16" customHeight="1" x14ac:dyDescent="0.2">
      <c r="A134" s="205">
        <f t="shared" si="11"/>
        <v>6</v>
      </c>
      <c r="B134" s="40" t="s">
        <v>235</v>
      </c>
      <c r="C134" s="40"/>
      <c r="D134" s="40"/>
      <c r="E134" s="33">
        <f ca="1">-OFFSET(Budget!$AJ$82,0,'Loan Sizing'!A134)</f>
        <v>-1.4329553248558267E-5</v>
      </c>
      <c r="F134" s="33">
        <f ca="1">+'S&amp;U'!$S$20*'Loan Sizing'!E134/'Loan Sizing'!$E$136+G134</f>
        <v>2.816440598931762E-6</v>
      </c>
      <c r="G134" s="33">
        <v>0</v>
      </c>
      <c r="H134" s="41">
        <f ca="1">+Budget!$I$17</f>
        <v>0</v>
      </c>
    </row>
    <row r="135" spans="1:8" ht="16" customHeight="1" x14ac:dyDescent="0.2">
      <c r="A135" s="205">
        <f t="shared" si="11"/>
        <v>7</v>
      </c>
      <c r="B135" s="40" t="s">
        <v>221</v>
      </c>
      <c r="C135" s="40"/>
      <c r="D135" s="40"/>
      <c r="E135" s="33">
        <f ca="1">-Budget!AQ82-Budget!AR82</f>
        <v>-9431270.9997671284</v>
      </c>
      <c r="F135" s="33">
        <f ca="1">+'S&amp;U'!$S$20*'Loan Sizing'!E135/'Loan Sizing'!$E$136+G135</f>
        <v>1853694.5348205063</v>
      </c>
      <c r="G135" s="33">
        <v>0</v>
      </c>
      <c r="H135" s="41">
        <f ca="1">+Budget!$I$18+Budget!$I$19</f>
        <v>106000</v>
      </c>
    </row>
    <row r="136" spans="1:8" ht="16" customHeight="1" x14ac:dyDescent="0.2">
      <c r="B136" s="118" t="s">
        <v>17</v>
      </c>
      <c r="C136" s="40"/>
      <c r="D136" s="40"/>
      <c r="E136" s="33">
        <f ca="1">+SUM(E128:E135)</f>
        <v>-221752349.34810919</v>
      </c>
      <c r="F136" s="33">
        <f ca="1">+SUM(F128:F135)</f>
        <v>52417251.889264934</v>
      </c>
      <c r="G136" s="33">
        <f>+SUM(G128:G135)</f>
        <v>8832339.7305169478</v>
      </c>
      <c r="H136" s="40"/>
    </row>
    <row r="137" spans="1:8" ht="16" customHeight="1" x14ac:dyDescent="0.2">
      <c r="B137" s="40"/>
      <c r="C137" s="40"/>
      <c r="D137" s="40"/>
      <c r="E137" s="33"/>
      <c r="F137" s="550"/>
      <c r="G137" s="40"/>
      <c r="H137" s="40"/>
    </row>
    <row r="138" spans="1:8" ht="16" customHeight="1" x14ac:dyDescent="0.2">
      <c r="B138" s="118"/>
      <c r="C138" s="40"/>
      <c r="D138" s="40"/>
      <c r="E138" s="551" t="s">
        <v>255</v>
      </c>
      <c r="F138" s="551" t="s">
        <v>737</v>
      </c>
      <c r="G138" s="551" t="s">
        <v>656</v>
      </c>
      <c r="H138" s="40"/>
    </row>
    <row r="139" spans="1:8" ht="16" customHeight="1" x14ac:dyDescent="0.2">
      <c r="B139" s="40" t="str">
        <f t="shared" ref="B139:B146" si="12">+B128</f>
        <v>Affordable Residential</v>
      </c>
      <c r="C139" s="40"/>
      <c r="D139" s="40"/>
      <c r="E139" s="115">
        <f ca="1">-$G$17/E128</f>
        <v>1.1295608342023197E-2</v>
      </c>
      <c r="F139" s="115">
        <f ca="1">-$G$17/SUM(E128:F128)</f>
        <v>3.1460912792295875E-2</v>
      </c>
      <c r="G139" s="115">
        <f>+$G$81</f>
        <v>5.7500000000000002E-2</v>
      </c>
      <c r="H139" s="115"/>
    </row>
    <row r="140" spans="1:8" ht="16" customHeight="1" x14ac:dyDescent="0.2">
      <c r="B140" s="40" t="str">
        <f t="shared" si="12"/>
        <v>Market Rate and WF Residential</v>
      </c>
      <c r="C140" s="40"/>
      <c r="D140" s="40"/>
      <c r="E140" s="115">
        <f ca="1">-$G$18/E129</f>
        <v>6.0171039305695215E-2</v>
      </c>
      <c r="F140" s="115">
        <f ca="1">-$G$18/SUM(E129:F129)</f>
        <v>7.4890617159037651E-2</v>
      </c>
      <c r="G140" s="115">
        <f>+$G$82</f>
        <v>5.5E-2</v>
      </c>
      <c r="H140" s="115"/>
    </row>
    <row r="141" spans="1:8" ht="16" customHeight="1" x14ac:dyDescent="0.2">
      <c r="B141" s="40" t="str">
        <f t="shared" si="12"/>
        <v>Retail</v>
      </c>
      <c r="C141" s="40"/>
      <c r="D141" s="40"/>
      <c r="E141" s="115">
        <f ca="1">-$G$19/E130</f>
        <v>7.7895230010246633E-2</v>
      </c>
      <c r="F141" s="115">
        <f ca="1">-$G$19/SUM(E130:F130)</f>
        <v>9.6950657933216153E-2</v>
      </c>
      <c r="G141" s="115">
        <f>+$G$83</f>
        <v>6.5000000000000002E-2</v>
      </c>
      <c r="H141" s="115"/>
    </row>
    <row r="142" spans="1:8" ht="16" customHeight="1" x14ac:dyDescent="0.2">
      <c r="B142" s="40" t="str">
        <f t="shared" si="12"/>
        <v>Hotel</v>
      </c>
      <c r="C142" s="40"/>
      <c r="D142" s="40"/>
      <c r="E142" s="115">
        <f ca="1">-$G$38/E131</f>
        <v>0.10560172910084137</v>
      </c>
      <c r="F142" s="115">
        <f ca="1">-$G$38/SUM(E131:F131)</f>
        <v>0.13143496866066207</v>
      </c>
      <c r="G142" s="115">
        <f>+$G$84</f>
        <v>0.08</v>
      </c>
      <c r="H142" s="115"/>
    </row>
    <row r="143" spans="1:8" ht="16" customHeight="1" x14ac:dyDescent="0.2">
      <c r="B143" s="40" t="str">
        <f t="shared" si="12"/>
        <v>Community Facility</v>
      </c>
      <c r="C143" s="40"/>
      <c r="D143" s="40"/>
      <c r="E143" s="711">
        <v>0</v>
      </c>
      <c r="F143" s="115">
        <v>0</v>
      </c>
      <c r="G143" s="115">
        <v>0</v>
      </c>
      <c r="H143" s="115"/>
    </row>
    <row r="144" spans="1:8" ht="16" customHeight="1" x14ac:dyDescent="0.2">
      <c r="B144" s="40" t="str">
        <f t="shared" si="12"/>
        <v>Office</v>
      </c>
      <c r="C144" s="40"/>
      <c r="D144" s="40"/>
      <c r="E144" s="115">
        <f ca="1">-$G$21/E133</f>
        <v>8.0917434080407608E-2</v>
      </c>
      <c r="F144" s="115">
        <f ca="1">-$G$21/SUM(E133:F133)</f>
        <v>0.10071218059605451</v>
      </c>
      <c r="G144" s="115">
        <f>+$G$86</f>
        <v>6.5000000000000002E-2</v>
      </c>
      <c r="H144" s="115"/>
    </row>
    <row r="145" spans="1:20" ht="16" customHeight="1" x14ac:dyDescent="0.2">
      <c r="B145" s="40" t="str">
        <f t="shared" si="12"/>
        <v>Industrial</v>
      </c>
      <c r="C145" s="40"/>
      <c r="D145" s="40"/>
      <c r="E145" s="115">
        <v>0</v>
      </c>
      <c r="F145" s="115">
        <v>0</v>
      </c>
      <c r="G145" s="115">
        <v>0</v>
      </c>
      <c r="H145" s="115"/>
    </row>
    <row r="146" spans="1:20" ht="16" customHeight="1" x14ac:dyDescent="0.2">
      <c r="B146" s="40" t="str">
        <f t="shared" si="12"/>
        <v>Parking</v>
      </c>
      <c r="C146" s="40"/>
      <c r="D146" s="40"/>
      <c r="E146" s="115">
        <f ca="1">-$F$22/E135</f>
        <v>2.0159506215981643E-2</v>
      </c>
      <c r="F146" s="115">
        <f ca="1">-$G$22/SUM(E135:F135)</f>
        <v>3.3338641837067064E-2</v>
      </c>
      <c r="G146" s="115">
        <f>+$G$88</f>
        <v>6.5000000000000002E-2</v>
      </c>
      <c r="H146" s="115"/>
    </row>
    <row r="147" spans="1:20" ht="16" customHeight="1" x14ac:dyDescent="0.2">
      <c r="B147" s="118"/>
      <c r="C147" s="40"/>
      <c r="D147" s="40"/>
      <c r="E147" s="33"/>
      <c r="F147" s="33"/>
      <c r="G147" s="33"/>
      <c r="H147" s="40"/>
    </row>
    <row r="148" spans="1:20" ht="16" customHeight="1" x14ac:dyDescent="0.2">
      <c r="B148" s="118"/>
      <c r="C148" s="40"/>
      <c r="D148" s="40"/>
      <c r="E148" s="551" t="s">
        <v>738</v>
      </c>
    </row>
    <row r="149" spans="1:20" ht="16" customHeight="1" x14ac:dyDescent="0.2">
      <c r="B149" s="40" t="s">
        <v>393</v>
      </c>
      <c r="C149" s="40"/>
      <c r="D149" s="40"/>
      <c r="E149" s="115">
        <f ca="1">+'Cash Flow Roll-up'!C56</f>
        <v>0.13785665601235575</v>
      </c>
    </row>
    <row r="150" spans="1:20" ht="16" customHeight="1" x14ac:dyDescent="0.2">
      <c r="B150" s="40" t="s">
        <v>739</v>
      </c>
      <c r="C150" s="40"/>
      <c r="D150" s="40"/>
      <c r="E150" s="115">
        <f ca="1">+'Cash Flow Roll-up'!D56</f>
        <v>0.25390363378108316</v>
      </c>
    </row>
    <row r="151" spans="1:20" ht="16" customHeight="1" x14ac:dyDescent="0.2">
      <c r="B151" s="40" t="s">
        <v>740</v>
      </c>
      <c r="C151" s="40"/>
      <c r="D151" s="40"/>
      <c r="E151" s="115">
        <f ca="1">+'Cash Flow Roll-up'!E56</f>
        <v>0.32964171412919913</v>
      </c>
    </row>
    <row r="155" spans="1:20" ht="16" customHeight="1" x14ac:dyDescent="0.15">
      <c r="T155" t="s">
        <v>743</v>
      </c>
    </row>
    <row r="156" spans="1:20" ht="16" customHeight="1" thickBot="1" x14ac:dyDescent="0.25">
      <c r="B156" s="118" t="s">
        <v>378</v>
      </c>
      <c r="C156" s="40"/>
      <c r="D156" s="40"/>
      <c r="E156" s="551" t="s">
        <v>654</v>
      </c>
      <c r="F156" s="551" t="s">
        <v>655</v>
      </c>
      <c r="G156" s="551" t="s">
        <v>174</v>
      </c>
      <c r="H156" s="551" t="s">
        <v>227</v>
      </c>
      <c r="J156" s="1078" t="s">
        <v>378</v>
      </c>
      <c r="K156" s="1078"/>
      <c r="L156" s="1078"/>
      <c r="M156" s="1078"/>
      <c r="N156" s="1078"/>
      <c r="O156" s="1078"/>
      <c r="P156" s="1078"/>
      <c r="Q156" s="1078"/>
      <c r="R156" s="1078"/>
    </row>
    <row r="157" spans="1:20" ht="16" customHeight="1" x14ac:dyDescent="0.2">
      <c r="A157" s="205">
        <v>0</v>
      </c>
      <c r="B157" s="40" t="s">
        <v>141</v>
      </c>
      <c r="C157" s="40"/>
      <c r="D157" s="40"/>
      <c r="E157" s="33">
        <f ca="1">-OFFSET(Budget!$AU$82,0,'Loan Sizing'!A157)</f>
        <v>-25811527.41680558</v>
      </c>
      <c r="F157" s="33">
        <f ca="1">+'S&amp;U'!$T$20*'Loan Sizing'!E157/'Loan Sizing'!$E$165+G157</f>
        <v>14798713.084166562</v>
      </c>
      <c r="G157" s="33">
        <f>+'S&amp;U'!$J$20</f>
        <v>10625026.803841824</v>
      </c>
      <c r="H157" s="41">
        <f ca="1">+Budget!$J$11</f>
        <v>107120.45511111115</v>
      </c>
    </row>
    <row r="158" spans="1:20" ht="16" customHeight="1" x14ac:dyDescent="0.2">
      <c r="A158" s="205">
        <f t="shared" ref="A158:A164" si="13">+A157+1</f>
        <v>1</v>
      </c>
      <c r="B158" s="40" t="s">
        <v>928</v>
      </c>
      <c r="C158" s="40"/>
      <c r="D158" s="40"/>
      <c r="E158" s="33">
        <f ca="1">-OFFSET(Budget!$AU$82,0,'Loan Sizing'!A158)</f>
        <v>-114965644.88041554</v>
      </c>
      <c r="F158" s="33">
        <f ca="1">+'S&amp;U'!$T$20*'Loan Sizing'!E158/'Loan Sizing'!$E$165+G158</f>
        <v>18589776.846513327</v>
      </c>
      <c r="G158" s="33">
        <f>+'S&amp;U'!$J$22</f>
        <v>0</v>
      </c>
      <c r="H158" s="41">
        <f ca="1">+Budget!$J$12</f>
        <v>428481.8204444446</v>
      </c>
    </row>
    <row r="159" spans="1:20" ht="16" customHeight="1" x14ac:dyDescent="0.2">
      <c r="A159" s="205">
        <f t="shared" si="13"/>
        <v>2</v>
      </c>
      <c r="B159" s="40" t="s">
        <v>25</v>
      </c>
      <c r="C159" s="40"/>
      <c r="D159" s="40"/>
      <c r="E159" s="33">
        <f ca="1">-OFFSET(Budget!$AU$82,0,'Loan Sizing'!A159)</f>
        <v>-19655999.820918392</v>
      </c>
      <c r="F159" s="33">
        <f ca="1">+'S&amp;U'!$T$20*'Loan Sizing'!E159/'Loan Sizing'!$E$165+G159</f>
        <v>3178346.4594667363</v>
      </c>
      <c r="G159" s="33">
        <v>0</v>
      </c>
      <c r="H159" s="41">
        <f ca="1">+Budget!$J$13</f>
        <v>78330</v>
      </c>
    </row>
    <row r="160" spans="1:20" ht="16" customHeight="1" x14ac:dyDescent="0.2">
      <c r="A160" s="205">
        <f t="shared" si="13"/>
        <v>3</v>
      </c>
      <c r="B160" s="40" t="s">
        <v>26</v>
      </c>
      <c r="C160" s="40"/>
      <c r="D160" s="40"/>
      <c r="E160" s="33">
        <f ca="1">-OFFSET(Budget!$AU$82,0,'Loan Sizing'!A160)</f>
        <v>-6193994.1406005817</v>
      </c>
      <c r="F160" s="33">
        <f ca="1">+'S&amp;U'!$T$20*'Loan Sizing'!E160/'Loan Sizing'!$E$165+G160</f>
        <v>1001559.8049499649</v>
      </c>
      <c r="G160" s="33">
        <v>0</v>
      </c>
      <c r="H160" s="41">
        <f ca="1">+Budget!$J$14</f>
        <v>22366.613333333331</v>
      </c>
    </row>
    <row r="161" spans="1:8" ht="16" customHeight="1" x14ac:dyDescent="0.2">
      <c r="A161" s="205">
        <f t="shared" si="13"/>
        <v>4</v>
      </c>
      <c r="B161" s="40" t="s">
        <v>145</v>
      </c>
      <c r="C161" s="40"/>
      <c r="D161" s="40"/>
      <c r="E161" s="33">
        <f ca="1">-OFFSET(Budget!$AU$82,0,'Loan Sizing'!A161)</f>
        <v>-18874786.777845979</v>
      </c>
      <c r="F161" s="33">
        <f ca="1">+'S&amp;U'!$T$20*'Loan Sizing'!E161/'Loan Sizing'!$E$165+G161</f>
        <v>8590025.4515220784</v>
      </c>
      <c r="G161" s="33">
        <f>+'S&amp;U'!$J$21</f>
        <v>5538000</v>
      </c>
      <c r="H161" s="41">
        <f ca="1">+Budget!$J$15</f>
        <v>78210</v>
      </c>
    </row>
    <row r="162" spans="1:8" ht="16" customHeight="1" x14ac:dyDescent="0.2">
      <c r="A162" s="205">
        <f t="shared" si="13"/>
        <v>5</v>
      </c>
      <c r="B162" s="40" t="s">
        <v>146</v>
      </c>
      <c r="C162" s="40"/>
      <c r="D162" s="40"/>
      <c r="E162" s="33">
        <f ca="1">-OFFSET(Budget!$AU$82,0,'Loan Sizing'!A162)</f>
        <v>-155012434.24978614</v>
      </c>
      <c r="F162" s="33">
        <f ca="1">+'S&amp;U'!$T$20*'Loan Sizing'!E162/'Loan Sizing'!$E$165+G162</f>
        <v>25065284.191079538</v>
      </c>
      <c r="G162" s="33">
        <v>0</v>
      </c>
      <c r="H162" s="41">
        <f ca="1">+Budget!$J$16</f>
        <v>612540.11111111101</v>
      </c>
    </row>
    <row r="163" spans="1:8" ht="16" customHeight="1" x14ac:dyDescent="0.2">
      <c r="A163" s="205">
        <f t="shared" si="13"/>
        <v>6</v>
      </c>
      <c r="B163" s="40" t="s">
        <v>235</v>
      </c>
      <c r="C163" s="40"/>
      <c r="D163" s="40"/>
      <c r="E163" s="33">
        <f ca="1">-OFFSET(Budget!$AU$82,0,'Loan Sizing'!A163)</f>
        <v>-43192791.940696955</v>
      </c>
      <c r="F163" s="33">
        <f ca="1">+'S&amp;U'!$T$20*'Loan Sizing'!E163/'Loan Sizing'!$E$165+G163</f>
        <v>6984211.3649746301</v>
      </c>
      <c r="G163" s="33">
        <v>0</v>
      </c>
      <c r="H163" s="41">
        <f ca="1">+Budget!$J$17</f>
        <v>234630</v>
      </c>
    </row>
    <row r="164" spans="1:8" ht="16" customHeight="1" x14ac:dyDescent="0.2">
      <c r="A164" s="205">
        <f t="shared" si="13"/>
        <v>7</v>
      </c>
      <c r="B164" s="40" t="s">
        <v>221</v>
      </c>
      <c r="C164" s="40"/>
      <c r="D164" s="40"/>
      <c r="E164" s="33">
        <f ca="1">-Budget!BB82-Budget!BC82</f>
        <v>-13787052.110180764</v>
      </c>
      <c r="F164" s="33">
        <f ca="1">+'S&amp;U'!$T$20*'Loan Sizing'!E164/'Loan Sizing'!$E$165+G164</f>
        <v>2229346.1874293513</v>
      </c>
      <c r="G164" s="33">
        <v>0</v>
      </c>
      <c r="H164" s="41">
        <f ca="1">+Budget!$J$18+Budget!$J$19</f>
        <v>198000</v>
      </c>
    </row>
    <row r="165" spans="1:8" ht="16" customHeight="1" x14ac:dyDescent="0.2">
      <c r="B165" s="118" t="s">
        <v>17</v>
      </c>
      <c r="C165" s="40"/>
      <c r="D165" s="40"/>
      <c r="E165" s="33">
        <f ca="1">+SUM(E157:E164)</f>
        <v>-397494231.33724988</v>
      </c>
      <c r="F165" s="33">
        <f ca="1">+SUM(F157:F164)</f>
        <v>80437263.390102193</v>
      </c>
      <c r="G165" s="33">
        <f>+SUM(G157:G164)</f>
        <v>16163026.803841824</v>
      </c>
      <c r="H165" s="40"/>
    </row>
    <row r="166" spans="1:8" ht="16" customHeight="1" x14ac:dyDescent="0.2">
      <c r="B166" s="40"/>
      <c r="C166" s="40"/>
      <c r="D166" s="40"/>
      <c r="E166" s="33"/>
      <c r="F166" s="550"/>
      <c r="G166" s="40"/>
      <c r="H166" s="40"/>
    </row>
    <row r="167" spans="1:8" ht="16" customHeight="1" x14ac:dyDescent="0.2">
      <c r="B167" s="118"/>
      <c r="C167" s="40"/>
      <c r="D167" s="40"/>
      <c r="E167" s="551" t="s">
        <v>255</v>
      </c>
      <c r="F167" s="551" t="s">
        <v>737</v>
      </c>
      <c r="G167" s="551" t="s">
        <v>656</v>
      </c>
      <c r="H167" s="40"/>
    </row>
    <row r="168" spans="1:8" ht="16" customHeight="1" x14ac:dyDescent="0.2">
      <c r="B168" s="40" t="str">
        <f t="shared" ref="B168:B175" si="14">+B157</f>
        <v>Affordable Residential</v>
      </c>
      <c r="C168" s="40"/>
      <c r="D168" s="40"/>
      <c r="E168" s="115">
        <f ca="1">-$H$17/E157</f>
        <v>1.1267604998614962E-2</v>
      </c>
      <c r="F168" s="115">
        <f ca="1">-$H$17/SUM(E157:F157)</f>
        <v>2.6408698681274569E-2</v>
      </c>
      <c r="G168" s="115">
        <f>+$G$81</f>
        <v>5.7500000000000002E-2</v>
      </c>
      <c r="H168" s="115"/>
    </row>
    <row r="169" spans="1:8" ht="16" customHeight="1" x14ac:dyDescent="0.2">
      <c r="B169" s="40" t="str">
        <f t="shared" si="14"/>
        <v>Market Rate and WF Residential</v>
      </c>
      <c r="C169" s="40"/>
      <c r="D169" s="40"/>
      <c r="E169" s="115">
        <f ca="1">-$H$18/E158</f>
        <v>6.0254779865775612E-2</v>
      </c>
      <c r="F169" s="115">
        <f ca="1">-$H$18/SUM(E158:F158)</f>
        <v>7.1877221608624836E-2</v>
      </c>
      <c r="G169" s="115">
        <f>+$G$82</f>
        <v>5.5E-2</v>
      </c>
      <c r="H169" s="115"/>
    </row>
    <row r="170" spans="1:8" ht="16" customHeight="1" x14ac:dyDescent="0.2">
      <c r="B170" s="40" t="str">
        <f t="shared" si="14"/>
        <v>Retail</v>
      </c>
      <c r="C170" s="40"/>
      <c r="D170" s="40"/>
      <c r="E170" s="115">
        <f ca="1">-$H$19/E159</f>
        <v>7.4849815854765189E-2</v>
      </c>
      <c r="F170" s="115">
        <f ca="1">-$H$19/SUM(E159:F159)</f>
        <v>8.9287469202315145E-2</v>
      </c>
      <c r="G170" s="115">
        <f>+$G$83</f>
        <v>6.5000000000000002E-2</v>
      </c>
      <c r="H170" s="115"/>
    </row>
    <row r="171" spans="1:8" ht="16" customHeight="1" x14ac:dyDescent="0.2">
      <c r="B171" s="40" t="str">
        <f t="shared" si="14"/>
        <v>Hotel</v>
      </c>
      <c r="C171" s="40"/>
      <c r="D171" s="40"/>
      <c r="E171" s="115">
        <f ca="1">-$H$38/E160</f>
        <v>8.7822715066221524E-2</v>
      </c>
      <c r="F171" s="115">
        <f ca="1">-$H$38/SUM(E160:F160)</f>
        <v>0.10476268882149477</v>
      </c>
      <c r="G171" s="115">
        <f>+$G$84</f>
        <v>0.08</v>
      </c>
      <c r="H171" s="115"/>
    </row>
    <row r="172" spans="1:8" ht="16" customHeight="1" x14ac:dyDescent="0.2">
      <c r="B172" s="40" t="str">
        <f t="shared" si="14"/>
        <v>Community Facility</v>
      </c>
      <c r="C172" s="40"/>
      <c r="D172" s="40"/>
      <c r="E172" s="115">
        <f ca="1">-$H$20/E161</f>
        <v>3.9364418191578182E-2</v>
      </c>
      <c r="F172" s="115">
        <f ca="1">-$H$20/SUM(E161:F161)</f>
        <v>7.2242318166227157E-2</v>
      </c>
      <c r="G172" s="115">
        <f>+$G$85</f>
        <v>6.7500000000000004E-2</v>
      </c>
      <c r="H172" s="115"/>
    </row>
    <row r="173" spans="1:8" ht="16" customHeight="1" x14ac:dyDescent="0.2">
      <c r="B173" s="40" t="str">
        <f t="shared" si="14"/>
        <v>Office</v>
      </c>
      <c r="C173" s="40"/>
      <c r="D173" s="40"/>
      <c r="E173" s="115">
        <f ca="1">-$H$21/E162</f>
        <v>8.2651304836523637E-2</v>
      </c>
      <c r="F173" s="115">
        <f ca="1">-$H$21/SUM(E162:F162)</f>
        <v>9.8593774090794187E-2</v>
      </c>
      <c r="G173" s="115">
        <f>+$G$86</f>
        <v>6.5000000000000002E-2</v>
      </c>
      <c r="H173" s="115"/>
    </row>
    <row r="174" spans="1:8" ht="16" customHeight="1" x14ac:dyDescent="0.2">
      <c r="B174" s="40" t="str">
        <f t="shared" si="14"/>
        <v>Industrial</v>
      </c>
      <c r="C174" s="40"/>
      <c r="D174" s="40"/>
      <c r="E174" s="115">
        <f ca="1">-$H$54/E163</f>
        <v>6.6325731728533371E-2</v>
      </c>
      <c r="F174" s="115">
        <f ca="1">-$H$54/SUM(E163:F163)</f>
        <v>7.9119189024102615E-2</v>
      </c>
      <c r="G174" s="115">
        <f>+$G$87</f>
        <v>5.5E-2</v>
      </c>
      <c r="H174" s="115"/>
    </row>
    <row r="175" spans="1:8" ht="16" customHeight="1" x14ac:dyDescent="0.2">
      <c r="B175" s="40" t="str">
        <f t="shared" si="14"/>
        <v>Parking</v>
      </c>
      <c r="C175" s="40"/>
      <c r="D175" s="40"/>
      <c r="E175" s="115">
        <f ca="1">-$H$22/E164</f>
        <v>3.688884458134286E-2</v>
      </c>
      <c r="F175" s="115">
        <f ca="1">-$H$22/SUM(E164:F164)</f>
        <v>4.4004270910386632E-2</v>
      </c>
      <c r="G175" s="115">
        <f>+$G$88</f>
        <v>6.5000000000000002E-2</v>
      </c>
      <c r="H175" s="115"/>
    </row>
    <row r="176" spans="1:8" ht="16" customHeight="1" x14ac:dyDescent="0.2">
      <c r="B176" s="118"/>
      <c r="C176" s="40"/>
      <c r="D176" s="40"/>
      <c r="E176" s="33"/>
      <c r="F176" s="33"/>
      <c r="G176" s="33"/>
      <c r="H176" s="40"/>
    </row>
    <row r="177" spans="2:5" ht="16" customHeight="1" x14ac:dyDescent="0.2">
      <c r="B177" s="118"/>
      <c r="C177" s="40"/>
      <c r="D177" s="40"/>
      <c r="E177" s="551" t="s">
        <v>738</v>
      </c>
    </row>
    <row r="178" spans="2:5" ht="16" customHeight="1" x14ac:dyDescent="0.2">
      <c r="B178" s="40" t="s">
        <v>393</v>
      </c>
      <c r="C178" s="40"/>
      <c r="D178" s="40"/>
      <c r="E178" s="115">
        <f ca="1">+'Cash Flow Roll-up'!C57</f>
        <v>0.14509319275795374</v>
      </c>
    </row>
    <row r="179" spans="2:5" ht="16" customHeight="1" x14ac:dyDescent="0.2">
      <c r="B179" s="40" t="s">
        <v>739</v>
      </c>
      <c r="C179" s="40"/>
      <c r="D179" s="40"/>
      <c r="E179" s="115">
        <f ca="1">+'Cash Flow Roll-up'!D57</f>
        <v>0.24148009708429607</v>
      </c>
    </row>
    <row r="180" spans="2:5" ht="16" customHeight="1" x14ac:dyDescent="0.2">
      <c r="B180" s="40" t="s">
        <v>740</v>
      </c>
      <c r="C180" s="40"/>
      <c r="D180" s="40"/>
      <c r="E180" s="115">
        <f ca="1">+'Cash Flow Roll-up'!E57</f>
        <v>0.29078066901367555</v>
      </c>
    </row>
    <row r="280" ht="37.5" customHeight="1" x14ac:dyDescent="0.15"/>
  </sheetData>
  <mergeCells count="8">
    <mergeCell ref="J98:R98"/>
    <mergeCell ref="J127:R127"/>
    <mergeCell ref="J156:R156"/>
    <mergeCell ref="B67:H67"/>
    <mergeCell ref="I3:J3"/>
    <mergeCell ref="K3:L3"/>
    <mergeCell ref="M3:N3"/>
    <mergeCell ref="J69:R6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B2:Z116"/>
  <sheetViews>
    <sheetView showGridLines="0" zoomScale="75" zoomScaleNormal="90" workbookViewId="0">
      <selection activeCell="M12" sqref="M12"/>
    </sheetView>
  </sheetViews>
  <sheetFormatPr baseColWidth="10" defaultColWidth="14.6640625" defaultRowHeight="16" x14ac:dyDescent="0.2"/>
  <cols>
    <col min="1" max="1" width="8.6640625" style="40" customWidth="1"/>
    <col min="2" max="2" width="44.5" style="40" bestFit="1" customWidth="1"/>
    <col min="3" max="3" width="12.6640625" style="40" customWidth="1"/>
    <col min="4" max="4" width="16.1640625" style="40" bestFit="1" customWidth="1"/>
    <col min="5" max="5" width="15" style="40" bestFit="1" customWidth="1"/>
    <col min="6" max="9" width="12.6640625" style="40" customWidth="1"/>
    <col min="10" max="12" width="12.6640625" style="40" hidden="1" customWidth="1"/>
    <col min="13" max="13" width="17.1640625" style="40" bestFit="1" customWidth="1"/>
    <col min="14" max="14" width="53.5" style="40" customWidth="1"/>
    <col min="15" max="15" width="14.6640625" style="974"/>
    <col min="16" max="16" width="15.83203125" style="328" bestFit="1" customWidth="1"/>
    <col min="17" max="17" width="20.6640625" style="40" bestFit="1" customWidth="1"/>
    <col min="18" max="18" width="21.1640625" style="40" bestFit="1" customWidth="1"/>
    <col min="19" max="19" width="31.33203125" style="40" bestFit="1" customWidth="1"/>
    <col min="20" max="20" width="19.83203125" style="40" bestFit="1" customWidth="1"/>
    <col min="21" max="21" width="17.33203125" style="40" bestFit="1" customWidth="1"/>
    <col min="22" max="22" width="22.83203125" style="40" bestFit="1" customWidth="1"/>
    <col min="23" max="23" width="23.33203125" style="40" bestFit="1" customWidth="1"/>
    <col min="24" max="24" width="16.83203125" style="40" bestFit="1" customWidth="1"/>
    <col min="25" max="25" width="20.33203125" style="40" bestFit="1" customWidth="1"/>
    <col min="26" max="16384" width="14.6640625" style="40"/>
  </cols>
  <sheetData>
    <row r="2" spans="2:15" x14ac:dyDescent="0.2">
      <c r="B2" s="922"/>
      <c r="C2" s="1080" t="s">
        <v>938</v>
      </c>
      <c r="D2" s="1080"/>
      <c r="E2" s="1080"/>
      <c r="F2" s="1080"/>
      <c r="G2" s="1080" t="s">
        <v>939</v>
      </c>
      <c r="H2" s="1080"/>
      <c r="I2" s="1080"/>
      <c r="J2" s="1080"/>
      <c r="K2" s="1080"/>
      <c r="L2" s="1080"/>
      <c r="M2" s="1080"/>
    </row>
    <row r="3" spans="2:15" ht="18" x14ac:dyDescent="0.2">
      <c r="B3" s="923" t="s">
        <v>937</v>
      </c>
      <c r="C3" s="1083" t="s">
        <v>1024</v>
      </c>
      <c r="D3" s="1083"/>
      <c r="E3" s="924" t="s">
        <v>717</v>
      </c>
      <c r="F3" s="924" t="s">
        <v>945</v>
      </c>
      <c r="G3" s="1083" t="s">
        <v>941</v>
      </c>
      <c r="H3" s="1083"/>
      <c r="I3" s="924" t="s">
        <v>1025</v>
      </c>
      <c r="J3" s="924" t="s">
        <v>21</v>
      </c>
      <c r="K3" s="924" t="s">
        <v>375</v>
      </c>
      <c r="L3" s="924" t="s">
        <v>378</v>
      </c>
      <c r="M3" s="924" t="s">
        <v>940</v>
      </c>
      <c r="O3" s="975"/>
    </row>
    <row r="4" spans="2:15" x14ac:dyDescent="0.2">
      <c r="B4" s="923"/>
      <c r="C4" s="924" t="s">
        <v>942</v>
      </c>
      <c r="D4" s="924" t="s">
        <v>943</v>
      </c>
      <c r="E4" s="924" t="s">
        <v>944</v>
      </c>
      <c r="F4" s="924" t="s">
        <v>711</v>
      </c>
      <c r="G4" s="924" t="s">
        <v>942</v>
      </c>
      <c r="H4" s="924" t="s">
        <v>943</v>
      </c>
      <c r="I4" s="924" t="s">
        <v>1026</v>
      </c>
      <c r="J4" s="924"/>
      <c r="K4" s="924"/>
      <c r="L4" s="924"/>
      <c r="M4" s="924" t="s">
        <v>944</v>
      </c>
      <c r="O4" s="975"/>
    </row>
    <row r="5" spans="2:15" x14ac:dyDescent="0.2">
      <c r="B5" s="40" t="str">
        <f>'Loan Sizing'!B170</f>
        <v>Retail</v>
      </c>
      <c r="C5" s="925">
        <v>68709276</v>
      </c>
      <c r="D5" s="925"/>
      <c r="E5" s="33">
        <f>Q35</f>
        <v>25.857142857142858</v>
      </c>
      <c r="F5" s="926">
        <v>6.6000000000000003E-2</v>
      </c>
      <c r="G5" s="844">
        <f>'Summary II'!E34</f>
        <v>423297</v>
      </c>
      <c r="H5" s="844"/>
      <c r="I5" s="927">
        <f>IFERROR(G5/C5,0)</f>
        <v>6.1606965557314272E-3</v>
      </c>
      <c r="J5" s="844">
        <f ca="1">'Loan Sizing'!H101</f>
        <v>244375</v>
      </c>
      <c r="K5" s="844">
        <f ca="1">'Loan Sizing'!H130</f>
        <v>154000</v>
      </c>
      <c r="L5" s="844">
        <f ca="1">'Loan Sizing'!H159</f>
        <v>78330</v>
      </c>
      <c r="M5" s="33">
        <f>'Assumptions and Sensis'!F156</f>
        <v>23</v>
      </c>
      <c r="O5" s="975"/>
    </row>
    <row r="6" spans="2:15" x14ac:dyDescent="0.2">
      <c r="B6" s="40" t="str">
        <f>'Loan Sizing'!B173</f>
        <v>Office</v>
      </c>
      <c r="C6" s="925">
        <v>33656170</v>
      </c>
      <c r="D6" s="925"/>
      <c r="E6" s="33">
        <f>Q25</f>
        <v>25.4</v>
      </c>
      <c r="F6" s="926">
        <v>0.14399999999999999</v>
      </c>
      <c r="G6" s="844">
        <f>'Summary II'!E37</f>
        <v>1133974.8999999999</v>
      </c>
      <c r="H6" s="844"/>
      <c r="I6" s="927">
        <f>IFERROR(G6/C6,0)</f>
        <v>3.3692927626643193E-2</v>
      </c>
      <c r="J6" s="844">
        <f ca="1">'Loan Sizing'!H104</f>
        <v>455632</v>
      </c>
      <c r="K6" s="844">
        <f ca="1">'Loan Sizing'!H133</f>
        <v>149930</v>
      </c>
      <c r="L6" s="844">
        <f ca="1">'Loan Sizing'!H162</f>
        <v>612540.11111111101</v>
      </c>
      <c r="M6" s="33">
        <f>'Assumptions and Sensis'!F191</f>
        <v>24</v>
      </c>
      <c r="O6" s="975"/>
    </row>
    <row r="7" spans="2:15" x14ac:dyDescent="0.2">
      <c r="B7" s="40" t="str">
        <f>'Loan Sizing'!B174</f>
        <v>Industrial</v>
      </c>
      <c r="C7" s="925">
        <v>81635626</v>
      </c>
      <c r="D7" s="925"/>
      <c r="E7" s="33">
        <f>Q43</f>
        <v>12.059999999999999</v>
      </c>
      <c r="F7" s="926">
        <v>2.7E-2</v>
      </c>
      <c r="G7" s="844">
        <f>'Summary II'!E40</f>
        <v>234630.00000199999</v>
      </c>
      <c r="H7" s="844"/>
      <c r="I7" s="927">
        <f>IFERROR(G7/C7,0)</f>
        <v>2.8741128291464315E-3</v>
      </c>
      <c r="J7" s="844">
        <f ca="1">'Loan Sizing'!H105</f>
        <v>0</v>
      </c>
      <c r="K7" s="844">
        <f ca="1">'Loan Sizing'!H134</f>
        <v>0</v>
      </c>
      <c r="L7" s="844">
        <f ca="1">'Loan Sizing'!H163</f>
        <v>234630</v>
      </c>
      <c r="M7" s="33">
        <f>'Assumptions and Sensis'!N234</f>
        <v>12</v>
      </c>
      <c r="O7" s="975"/>
    </row>
    <row r="8" spans="2:15" x14ac:dyDescent="0.2">
      <c r="B8" s="928" t="str">
        <f>'Loan Sizing'!B168</f>
        <v>Affordable Residential</v>
      </c>
      <c r="C8" s="925"/>
      <c r="D8" s="925">
        <v>21670</v>
      </c>
      <c r="E8" s="33">
        <f>M8</f>
        <v>739.02104097452923</v>
      </c>
      <c r="G8" s="844">
        <f>'Parcel Breakdown'!AP23</f>
        <v>276641.36186583148</v>
      </c>
      <c r="H8" s="844">
        <f>'Assumptions and Sensis'!E77</f>
        <v>378.49568146188767</v>
      </c>
      <c r="I8" s="927">
        <f>IFERROR(H8/D8,0)</f>
        <v>1.74663443221914E-2</v>
      </c>
      <c r="J8" s="844">
        <f ca="1">'Loan Sizing'!H99</f>
        <v>125993.56</v>
      </c>
      <c r="K8" s="844">
        <f ca="1">'Loan Sizing'!H128</f>
        <v>90127</v>
      </c>
      <c r="L8" s="844">
        <f ca="1">'Loan Sizing'!H157</f>
        <v>107120.45511111115</v>
      </c>
      <c r="M8" s="33">
        <f>'Assumptions and Sensis'!F79</f>
        <v>739.02104097452923</v>
      </c>
      <c r="O8" s="975"/>
    </row>
    <row r="9" spans="2:15" x14ac:dyDescent="0.2">
      <c r="B9" s="929" t="str">
        <f>'Loan Sizing'!B169</f>
        <v>Market Rate and WF Residential</v>
      </c>
      <c r="C9" s="925"/>
      <c r="D9" s="925">
        <v>158941</v>
      </c>
      <c r="E9" s="33">
        <f>R116</f>
        <v>1679.0817275747504</v>
      </c>
      <c r="F9" s="926">
        <f>1-95.3%</f>
        <v>4.7000000000000042E-2</v>
      </c>
      <c r="G9" s="844">
        <f>'Parcel Breakdown'!AQ23</f>
        <v>1106565.4474633259</v>
      </c>
      <c r="H9" s="844">
        <f>'Assumptions and Sensis'!E111</f>
        <v>1513.9827258475507</v>
      </c>
      <c r="I9" s="927">
        <f>IFERROR(H9/D9,0)</f>
        <v>9.5254385328364024E-3</v>
      </c>
      <c r="J9" s="844">
        <f ca="1">'Loan Sizing'!H100</f>
        <v>503974.24</v>
      </c>
      <c r="K9" s="844">
        <f ca="1">'Loan Sizing'!H129</f>
        <v>360508</v>
      </c>
      <c r="L9" s="844">
        <f ca="1">'Loan Sizing'!H158</f>
        <v>428481.8204444446</v>
      </c>
      <c r="M9" s="33">
        <f>'Assumptions and Sensis'!F113</f>
        <v>1756.4784053156145</v>
      </c>
      <c r="N9" s="107"/>
      <c r="O9" s="975"/>
    </row>
    <row r="10" spans="2:15" x14ac:dyDescent="0.2">
      <c r="B10" s="40" t="str">
        <f>'Loan Sizing'!B171</f>
        <v>Hotel</v>
      </c>
      <c r="C10" s="925"/>
      <c r="D10" s="925">
        <v>28000</v>
      </c>
      <c r="E10" s="33">
        <f>Q81</f>
        <v>96.232560905660307</v>
      </c>
      <c r="G10" s="844">
        <f>'Parcel Breakdown'!AS23</f>
        <v>277185.31000000006</v>
      </c>
      <c r="H10" s="844">
        <f>'Assumptions and Sensis'!E129</f>
        <v>615.96735555555563</v>
      </c>
      <c r="I10" s="927">
        <f>IFERROR(H10/D10,0)</f>
        <v>2.199883412698413E-2</v>
      </c>
      <c r="J10" s="844">
        <f ca="1">'Loan Sizing'!H102</f>
        <v>208084.2</v>
      </c>
      <c r="K10" s="844">
        <f ca="1">'Loan Sizing'!H131</f>
        <v>128434</v>
      </c>
      <c r="L10" s="844">
        <f ca="1">'Loan Sizing'!H160</f>
        <v>22366.613333333331</v>
      </c>
      <c r="M10" s="33">
        <f>'Assumptions and Sensis'!E130</f>
        <v>91.95734490968033</v>
      </c>
      <c r="O10" s="975"/>
    </row>
    <row r="11" spans="2:15" x14ac:dyDescent="0.2">
      <c r="B11" s="40" t="str">
        <f>'Loan Sizing'!B175</f>
        <v>Parking</v>
      </c>
      <c r="C11" s="925"/>
      <c r="D11" s="925">
        <f>2.5*SUM(C5:C7)/1000+SUM(D8:D10)*1.5</f>
        <v>772919.17999999993</v>
      </c>
      <c r="E11" s="33">
        <v>129</v>
      </c>
      <c r="G11" s="844">
        <f>'Parcel Breakdown'!AW23+'Parcel Breakdown'!AX23</f>
        <v>387000</v>
      </c>
      <c r="H11" s="844">
        <f>SUM('Assumptions and Sensis'!F207:H207,'Assumptions and Sensis'!F221:H221)</f>
        <v>1172.7272727272727</v>
      </c>
      <c r="I11" s="927">
        <f>IFERROR(H11/D11,0)</f>
        <v>1.5172702438659535E-3</v>
      </c>
      <c r="J11" s="844">
        <f ca="1">'Loan Sizing'!H106</f>
        <v>83000</v>
      </c>
      <c r="K11" s="844">
        <f ca="1">'Loan Sizing'!H135</f>
        <v>106000</v>
      </c>
      <c r="L11" s="844">
        <f ca="1">'Loan Sizing'!H164</f>
        <v>198000</v>
      </c>
      <c r="M11" s="33">
        <f>'Assumptions and Sensis'!F224</f>
        <v>135</v>
      </c>
      <c r="O11" s="975"/>
    </row>
    <row r="12" spans="2:15" x14ac:dyDescent="0.2">
      <c r="B12" s="40" t="str">
        <f>'Loan Sizing'!B172</f>
        <v>Community Facility</v>
      </c>
      <c r="C12" s="925"/>
      <c r="D12" s="925"/>
      <c r="E12" s="33"/>
      <c r="G12" s="844">
        <f>'Summary II'!E53</f>
        <v>157335.0001</v>
      </c>
      <c r="H12" s="844"/>
      <c r="I12" s="927">
        <f>IFERROR(G12/C12,0)</f>
        <v>0</v>
      </c>
      <c r="J12" s="844">
        <f ca="1">'Loan Sizing'!H103</f>
        <v>79125</v>
      </c>
      <c r="K12" s="844">
        <f ca="1">'Loan Sizing'!H132</f>
        <v>0</v>
      </c>
      <c r="L12" s="844">
        <f ca="1">'Loan Sizing'!H161</f>
        <v>78210</v>
      </c>
      <c r="M12" s="33">
        <f>'Assumptions and Sensis'!F181</f>
        <v>10</v>
      </c>
      <c r="O12" s="975"/>
    </row>
    <row r="13" spans="2:15" x14ac:dyDescent="0.2">
      <c r="B13" s="118" t="s">
        <v>17</v>
      </c>
      <c r="C13" s="930"/>
      <c r="D13" s="930"/>
      <c r="E13" s="118"/>
      <c r="F13" s="118"/>
      <c r="G13" s="931">
        <f>SUM(G5:G12)</f>
        <v>3996629.0194311575</v>
      </c>
      <c r="H13" s="931"/>
      <c r="I13" s="932"/>
      <c r="J13" s="931">
        <f ca="1">SUM(J5:J12)</f>
        <v>1700184</v>
      </c>
      <c r="K13" s="931">
        <f ca="1">SUM(K5:K12)</f>
        <v>988999</v>
      </c>
      <c r="L13" s="931">
        <f ca="1">SUM(L5:L12)</f>
        <v>1759679</v>
      </c>
      <c r="M13" s="118"/>
    </row>
    <row r="14" spans="2:15" x14ac:dyDescent="0.2">
      <c r="B14" s="1084" t="s">
        <v>1033</v>
      </c>
      <c r="C14" s="1084"/>
      <c r="D14" s="1084"/>
      <c r="E14" s="1084"/>
      <c r="F14" s="1084"/>
      <c r="G14" s="1084"/>
      <c r="H14" s="1084"/>
      <c r="I14" s="1084"/>
      <c r="J14" s="1084"/>
      <c r="K14" s="1084"/>
      <c r="L14" s="1084"/>
      <c r="M14" s="1084"/>
    </row>
    <row r="15" spans="2:15" x14ac:dyDescent="0.2">
      <c r="D15" s="956"/>
    </row>
    <row r="17" spans="14:26" x14ac:dyDescent="0.2">
      <c r="N17" s="960" t="s">
        <v>1023</v>
      </c>
      <c r="O17" s="976" t="s">
        <v>947</v>
      </c>
      <c r="P17" s="883" t="s">
        <v>714</v>
      </c>
      <c r="Q17" s="884" t="s">
        <v>1041</v>
      </c>
      <c r="S17" s="933"/>
      <c r="T17" s="933"/>
      <c r="U17" s="1081" t="s">
        <v>1019</v>
      </c>
      <c r="V17" s="1081"/>
      <c r="W17" s="1081"/>
      <c r="X17" s="1081"/>
      <c r="Y17" s="1081"/>
    </row>
    <row r="18" spans="14:26" x14ac:dyDescent="0.2">
      <c r="N18" s="961" t="s">
        <v>946</v>
      </c>
      <c r="O18" s="977" t="s">
        <v>1040</v>
      </c>
      <c r="P18" s="885"/>
      <c r="Q18" s="886" t="s">
        <v>1042</v>
      </c>
      <c r="S18" s="934"/>
      <c r="T18" s="935" t="s">
        <v>980</v>
      </c>
      <c r="U18" s="936" t="s">
        <v>1004</v>
      </c>
      <c r="V18" s="936" t="s">
        <v>1005</v>
      </c>
      <c r="W18" s="936" t="s">
        <v>1006</v>
      </c>
      <c r="X18" s="936" t="s">
        <v>1007</v>
      </c>
      <c r="Y18" s="936" t="s">
        <v>1008</v>
      </c>
    </row>
    <row r="19" spans="14:26" x14ac:dyDescent="0.2">
      <c r="N19" s="962" t="s">
        <v>948</v>
      </c>
      <c r="O19" s="978"/>
      <c r="P19" s="858"/>
      <c r="Q19" s="859"/>
      <c r="S19" s="937" t="s">
        <v>981</v>
      </c>
      <c r="T19" s="938" t="s">
        <v>982</v>
      </c>
      <c r="U19" s="939" t="s">
        <v>983</v>
      </c>
      <c r="V19" s="939" t="s">
        <v>984</v>
      </c>
      <c r="W19" s="939" t="s">
        <v>985</v>
      </c>
      <c r="X19" s="939" t="s">
        <v>986</v>
      </c>
      <c r="Y19" s="939" t="s">
        <v>987</v>
      </c>
    </row>
    <row r="20" spans="14:26" x14ac:dyDescent="0.2">
      <c r="N20" s="963" t="s">
        <v>949</v>
      </c>
      <c r="O20" s="979">
        <v>4327</v>
      </c>
      <c r="P20" s="479" t="s">
        <v>729</v>
      </c>
      <c r="Q20" s="968">
        <v>28</v>
      </c>
      <c r="S20" s="937" t="s">
        <v>576</v>
      </c>
      <c r="T20" s="940" t="s">
        <v>1028</v>
      </c>
      <c r="U20" s="939" t="s">
        <v>988</v>
      </c>
      <c r="V20" s="939" t="s">
        <v>1029</v>
      </c>
      <c r="W20" s="939" t="s">
        <v>1030</v>
      </c>
      <c r="X20" s="939" t="s">
        <v>1032</v>
      </c>
      <c r="Y20" s="939" t="s">
        <v>1031</v>
      </c>
    </row>
    <row r="21" spans="14:26" x14ac:dyDescent="0.2">
      <c r="N21" s="963" t="s">
        <v>949</v>
      </c>
      <c r="O21" s="979">
        <v>3778</v>
      </c>
      <c r="P21" s="479" t="s">
        <v>950</v>
      </c>
      <c r="Q21" s="968">
        <v>25</v>
      </c>
      <c r="S21" s="937" t="s">
        <v>1020</v>
      </c>
      <c r="T21" s="938" t="s">
        <v>491</v>
      </c>
      <c r="U21" s="939" t="s">
        <v>989</v>
      </c>
      <c r="V21" s="939" t="s">
        <v>989</v>
      </c>
      <c r="W21" s="939" t="s">
        <v>990</v>
      </c>
      <c r="X21" s="939" t="s">
        <v>991</v>
      </c>
      <c r="Y21" s="939" t="s">
        <v>992</v>
      </c>
    </row>
    <row r="22" spans="14:26" x14ac:dyDescent="0.2">
      <c r="N22" s="963" t="s">
        <v>951</v>
      </c>
      <c r="O22" s="979">
        <v>22037</v>
      </c>
      <c r="P22" s="479" t="s">
        <v>729</v>
      </c>
      <c r="Q22" s="968">
        <v>24</v>
      </c>
      <c r="S22" s="937" t="s">
        <v>993</v>
      </c>
      <c r="T22" s="938" t="s">
        <v>819</v>
      </c>
      <c r="U22" s="939">
        <v>2018</v>
      </c>
      <c r="V22" s="939">
        <v>2018</v>
      </c>
      <c r="W22" s="939">
        <v>2011</v>
      </c>
      <c r="X22" s="939">
        <v>2016</v>
      </c>
      <c r="Y22" s="939">
        <v>2015</v>
      </c>
    </row>
    <row r="23" spans="14:26" x14ac:dyDescent="0.2">
      <c r="N23" s="963" t="s">
        <v>952</v>
      </c>
      <c r="O23" s="979">
        <v>115005</v>
      </c>
      <c r="P23" s="479" t="s">
        <v>730</v>
      </c>
      <c r="Q23" s="968">
        <v>25</v>
      </c>
      <c r="S23" s="937" t="s">
        <v>994</v>
      </c>
      <c r="T23" s="938" t="s">
        <v>995</v>
      </c>
      <c r="U23" s="939" t="s">
        <v>996</v>
      </c>
      <c r="V23" s="939" t="s">
        <v>997</v>
      </c>
      <c r="W23" s="939" t="s">
        <v>997</v>
      </c>
      <c r="X23" s="939" t="s">
        <v>996</v>
      </c>
      <c r="Y23" s="939" t="s">
        <v>997</v>
      </c>
    </row>
    <row r="24" spans="14:26" x14ac:dyDescent="0.2">
      <c r="N24" s="963" t="s">
        <v>953</v>
      </c>
      <c r="O24" s="979">
        <v>3877</v>
      </c>
      <c r="P24" s="479" t="s">
        <v>954</v>
      </c>
      <c r="Q24" s="968">
        <v>25</v>
      </c>
      <c r="S24" s="937" t="s">
        <v>998</v>
      </c>
      <c r="T24" s="941">
        <f>'Assumptions and Sensis'!E111+'Assumptions and Sensis'!E77</f>
        <v>1892.4784073094384</v>
      </c>
      <c r="U24" s="942">
        <v>294</v>
      </c>
      <c r="V24" s="942">
        <v>292</v>
      </c>
      <c r="W24" s="942" t="s">
        <v>491</v>
      </c>
      <c r="X24" s="942">
        <v>179</v>
      </c>
      <c r="Y24" s="942">
        <v>111</v>
      </c>
    </row>
    <row r="25" spans="14:26" x14ac:dyDescent="0.2">
      <c r="N25" s="964" t="s">
        <v>955</v>
      </c>
      <c r="O25" s="980"/>
      <c r="P25" s="943"/>
      <c r="Q25" s="970">
        <f>AVERAGE(Q20:Q24)</f>
        <v>25.4</v>
      </c>
      <c r="S25" s="944" t="s">
        <v>999</v>
      </c>
      <c r="T25" s="945">
        <f>'Assumptions and Sensis'!F86</f>
        <v>1450</v>
      </c>
      <c r="U25" s="946">
        <v>1206</v>
      </c>
      <c r="V25" s="946">
        <v>1400</v>
      </c>
      <c r="W25" s="946">
        <v>1355</v>
      </c>
      <c r="X25" s="946" t="s">
        <v>491</v>
      </c>
      <c r="Y25" s="946">
        <v>1470</v>
      </c>
      <c r="Z25" s="181">
        <f>AVERAGE(U25:Y25)</f>
        <v>1357.75</v>
      </c>
    </row>
    <row r="26" spans="14:26" x14ac:dyDescent="0.2">
      <c r="N26" s="965" t="s">
        <v>956</v>
      </c>
      <c r="O26" s="981"/>
      <c r="P26" s="947" t="s">
        <v>730</v>
      </c>
      <c r="Q26" s="971">
        <f>+'Assumptions and Sensis'!F191</f>
        <v>24</v>
      </c>
      <c r="S26" s="948" t="s">
        <v>532</v>
      </c>
      <c r="T26" s="941">
        <f>'Assumptions and Sensis'!F83</f>
        <v>550</v>
      </c>
      <c r="U26" s="942">
        <v>510</v>
      </c>
      <c r="V26" s="942">
        <v>661</v>
      </c>
      <c r="W26" s="942">
        <v>675</v>
      </c>
      <c r="X26" s="942" t="s">
        <v>491</v>
      </c>
      <c r="Y26" s="942">
        <v>637</v>
      </c>
      <c r="Z26" s="145"/>
    </row>
    <row r="27" spans="14:26" x14ac:dyDescent="0.2">
      <c r="N27" s="962" t="s">
        <v>957</v>
      </c>
      <c r="O27" s="978"/>
      <c r="P27" s="858"/>
      <c r="Q27" s="972"/>
      <c r="S27" s="949" t="s">
        <v>1000</v>
      </c>
      <c r="T27" s="950">
        <f>+T25*12/T26</f>
        <v>31.636363636363637</v>
      </c>
      <c r="U27" s="951">
        <v>28.4</v>
      </c>
      <c r="V27" s="951">
        <v>25.4</v>
      </c>
      <c r="W27" s="951">
        <v>24.1</v>
      </c>
      <c r="X27" s="951" t="s">
        <v>491</v>
      </c>
      <c r="Y27" s="951">
        <v>27.7</v>
      </c>
      <c r="Z27" s="145"/>
    </row>
    <row r="28" spans="14:26" x14ac:dyDescent="0.2">
      <c r="N28" s="963" t="s">
        <v>958</v>
      </c>
      <c r="O28" s="979">
        <v>1007</v>
      </c>
      <c r="P28" s="470" t="s">
        <v>729</v>
      </c>
      <c r="Q28" s="968">
        <v>24</v>
      </c>
      <c r="S28" s="937" t="s">
        <v>1001</v>
      </c>
      <c r="T28" s="952">
        <f>'Assumptions and Sensis'!F93</f>
        <v>1700</v>
      </c>
      <c r="U28" s="953">
        <v>1679</v>
      </c>
      <c r="V28" s="953">
        <v>1499</v>
      </c>
      <c r="W28" s="953">
        <v>1471</v>
      </c>
      <c r="X28" s="953">
        <v>1712</v>
      </c>
      <c r="Y28" s="953">
        <v>1683</v>
      </c>
      <c r="Z28" s="181">
        <f>AVERAGE(U28:Y28)</f>
        <v>1608.8</v>
      </c>
    </row>
    <row r="29" spans="14:26" x14ac:dyDescent="0.2">
      <c r="N29" s="963" t="s">
        <v>959</v>
      </c>
      <c r="O29" s="979">
        <v>2000</v>
      </c>
      <c r="P29" s="470" t="s">
        <v>729</v>
      </c>
      <c r="Q29" s="968">
        <v>30</v>
      </c>
      <c r="S29" s="948" t="s">
        <v>532</v>
      </c>
      <c r="T29" s="941">
        <f>'Assumptions and Sensis'!F90</f>
        <v>750</v>
      </c>
      <c r="U29" s="942">
        <v>739</v>
      </c>
      <c r="V29" s="942">
        <v>793</v>
      </c>
      <c r="W29" s="942">
        <v>743</v>
      </c>
      <c r="X29" s="942">
        <v>826</v>
      </c>
      <c r="Y29" s="942">
        <v>731</v>
      </c>
      <c r="Z29" s="145"/>
    </row>
    <row r="30" spans="14:26" x14ac:dyDescent="0.2">
      <c r="N30" s="963" t="s">
        <v>959</v>
      </c>
      <c r="O30" s="979">
        <v>4600</v>
      </c>
      <c r="P30" s="470" t="s">
        <v>729</v>
      </c>
      <c r="Q30" s="968">
        <v>22</v>
      </c>
      <c r="S30" s="949" t="s">
        <v>1000</v>
      </c>
      <c r="T30" s="950">
        <f>+T28*12/T29</f>
        <v>27.2</v>
      </c>
      <c r="U30" s="951">
        <v>27.3</v>
      </c>
      <c r="V30" s="951">
        <v>22.7</v>
      </c>
      <c r="W30" s="951">
        <v>23.8</v>
      </c>
      <c r="X30" s="951">
        <v>24.9</v>
      </c>
      <c r="Y30" s="951">
        <v>27.6</v>
      </c>
      <c r="Z30" s="145"/>
    </row>
    <row r="31" spans="14:26" x14ac:dyDescent="0.2">
      <c r="N31" s="963" t="s">
        <v>960</v>
      </c>
      <c r="O31" s="979">
        <v>1750</v>
      </c>
      <c r="P31" s="470" t="s">
        <v>730</v>
      </c>
      <c r="Q31" s="968">
        <v>28</v>
      </c>
      <c r="S31" s="937" t="s">
        <v>1002</v>
      </c>
      <c r="T31" s="952">
        <f>'Assumptions and Sensis'!F99</f>
        <v>2400</v>
      </c>
      <c r="U31" s="953">
        <v>2322</v>
      </c>
      <c r="V31" s="953">
        <v>1878</v>
      </c>
      <c r="W31" s="953">
        <v>1962</v>
      </c>
      <c r="X31" s="953">
        <v>2629</v>
      </c>
      <c r="Y31" s="953">
        <v>3335</v>
      </c>
      <c r="Z31" s="181">
        <f>AVERAGE(U31:Y31)</f>
        <v>2425.1999999999998</v>
      </c>
    </row>
    <row r="32" spans="14:26" x14ac:dyDescent="0.2">
      <c r="N32" s="963" t="s">
        <v>961</v>
      </c>
      <c r="O32" s="979">
        <v>2643</v>
      </c>
      <c r="P32" s="470" t="s">
        <v>729</v>
      </c>
      <c r="Q32" s="968">
        <v>28</v>
      </c>
      <c r="S32" s="948" t="s">
        <v>532</v>
      </c>
      <c r="T32" s="941">
        <f>'Assumptions and Sensis'!F97</f>
        <v>1100</v>
      </c>
      <c r="U32" s="942">
        <v>1014</v>
      </c>
      <c r="V32" s="942">
        <v>1137</v>
      </c>
      <c r="W32" s="942">
        <v>1127</v>
      </c>
      <c r="X32" s="942">
        <v>1376</v>
      </c>
      <c r="Y32" s="942">
        <v>1478</v>
      </c>
    </row>
    <row r="33" spans="14:25" x14ac:dyDescent="0.2">
      <c r="N33" s="963" t="s">
        <v>949</v>
      </c>
      <c r="O33" s="979">
        <v>3778</v>
      </c>
      <c r="P33" s="470" t="s">
        <v>950</v>
      </c>
      <c r="Q33" s="968">
        <v>24</v>
      </c>
      <c r="S33" s="949" t="s">
        <v>1000</v>
      </c>
      <c r="T33" s="950">
        <f>+T31*12/T32</f>
        <v>26.181818181818183</v>
      </c>
      <c r="U33" s="951">
        <v>27.5</v>
      </c>
      <c r="V33" s="951">
        <v>19.8</v>
      </c>
      <c r="W33" s="951">
        <v>20.9</v>
      </c>
      <c r="X33" s="951">
        <v>22.9</v>
      </c>
      <c r="Y33" s="951">
        <v>27.1</v>
      </c>
    </row>
    <row r="34" spans="14:25" x14ac:dyDescent="0.2">
      <c r="N34" s="963" t="s">
        <v>962</v>
      </c>
      <c r="O34" s="979">
        <v>2341</v>
      </c>
      <c r="P34" s="470" t="s">
        <v>729</v>
      </c>
      <c r="Q34" s="968">
        <v>25</v>
      </c>
      <c r="S34" s="937" t="s">
        <v>1003</v>
      </c>
      <c r="T34" s="952">
        <f>'Assumptions and Sensis'!F103</f>
        <v>3200</v>
      </c>
      <c r="U34" s="953" t="s">
        <v>491</v>
      </c>
      <c r="V34" s="953" t="s">
        <v>491</v>
      </c>
      <c r="W34" s="953" t="s">
        <v>491</v>
      </c>
      <c r="X34" s="953" t="s">
        <v>491</v>
      </c>
      <c r="Y34" s="953" t="s">
        <v>491</v>
      </c>
    </row>
    <row r="35" spans="14:25" x14ac:dyDescent="0.2">
      <c r="N35" s="964" t="s">
        <v>955</v>
      </c>
      <c r="O35" s="980"/>
      <c r="P35" s="943"/>
      <c r="Q35" s="970">
        <f>AVERAGE(Q28:Q34)</f>
        <v>25.857142857142858</v>
      </c>
      <c r="S35" s="948" t="s">
        <v>532</v>
      </c>
      <c r="T35" s="941">
        <f>'Assumptions and Sensis'!F101</f>
        <v>1500</v>
      </c>
      <c r="U35" s="942" t="s">
        <v>491</v>
      </c>
      <c r="V35" s="942" t="s">
        <v>491</v>
      </c>
      <c r="W35" s="942" t="s">
        <v>491</v>
      </c>
      <c r="X35" s="942" t="s">
        <v>491</v>
      </c>
      <c r="Y35" s="942" t="s">
        <v>491</v>
      </c>
    </row>
    <row r="36" spans="14:25" x14ac:dyDescent="0.2">
      <c r="N36" s="965" t="s">
        <v>956</v>
      </c>
      <c r="O36" s="981"/>
      <c r="P36" s="947" t="s">
        <v>730</v>
      </c>
      <c r="Q36" s="971">
        <f>+'Assumptions and Sensis'!F156</f>
        <v>23</v>
      </c>
      <c r="S36" s="949" t="s">
        <v>1000</v>
      </c>
      <c r="T36" s="950">
        <f>+T34*12/T35</f>
        <v>25.6</v>
      </c>
      <c r="U36" s="951" t="s">
        <v>491</v>
      </c>
      <c r="V36" s="951" t="s">
        <v>491</v>
      </c>
      <c r="W36" s="951" t="s">
        <v>491</v>
      </c>
      <c r="X36" s="951" t="s">
        <v>491</v>
      </c>
      <c r="Y36" s="951" t="s">
        <v>491</v>
      </c>
    </row>
    <row r="37" spans="14:25" x14ac:dyDescent="0.2">
      <c r="N37" s="963"/>
      <c r="O37" s="979"/>
      <c r="P37" s="470"/>
      <c r="Q37" s="969"/>
      <c r="S37" s="937" t="s">
        <v>1009</v>
      </c>
      <c r="T37" s="952">
        <f>'Assumptions and Sensis'!F107</f>
        <v>4500</v>
      </c>
      <c r="U37" s="953" t="s">
        <v>491</v>
      </c>
      <c r="V37" s="953" t="s">
        <v>491</v>
      </c>
      <c r="W37" s="953" t="s">
        <v>491</v>
      </c>
      <c r="X37" s="953" t="s">
        <v>491</v>
      </c>
      <c r="Y37" s="953" t="s">
        <v>491</v>
      </c>
    </row>
    <row r="38" spans="14:25" x14ac:dyDescent="0.2">
      <c r="N38" s="962" t="s">
        <v>963</v>
      </c>
      <c r="O38" s="978"/>
      <c r="P38" s="858"/>
      <c r="Q38" s="972"/>
      <c r="S38" s="948" t="s">
        <v>532</v>
      </c>
      <c r="T38" s="941">
        <f>'Assumptions and Sensis'!F105</f>
        <v>2200</v>
      </c>
      <c r="U38" s="942" t="s">
        <v>491</v>
      </c>
      <c r="V38" s="942" t="s">
        <v>491</v>
      </c>
      <c r="W38" s="942" t="s">
        <v>491</v>
      </c>
      <c r="X38" s="942" t="s">
        <v>491</v>
      </c>
      <c r="Y38" s="942" t="s">
        <v>491</v>
      </c>
    </row>
    <row r="39" spans="14:25" x14ac:dyDescent="0.2">
      <c r="N39" s="963" t="s">
        <v>964</v>
      </c>
      <c r="O39" s="979">
        <v>16800</v>
      </c>
      <c r="P39" s="470" t="s">
        <v>729</v>
      </c>
      <c r="Q39" s="968">
        <v>14.29</v>
      </c>
      <c r="S39" s="949" t="s">
        <v>1000</v>
      </c>
      <c r="T39" s="950">
        <f>+T37*12/T38</f>
        <v>24.545454545454547</v>
      </c>
      <c r="U39" s="951" t="s">
        <v>491</v>
      </c>
      <c r="V39" s="951" t="s">
        <v>491</v>
      </c>
      <c r="W39" s="951" t="s">
        <v>491</v>
      </c>
      <c r="X39" s="951" t="s">
        <v>491</v>
      </c>
      <c r="Y39" s="951" t="s">
        <v>491</v>
      </c>
    </row>
    <row r="40" spans="14:25" ht="16" customHeight="1" x14ac:dyDescent="0.2">
      <c r="N40" s="963" t="s">
        <v>965</v>
      </c>
      <c r="O40" s="979">
        <v>2000</v>
      </c>
      <c r="P40" s="470" t="s">
        <v>730</v>
      </c>
      <c r="Q40" s="968">
        <v>12</v>
      </c>
    </row>
    <row r="41" spans="14:25" x14ac:dyDescent="0.2">
      <c r="N41" s="963" t="s">
        <v>966</v>
      </c>
      <c r="O41" s="979">
        <v>13800</v>
      </c>
      <c r="P41" s="470" t="s">
        <v>729</v>
      </c>
      <c r="Q41" s="968">
        <v>11</v>
      </c>
    </row>
    <row r="42" spans="14:25" x14ac:dyDescent="0.2">
      <c r="N42" s="963" t="s">
        <v>967</v>
      </c>
      <c r="O42" s="979">
        <v>1337</v>
      </c>
      <c r="P42" s="470" t="s">
        <v>730</v>
      </c>
      <c r="Q42" s="968">
        <v>10.95</v>
      </c>
    </row>
    <row r="43" spans="14:25" ht="29" customHeight="1" x14ac:dyDescent="0.2">
      <c r="N43" s="964" t="s">
        <v>955</v>
      </c>
      <c r="O43" s="980"/>
      <c r="P43" s="943"/>
      <c r="Q43" s="970">
        <f>AVERAGE(Q39:Q42)</f>
        <v>12.059999999999999</v>
      </c>
    </row>
    <row r="44" spans="14:25" x14ac:dyDescent="0.2">
      <c r="N44" s="965" t="s">
        <v>956</v>
      </c>
      <c r="O44" s="981"/>
      <c r="P44" s="947" t="s">
        <v>729</v>
      </c>
      <c r="Q44" s="971">
        <f>+'Assumptions and Sensis'!N234</f>
        <v>12</v>
      </c>
    </row>
    <row r="45" spans="14:25" x14ac:dyDescent="0.2">
      <c r="N45" s="963"/>
      <c r="O45" s="979"/>
      <c r="P45" s="470"/>
      <c r="Q45" s="969"/>
    </row>
    <row r="46" spans="14:25" x14ac:dyDescent="0.2">
      <c r="N46" s="963"/>
      <c r="O46" s="979"/>
      <c r="P46" s="470"/>
      <c r="Q46" s="969"/>
    </row>
    <row r="47" spans="14:25" x14ac:dyDescent="0.2">
      <c r="N47" s="962" t="s">
        <v>968</v>
      </c>
      <c r="O47" s="982" t="s">
        <v>969</v>
      </c>
      <c r="P47" s="887"/>
      <c r="Q47" s="973" t="s">
        <v>1027</v>
      </c>
    </row>
    <row r="48" spans="14:25" x14ac:dyDescent="0.2">
      <c r="N48" s="966" t="s">
        <v>722</v>
      </c>
      <c r="O48" s="979"/>
      <c r="P48" s="954"/>
      <c r="Q48" s="969"/>
    </row>
    <row r="49" spans="14:17" x14ac:dyDescent="0.2">
      <c r="N49" s="963" t="s">
        <v>970</v>
      </c>
      <c r="O49" s="979">
        <v>450</v>
      </c>
      <c r="P49" s="954"/>
      <c r="Q49" s="968">
        <v>239</v>
      </c>
    </row>
    <row r="50" spans="14:17" x14ac:dyDescent="0.2">
      <c r="N50" s="963" t="s">
        <v>971</v>
      </c>
      <c r="O50" s="979">
        <v>490</v>
      </c>
      <c r="P50" s="954"/>
      <c r="Q50" s="968">
        <v>172</v>
      </c>
    </row>
    <row r="51" spans="14:17" x14ac:dyDescent="0.2">
      <c r="N51" s="963" t="s">
        <v>972</v>
      </c>
      <c r="O51" s="979">
        <v>476</v>
      </c>
      <c r="P51" s="954"/>
      <c r="Q51" s="968">
        <v>169</v>
      </c>
    </row>
    <row r="52" spans="14:17" x14ac:dyDescent="0.2">
      <c r="N52" s="964" t="s">
        <v>955</v>
      </c>
      <c r="O52" s="980">
        <f>AVERAGE(O49:O51)</f>
        <v>472</v>
      </c>
      <c r="P52" s="943"/>
      <c r="Q52" s="970">
        <f>AVERAGE(Q49:Q51)</f>
        <v>193.33333333333334</v>
      </c>
    </row>
    <row r="53" spans="14:17" x14ac:dyDescent="0.2">
      <c r="N53" s="965" t="s">
        <v>956</v>
      </c>
      <c r="O53" s="981">
        <v>347</v>
      </c>
      <c r="P53" s="947"/>
      <c r="Q53" s="971">
        <f>+'Assumptions and Sensis'!F126</f>
        <v>180</v>
      </c>
    </row>
    <row r="54" spans="14:17" x14ac:dyDescent="0.2">
      <c r="N54" s="963"/>
      <c r="O54" s="979"/>
      <c r="P54" s="954"/>
      <c r="Q54" s="969"/>
    </row>
    <row r="55" spans="14:17" x14ac:dyDescent="0.2">
      <c r="N55" s="966" t="s">
        <v>726</v>
      </c>
      <c r="O55" s="979"/>
      <c r="P55" s="954"/>
      <c r="Q55" s="969"/>
    </row>
    <row r="56" spans="14:17" x14ac:dyDescent="0.2">
      <c r="N56" s="963" t="s">
        <v>973</v>
      </c>
      <c r="O56" s="979">
        <v>117</v>
      </c>
      <c r="P56" s="954"/>
      <c r="Q56" s="968">
        <v>135</v>
      </c>
    </row>
    <row r="57" spans="14:17" x14ac:dyDescent="0.2">
      <c r="N57" s="963" t="s">
        <v>974</v>
      </c>
      <c r="O57" s="979">
        <v>144</v>
      </c>
      <c r="P57" s="954"/>
      <c r="Q57" s="968">
        <v>134</v>
      </c>
    </row>
    <row r="58" spans="14:17" x14ac:dyDescent="0.2">
      <c r="N58" s="964" t="s">
        <v>955</v>
      </c>
      <c r="O58" s="980">
        <f>AVERAGE(O56:O57)</f>
        <v>130.5</v>
      </c>
      <c r="P58" s="943"/>
      <c r="Q58" s="970">
        <f>AVERAGE(Q56:Q57)</f>
        <v>134.5</v>
      </c>
    </row>
    <row r="59" spans="14:17" x14ac:dyDescent="0.2">
      <c r="N59" s="965" t="s">
        <v>956</v>
      </c>
      <c r="O59" s="981">
        <v>232</v>
      </c>
      <c r="P59" s="947"/>
      <c r="Q59" s="971">
        <f>+'Assumptions and Sensis'!G126</f>
        <v>135</v>
      </c>
    </row>
    <row r="60" spans="14:17" x14ac:dyDescent="0.2">
      <c r="N60" s="963"/>
      <c r="O60" s="979"/>
      <c r="P60" s="470"/>
      <c r="Q60" s="969"/>
    </row>
    <row r="61" spans="14:17" x14ac:dyDescent="0.2">
      <c r="N61" s="966" t="s">
        <v>724</v>
      </c>
      <c r="O61" s="979"/>
      <c r="P61" s="954"/>
      <c r="Q61" s="969"/>
    </row>
    <row r="62" spans="14:17" x14ac:dyDescent="0.2">
      <c r="N62" s="963" t="s">
        <v>975</v>
      </c>
      <c r="O62" s="979">
        <v>283</v>
      </c>
      <c r="P62" s="954"/>
      <c r="Q62" s="968">
        <v>229</v>
      </c>
    </row>
    <row r="63" spans="14:17" x14ac:dyDescent="0.2">
      <c r="N63" s="967" t="s">
        <v>976</v>
      </c>
      <c r="O63" s="979">
        <v>134</v>
      </c>
      <c r="P63" s="954"/>
      <c r="Q63" s="968">
        <v>159</v>
      </c>
    </row>
    <row r="64" spans="14:17" x14ac:dyDescent="0.2">
      <c r="N64" s="963" t="s">
        <v>977</v>
      </c>
      <c r="O64" s="979">
        <v>139</v>
      </c>
      <c r="P64" s="954"/>
      <c r="Q64" s="968">
        <v>147</v>
      </c>
    </row>
    <row r="65" spans="14:20" x14ac:dyDescent="0.2">
      <c r="N65" s="963" t="s">
        <v>978</v>
      </c>
      <c r="O65" s="979">
        <v>164</v>
      </c>
      <c r="P65" s="954"/>
      <c r="Q65" s="968">
        <v>143</v>
      </c>
    </row>
    <row r="66" spans="14:20" x14ac:dyDescent="0.2">
      <c r="N66" s="963" t="s">
        <v>979</v>
      </c>
      <c r="O66" s="979">
        <v>105</v>
      </c>
      <c r="P66" s="954"/>
      <c r="Q66" s="968">
        <v>139</v>
      </c>
    </row>
    <row r="67" spans="14:20" x14ac:dyDescent="0.2">
      <c r="N67" s="964" t="s">
        <v>955</v>
      </c>
      <c r="O67" s="980">
        <f>AVERAGE(O62:O66)</f>
        <v>165</v>
      </c>
      <c r="P67" s="943"/>
      <c r="Q67" s="970">
        <f>AVERAGE(Q62:Q66)</f>
        <v>163.4</v>
      </c>
    </row>
    <row r="68" spans="14:20" x14ac:dyDescent="0.2">
      <c r="N68" s="965" t="s">
        <v>956</v>
      </c>
      <c r="O68" s="981">
        <v>37</v>
      </c>
      <c r="P68" s="947"/>
      <c r="Q68" s="971">
        <f>+'Assumptions and Sensis'!H126</f>
        <v>160</v>
      </c>
    </row>
    <row r="71" spans="14:20" x14ac:dyDescent="0.2">
      <c r="N71" s="921" t="s">
        <v>1021</v>
      </c>
      <c r="O71" s="983"/>
      <c r="P71" s="991"/>
      <c r="Q71" s="955"/>
      <c r="R71" s="955"/>
      <c r="S71" s="955"/>
      <c r="T71" s="955"/>
    </row>
    <row r="72" spans="14:20" ht="17" thickBot="1" x14ac:dyDescent="0.25">
      <c r="N72" s="1082" t="s">
        <v>148</v>
      </c>
      <c r="O72" s="1082"/>
      <c r="P72" s="888"/>
      <c r="Q72" s="889" t="s">
        <v>63</v>
      </c>
      <c r="R72" s="890" t="s">
        <v>627</v>
      </c>
      <c r="S72" s="890" t="s">
        <v>628</v>
      </c>
      <c r="T72" s="890" t="s">
        <v>728</v>
      </c>
    </row>
    <row r="73" spans="14:20" x14ac:dyDescent="0.2">
      <c r="N73" s="891" t="s">
        <v>150</v>
      </c>
      <c r="O73" s="984"/>
      <c r="P73" s="888"/>
      <c r="Q73" s="892"/>
      <c r="R73" s="893">
        <f>'Assumptions and Sensis'!F122</f>
        <v>346.80700000000007</v>
      </c>
      <c r="S73" s="893">
        <f>'Assumptions and Sensis'!G122</f>
        <v>231.88266666666669</v>
      </c>
      <c r="T73" s="893">
        <f>'Assumptions and Sensis'!H122</f>
        <v>37.277688888888889</v>
      </c>
    </row>
    <row r="74" spans="14:20" x14ac:dyDescent="0.2">
      <c r="N74" s="894" t="s">
        <v>117</v>
      </c>
      <c r="O74" s="984"/>
      <c r="P74" s="888"/>
      <c r="Q74" s="892">
        <v>450</v>
      </c>
      <c r="R74" s="893">
        <f>$Q$74</f>
        <v>450</v>
      </c>
      <c r="S74" s="893">
        <f>$Q$74</f>
        <v>450</v>
      </c>
      <c r="T74" s="893">
        <f>$Q$74</f>
        <v>450</v>
      </c>
    </row>
    <row r="75" spans="14:20" x14ac:dyDescent="0.2">
      <c r="N75" s="894" t="s">
        <v>152</v>
      </c>
      <c r="O75" s="984"/>
      <c r="P75" s="888"/>
      <c r="Q75" s="888"/>
      <c r="R75" s="895">
        <f>+R77*R76</f>
        <v>135.33333333333334</v>
      </c>
      <c r="S75" s="895">
        <f>+S77*S76</f>
        <v>94.149999999999991</v>
      </c>
      <c r="T75" s="895">
        <f>+T77*T76</f>
        <v>114.38</v>
      </c>
    </row>
    <row r="76" spans="14:20" x14ac:dyDescent="0.2">
      <c r="N76" s="894" t="s">
        <v>153</v>
      </c>
      <c r="O76" s="984"/>
      <c r="P76" s="888"/>
      <c r="Q76" s="896">
        <v>0.7</v>
      </c>
      <c r="R76" s="897">
        <f>$Q$76</f>
        <v>0.7</v>
      </c>
      <c r="S76" s="897">
        <f>$Q$76</f>
        <v>0.7</v>
      </c>
      <c r="T76" s="897">
        <f>$Q$76</f>
        <v>0.7</v>
      </c>
    </row>
    <row r="77" spans="14:20" x14ac:dyDescent="0.2">
      <c r="N77" s="894" t="s">
        <v>296</v>
      </c>
      <c r="O77" s="984"/>
      <c r="P77" s="888"/>
      <c r="Q77" s="898"/>
      <c r="R77" s="899">
        <f>Q52</f>
        <v>193.33333333333334</v>
      </c>
      <c r="S77" s="899">
        <f>Q58</f>
        <v>134.5</v>
      </c>
      <c r="T77" s="899">
        <f>Q67</f>
        <v>163.4</v>
      </c>
    </row>
    <row r="78" spans="14:20" x14ac:dyDescent="0.2">
      <c r="N78" s="900" t="s">
        <v>305</v>
      </c>
      <c r="O78" s="985"/>
      <c r="P78" s="992"/>
      <c r="Q78" s="901">
        <f>+SUM(R78:T78)</f>
        <v>26674252.226729337</v>
      </c>
      <c r="R78" s="902">
        <f>+R73*365.25*R75</f>
        <v>17142843.413500004</v>
      </c>
      <c r="S78" s="902">
        <f>+S73*365.25*S75</f>
        <v>7974047.8076000009</v>
      </c>
      <c r="T78" s="902">
        <f>+T73*365.25*T75</f>
        <v>1557361.0056293332</v>
      </c>
    </row>
    <row r="79" spans="14:20" x14ac:dyDescent="0.2">
      <c r="N79" s="894" t="s">
        <v>134</v>
      </c>
      <c r="O79" s="986"/>
      <c r="P79" s="993"/>
      <c r="Q79" s="892">
        <f>+SUM(R79:T79)</f>
        <v>277185.31000000006</v>
      </c>
      <c r="R79" s="893">
        <f>+R73*R74</f>
        <v>156063.15000000002</v>
      </c>
      <c r="S79" s="893">
        <f>+S73*S74</f>
        <v>104347.20000000001</v>
      </c>
      <c r="T79" s="893">
        <f>+T73*T74</f>
        <v>16774.96</v>
      </c>
    </row>
    <row r="80" spans="14:20" x14ac:dyDescent="0.2">
      <c r="N80" s="894" t="s">
        <v>158</v>
      </c>
      <c r="O80" s="986"/>
      <c r="P80" s="993"/>
      <c r="Q80" s="892">
        <f>+SUM(R80:T80)</f>
        <v>615.96735555555563</v>
      </c>
      <c r="R80" s="893">
        <f>+R73</f>
        <v>346.80700000000007</v>
      </c>
      <c r="S80" s="893">
        <f>+S73</f>
        <v>231.88266666666669</v>
      </c>
      <c r="T80" s="893">
        <f>+T73</f>
        <v>37.277688888888889</v>
      </c>
    </row>
    <row r="81" spans="14:20" x14ac:dyDescent="0.2">
      <c r="N81" s="904" t="s">
        <v>159</v>
      </c>
      <c r="O81" s="987"/>
      <c r="P81" s="994"/>
      <c r="Q81" s="905">
        <f>+IFERROR(Q78/Q79,"")</f>
        <v>96.232560905660307</v>
      </c>
      <c r="R81" s="906">
        <f>+IFERROR(R78/R79,"")</f>
        <v>109.84555555555556</v>
      </c>
      <c r="S81" s="906">
        <f>+IFERROR(S78/S79,"")</f>
        <v>76.418416666666673</v>
      </c>
      <c r="T81" s="906">
        <f>+IFERROR(T78/T79,"")</f>
        <v>92.838433333333327</v>
      </c>
    </row>
    <row r="82" spans="14:20" x14ac:dyDescent="0.2">
      <c r="N82" s="955"/>
      <c r="O82" s="983"/>
      <c r="P82" s="991"/>
      <c r="Q82" s="955"/>
      <c r="R82" s="955"/>
      <c r="S82" s="955"/>
      <c r="T82" s="955"/>
    </row>
    <row r="83" spans="14:20" x14ac:dyDescent="0.2">
      <c r="N83" s="921" t="s">
        <v>1022</v>
      </c>
      <c r="O83" s="983"/>
      <c r="P83" s="991"/>
      <c r="Q83" s="955"/>
      <c r="R83" s="955"/>
      <c r="S83" s="955"/>
      <c r="T83" s="955"/>
    </row>
    <row r="84" spans="14:20" ht="17" thickBot="1" x14ac:dyDescent="0.25">
      <c r="N84" s="1082" t="s">
        <v>913</v>
      </c>
      <c r="O84" s="1082"/>
      <c r="P84" s="907"/>
      <c r="Q84" s="889" t="str">
        <f>'Assumptions and Sensis'!E81</f>
        <v>Global</v>
      </c>
      <c r="R84" s="889" t="str">
        <f>'Assumptions and Sensis'!F81</f>
        <v>I</v>
      </c>
      <c r="S84" s="889" t="str">
        <f>'Assumptions and Sensis'!G81</f>
        <v>II</v>
      </c>
      <c r="T84" s="889" t="str">
        <f>'Assumptions and Sensis'!H81</f>
        <v>III</v>
      </c>
    </row>
    <row r="85" spans="14:20" x14ac:dyDescent="0.2">
      <c r="N85" s="908" t="s">
        <v>115</v>
      </c>
      <c r="O85" s="988"/>
      <c r="P85" s="907"/>
      <c r="Q85" s="909"/>
      <c r="R85" s="910">
        <f>'Assumptions and Sensis'!F82</f>
        <v>397.56940050698711</v>
      </c>
      <c r="S85" s="910">
        <f>'Assumptions and Sensis'!G82</f>
        <v>276.17243636363639</v>
      </c>
      <c r="T85" s="910">
        <f>'Assumptions and Sensis'!H82</f>
        <v>332.2267517324002</v>
      </c>
    </row>
    <row r="86" spans="14:20" x14ac:dyDescent="0.2">
      <c r="N86" s="911" t="s">
        <v>117</v>
      </c>
      <c r="O86" s="988"/>
      <c r="P86" s="907"/>
      <c r="Q86" s="909">
        <v>550</v>
      </c>
      <c r="R86" s="910">
        <f>$Q86</f>
        <v>550</v>
      </c>
      <c r="S86" s="910">
        <f>$Q86</f>
        <v>550</v>
      </c>
      <c r="T86" s="910">
        <f>$Q86</f>
        <v>550</v>
      </c>
    </row>
    <row r="87" spans="14:20" x14ac:dyDescent="0.2">
      <c r="N87" s="911" t="s">
        <v>915</v>
      </c>
      <c r="O87" s="986"/>
      <c r="P87" s="993"/>
      <c r="Q87" s="903"/>
      <c r="R87" s="899">
        <f>'Assumptions and Sensis'!F84</f>
        <v>1646.4</v>
      </c>
      <c r="S87" s="899">
        <f>'Assumptions and Sensis'!G84</f>
        <v>1712.9145599999997</v>
      </c>
      <c r="T87" s="899">
        <f>'Assumptions and Sensis'!H84</f>
        <v>1782.1163082239998</v>
      </c>
    </row>
    <row r="88" spans="14:20" x14ac:dyDescent="0.2">
      <c r="N88" s="911" t="s">
        <v>917</v>
      </c>
      <c r="O88" s="986"/>
      <c r="P88" s="993"/>
      <c r="Q88" s="903"/>
      <c r="R88" s="910">
        <f>0.5*R85</f>
        <v>198.78470025349355</v>
      </c>
      <c r="S88" s="910">
        <f>0.5*S85</f>
        <v>138.0862181818182</v>
      </c>
      <c r="T88" s="910">
        <f>0.5*T85</f>
        <v>166.1133758662001</v>
      </c>
    </row>
    <row r="89" spans="14:20" x14ac:dyDescent="0.2">
      <c r="N89" s="911" t="s">
        <v>916</v>
      </c>
      <c r="O89" s="986"/>
      <c r="P89" s="993"/>
      <c r="Q89" s="903"/>
      <c r="R89" s="912">
        <f>Z25</f>
        <v>1357.75</v>
      </c>
      <c r="S89" s="912">
        <f>+R89*(1+0.02)^2</f>
        <v>1412.6031</v>
      </c>
      <c r="T89" s="912">
        <f>+S89*(1+0.02)^2</f>
        <v>1469.6722652400001</v>
      </c>
    </row>
    <row r="90" spans="14:20" x14ac:dyDescent="0.2">
      <c r="N90" s="911" t="s">
        <v>919</v>
      </c>
      <c r="O90" s="988"/>
      <c r="P90" s="907"/>
      <c r="Q90" s="907"/>
      <c r="R90" s="913">
        <f>+R91*12/R86</f>
        <v>29.623636363636365</v>
      </c>
      <c r="S90" s="913">
        <f>+S91*12/S86</f>
        <v>30.820431272727273</v>
      </c>
      <c r="T90" s="913">
        <f>+T91*12/T86</f>
        <v>32.065576696145456</v>
      </c>
    </row>
    <row r="91" spans="14:20" x14ac:dyDescent="0.2">
      <c r="N91" s="911" t="s">
        <v>918</v>
      </c>
      <c r="O91" s="988"/>
      <c r="P91" s="907"/>
      <c r="Q91" s="914"/>
      <c r="R91" s="912">
        <f>+(MIN(R89,R87)*R88+R89*(R85-R88))/R85</f>
        <v>1357.75</v>
      </c>
      <c r="S91" s="912">
        <f>+(MIN(S89,S87)*S88+S89*(S85-S88))/S85</f>
        <v>1412.6031</v>
      </c>
      <c r="T91" s="912">
        <f>+(MIN(T89,T87)*T88+T89*(T85-T88))/T85</f>
        <v>1469.6722652400001</v>
      </c>
    </row>
    <row r="92" spans="14:20" x14ac:dyDescent="0.2">
      <c r="N92" s="908" t="s">
        <v>123</v>
      </c>
      <c r="O92" s="988"/>
      <c r="P92" s="907"/>
      <c r="Q92" s="909"/>
      <c r="R92" s="910">
        <f>'Assumptions and Sensis'!F89</f>
        <v>116.62035748204956</v>
      </c>
      <c r="S92" s="910">
        <f>'Assumptions and Sensis'!G89</f>
        <v>81.010581333333349</v>
      </c>
      <c r="T92" s="910">
        <f>'Assumptions and Sensis'!H89</f>
        <v>97.453180508170718</v>
      </c>
    </row>
    <row r="93" spans="14:20" x14ac:dyDescent="0.2">
      <c r="N93" s="911" t="s">
        <v>117</v>
      </c>
      <c r="O93" s="988"/>
      <c r="P93" s="907"/>
      <c r="Q93" s="909">
        <v>750</v>
      </c>
      <c r="R93" s="910">
        <f>$Q93</f>
        <v>750</v>
      </c>
      <c r="S93" s="910">
        <f>$Q93</f>
        <v>750</v>
      </c>
      <c r="T93" s="910">
        <f>$Q93</f>
        <v>750</v>
      </c>
    </row>
    <row r="94" spans="14:20" x14ac:dyDescent="0.2">
      <c r="N94" s="911" t="s">
        <v>915</v>
      </c>
      <c r="O94" s="988"/>
      <c r="P94" s="907"/>
      <c r="Q94" s="909"/>
      <c r="R94" s="899">
        <f>'Assumptions and Sensis'!F91</f>
        <v>1764</v>
      </c>
      <c r="S94" s="899">
        <f>'Assumptions and Sensis'!G91</f>
        <v>1835.2655999999999</v>
      </c>
      <c r="T94" s="899">
        <f>'Assumptions and Sensis'!H91</f>
        <v>1909.4103302400001</v>
      </c>
    </row>
    <row r="95" spans="14:20" x14ac:dyDescent="0.2">
      <c r="N95" s="911" t="s">
        <v>917</v>
      </c>
      <c r="O95" s="986"/>
      <c r="P95" s="993"/>
      <c r="Q95" s="903"/>
      <c r="R95" s="910">
        <f>0.5*R92</f>
        <v>58.310178741024778</v>
      </c>
      <c r="S95" s="910">
        <f>0.5*S92</f>
        <v>40.505290666666674</v>
      </c>
      <c r="T95" s="910">
        <f>0.5*T92</f>
        <v>48.726590254085359</v>
      </c>
    </row>
    <row r="96" spans="14:20" x14ac:dyDescent="0.2">
      <c r="N96" s="911" t="s">
        <v>916</v>
      </c>
      <c r="O96" s="986"/>
      <c r="P96" s="993"/>
      <c r="Q96" s="903"/>
      <c r="R96" s="912">
        <f>Z28</f>
        <v>1608.8</v>
      </c>
      <c r="S96" s="912">
        <f>+R96*(1+0.02)^2</f>
        <v>1673.7955199999999</v>
      </c>
      <c r="T96" s="912">
        <f>+S96*(1+0.02)^2</f>
        <v>1741.4168590079998</v>
      </c>
    </row>
    <row r="97" spans="14:20" x14ac:dyDescent="0.2">
      <c r="N97" s="911" t="s">
        <v>919</v>
      </c>
      <c r="O97" s="988"/>
      <c r="P97" s="907"/>
      <c r="Q97" s="907"/>
      <c r="R97" s="913">
        <f>+R98*12/R93</f>
        <v>25.740799999999997</v>
      </c>
      <c r="S97" s="913">
        <f>+S98*12/S93</f>
        <v>26.780728319999998</v>
      </c>
      <c r="T97" s="913">
        <f>+T98*12/T93</f>
        <v>27.862669744127999</v>
      </c>
    </row>
    <row r="98" spans="14:20" x14ac:dyDescent="0.2">
      <c r="N98" s="911" t="s">
        <v>918</v>
      </c>
      <c r="O98" s="988"/>
      <c r="P98" s="907"/>
      <c r="Q98" s="914"/>
      <c r="R98" s="912">
        <f>+(MIN(R96,R94)*R95+R96*(R92-R95))/R92</f>
        <v>1608.8</v>
      </c>
      <c r="S98" s="912">
        <f>+(MIN(S96,S94)*S95+S96*(S92-S95))/S92</f>
        <v>1673.7955199999999</v>
      </c>
      <c r="T98" s="912">
        <f>+(MIN(T96,T94)*T95+T96*(T92-T95))/T92</f>
        <v>1741.4168590079998</v>
      </c>
    </row>
    <row r="99" spans="14:20" x14ac:dyDescent="0.2">
      <c r="N99" s="908" t="s">
        <v>127</v>
      </c>
      <c r="O99" s="986"/>
      <c r="P99" s="995"/>
      <c r="Q99" s="909"/>
      <c r="R99" s="910">
        <f>'Assumptions and Sensis'!F96</f>
        <v>39.756940050698709</v>
      </c>
      <c r="S99" s="910">
        <f>'Assumptions and Sensis'!G96</f>
        <v>27.617243636363643</v>
      </c>
      <c r="T99" s="910">
        <f>'Assumptions and Sensis'!H96</f>
        <v>33.22267517324002</v>
      </c>
    </row>
    <row r="100" spans="14:20" x14ac:dyDescent="0.2">
      <c r="N100" s="911" t="s">
        <v>117</v>
      </c>
      <c r="O100" s="986"/>
      <c r="P100" s="995"/>
      <c r="Q100" s="909">
        <v>1100</v>
      </c>
      <c r="R100" s="910">
        <f>$Q100</f>
        <v>1100</v>
      </c>
      <c r="S100" s="910">
        <f>$Q100</f>
        <v>1100</v>
      </c>
      <c r="T100" s="910">
        <f>$Q100</f>
        <v>1100</v>
      </c>
    </row>
    <row r="101" spans="14:20" x14ac:dyDescent="0.2">
      <c r="N101" s="911" t="s">
        <v>119</v>
      </c>
      <c r="O101" s="986"/>
      <c r="P101" s="995"/>
      <c r="Q101" s="907"/>
      <c r="R101" s="913">
        <f>+R102*12/R100</f>
        <v>26.456727272727271</v>
      </c>
      <c r="S101" s="913">
        <f>+S102*12/S100</f>
        <v>27.52557905454545</v>
      </c>
      <c r="T101" s="913">
        <f>+T102*12/T100</f>
        <v>28.637612448349088</v>
      </c>
    </row>
    <row r="102" spans="14:20" x14ac:dyDescent="0.2">
      <c r="N102" s="911" t="s">
        <v>121</v>
      </c>
      <c r="O102" s="986"/>
      <c r="P102" s="995"/>
      <c r="Q102" s="914"/>
      <c r="R102" s="912">
        <f>Z31</f>
        <v>2425.1999999999998</v>
      </c>
      <c r="S102" s="912">
        <f>+R102*(1+0.02)^2</f>
        <v>2523.1780799999997</v>
      </c>
      <c r="T102" s="912">
        <f>+S102*(1+0.02)^2</f>
        <v>2625.1144744319995</v>
      </c>
    </row>
    <row r="103" spans="14:20" x14ac:dyDescent="0.2">
      <c r="N103" s="908" t="s">
        <v>131</v>
      </c>
      <c r="O103" s="986"/>
      <c r="P103" s="995"/>
      <c r="Q103" s="909"/>
      <c r="R103" s="910">
        <f>'Assumptions and Sensis'!F100</f>
        <v>14.577544685256195</v>
      </c>
      <c r="S103" s="910">
        <f>'Assumptions and Sensis'!G100</f>
        <v>10.126322666666669</v>
      </c>
      <c r="T103" s="910">
        <f>'Assumptions and Sensis'!H100</f>
        <v>12.18164756352134</v>
      </c>
    </row>
    <row r="104" spans="14:20" x14ac:dyDescent="0.2">
      <c r="N104" s="911" t="s">
        <v>117</v>
      </c>
      <c r="O104" s="986"/>
      <c r="P104" s="995"/>
      <c r="Q104" s="909">
        <v>1500</v>
      </c>
      <c r="R104" s="910">
        <f>$Q104</f>
        <v>1500</v>
      </c>
      <c r="S104" s="910">
        <f>$Q104</f>
        <v>1500</v>
      </c>
      <c r="T104" s="910">
        <f>$Q104</f>
        <v>1500</v>
      </c>
    </row>
    <row r="105" spans="14:20" x14ac:dyDescent="0.2">
      <c r="N105" s="911" t="s">
        <v>119</v>
      </c>
      <c r="O105" s="986"/>
      <c r="P105" s="995"/>
      <c r="Q105" s="907"/>
      <c r="R105" s="913">
        <f>+R106*12/R104</f>
        <v>25.6</v>
      </c>
      <c r="S105" s="913">
        <f>+S106*12/S104</f>
        <v>26.634240000000002</v>
      </c>
      <c r="T105" s="913">
        <f>+T106*12/T104</f>
        <v>27.710263296000001</v>
      </c>
    </row>
    <row r="106" spans="14:20" x14ac:dyDescent="0.2">
      <c r="N106" s="911" t="s">
        <v>121</v>
      </c>
      <c r="O106" s="986"/>
      <c r="P106" s="995"/>
      <c r="Q106" s="914"/>
      <c r="R106" s="912">
        <v>3200</v>
      </c>
      <c r="S106" s="912">
        <f>+R106*(1+0.02)^2</f>
        <v>3329.2799999999997</v>
      </c>
      <c r="T106" s="912">
        <f>+S106*(1+0.02)^2</f>
        <v>3463.7829119999997</v>
      </c>
    </row>
    <row r="107" spans="14:20" x14ac:dyDescent="0.2">
      <c r="N107" s="908" t="s">
        <v>372</v>
      </c>
      <c r="O107" s="986"/>
      <c r="P107" s="995"/>
      <c r="Q107" s="909"/>
      <c r="R107" s="910">
        <f>'Assumptions and Sensis'!F104</f>
        <v>29.81770503802403</v>
      </c>
      <c r="S107" s="910">
        <f>'Assumptions and Sensis'!G104</f>
        <v>20.712932727272729</v>
      </c>
      <c r="T107" s="910">
        <f>'Assumptions and Sensis'!H104</f>
        <v>24.917006379930015</v>
      </c>
    </row>
    <row r="108" spans="14:20" x14ac:dyDescent="0.2">
      <c r="N108" s="911" t="s">
        <v>117</v>
      </c>
      <c r="O108" s="986"/>
      <c r="P108" s="995"/>
      <c r="Q108" s="909">
        <v>2200</v>
      </c>
      <c r="R108" s="910">
        <f>$Q108</f>
        <v>2200</v>
      </c>
      <c r="S108" s="910">
        <f>$Q108</f>
        <v>2200</v>
      </c>
      <c r="T108" s="910">
        <f>$Q108</f>
        <v>2200</v>
      </c>
    </row>
    <row r="109" spans="14:20" x14ac:dyDescent="0.2">
      <c r="N109" s="911" t="s">
        <v>119</v>
      </c>
      <c r="O109" s="986"/>
      <c r="P109" s="995"/>
      <c r="Q109" s="907"/>
      <c r="R109" s="913">
        <f>+R110*12/R108</f>
        <v>24.545454545454547</v>
      </c>
      <c r="S109" s="913">
        <f>+S110*12/S108</f>
        <v>25.53709090909091</v>
      </c>
      <c r="T109" s="913">
        <f>+T110*12/T108</f>
        <v>26.568789381818185</v>
      </c>
    </row>
    <row r="110" spans="14:20" x14ac:dyDescent="0.2">
      <c r="N110" s="911" t="s">
        <v>121</v>
      </c>
      <c r="O110" s="986"/>
      <c r="P110" s="995"/>
      <c r="Q110" s="914"/>
      <c r="R110" s="912">
        <v>4500</v>
      </c>
      <c r="S110" s="912">
        <f>+R110*(1+0.02)^2</f>
        <v>4681.8</v>
      </c>
      <c r="T110" s="912">
        <f>+S110*(1+0.02)^2</f>
        <v>4870.9447200000004</v>
      </c>
    </row>
    <row r="111" spans="14:20" x14ac:dyDescent="0.2">
      <c r="N111" s="911"/>
      <c r="O111" s="986"/>
      <c r="P111" s="995"/>
      <c r="Q111" s="914"/>
      <c r="R111" s="912"/>
      <c r="S111" s="912"/>
      <c r="T111" s="912"/>
    </row>
    <row r="112" spans="14:20" x14ac:dyDescent="0.2">
      <c r="N112" s="900" t="s">
        <v>914</v>
      </c>
      <c r="O112" s="985"/>
      <c r="P112" s="992"/>
      <c r="Q112" s="901">
        <f>+SUM(R112:T112)</f>
        <v>31674011.256341796</v>
      </c>
      <c r="R112" s="902">
        <f>+R90*R86*R85+R92*R93*R97+R99*R100*R101+R103*R104*R105+R107*R108*R109</f>
        <v>12055980.375964386</v>
      </c>
      <c r="S112" s="902">
        <f>+S90*S86*S85+S92*S93*S97+S99*S100*S101+S103*S104*S105+S107*S108*S109</f>
        <v>8713051.0031240657</v>
      </c>
      <c r="T112" s="902">
        <f>+T90*T86*T85+T92*T93*T97+T99*T100*T101+T103*T104*T105+T107*T108*T109</f>
        <v>10904979.877253342</v>
      </c>
    </row>
    <row r="113" spans="14:20" x14ac:dyDescent="0.2">
      <c r="N113" s="915" t="s">
        <v>134</v>
      </c>
      <c r="O113" s="989"/>
      <c r="P113" s="996"/>
      <c r="Q113" s="916">
        <f>+SUM(R113:T113)</f>
        <v>1106565.4474633262</v>
      </c>
      <c r="R113" s="917">
        <f>+R85*R86+R92*R93+R99*R100+R103*R104+R107*R108</f>
        <v>437326.34055768582</v>
      </c>
      <c r="S113" s="917">
        <f>+S85*S86+S92*S93+S99*S100+S103*S104+S107*S108</f>
        <v>303789.68000000005</v>
      </c>
      <c r="T113" s="917">
        <f>+T85*T86+T92*T93+T99*T100+T103*T104+T107*T108</f>
        <v>365449.42690564017</v>
      </c>
    </row>
    <row r="114" spans="14:20" x14ac:dyDescent="0.2">
      <c r="N114" s="911" t="s">
        <v>135</v>
      </c>
      <c r="O114" s="990"/>
      <c r="P114" s="995"/>
      <c r="Q114" s="909">
        <f>+SUM(R114:T114)</f>
        <v>1513.9827258475507</v>
      </c>
      <c r="R114" s="910">
        <f>+R85+R92+R99+R103+R107</f>
        <v>598.3419477630157</v>
      </c>
      <c r="S114" s="910">
        <f>+S85+S92+S99+S103+S107</f>
        <v>415.63951672727279</v>
      </c>
      <c r="T114" s="910">
        <f>+T85+T92+T99+T103+T107</f>
        <v>500.00126135726225</v>
      </c>
    </row>
    <row r="115" spans="14:20" x14ac:dyDescent="0.2">
      <c r="N115" s="911" t="s">
        <v>137</v>
      </c>
      <c r="O115" s="990"/>
      <c r="P115" s="995"/>
      <c r="Q115" s="918">
        <f>+IFERROR(Q112/Q113,"")</f>
        <v>28.623712523241007</v>
      </c>
      <c r="R115" s="913">
        <f>+IFERROR(R112/R113,"")</f>
        <v>27.567469090909089</v>
      </c>
      <c r="S115" s="913">
        <f>+IFERROR(S112/S113,"")</f>
        <v>28.681194842181817</v>
      </c>
      <c r="T115" s="913">
        <f>+IFERROR(T112/T113,"")</f>
        <v>29.839915113805972</v>
      </c>
    </row>
    <row r="116" spans="14:20" x14ac:dyDescent="0.2">
      <c r="N116" s="904" t="s">
        <v>139</v>
      </c>
      <c r="O116" s="987"/>
      <c r="P116" s="994"/>
      <c r="Q116" s="919">
        <f>+IFERROR(Q112/Q114/12,"")</f>
        <v>1743.4154914487879</v>
      </c>
      <c r="R116" s="920">
        <f>+IFERROR(R112/R114/12,"")</f>
        <v>1679.0817275747504</v>
      </c>
      <c r="S116" s="920">
        <f>+IFERROR(S112/S114/12,"")</f>
        <v>1746.9166293687706</v>
      </c>
      <c r="T116" s="920">
        <f>+IFERROR(T112/T114/12,"")</f>
        <v>1817.4920611952693</v>
      </c>
    </row>
  </sheetData>
  <mergeCells count="8">
    <mergeCell ref="C2:F2"/>
    <mergeCell ref="G2:M2"/>
    <mergeCell ref="U17:Y17"/>
    <mergeCell ref="N72:O72"/>
    <mergeCell ref="N84:O84"/>
    <mergeCell ref="G3:H3"/>
    <mergeCell ref="C3:D3"/>
    <mergeCell ref="B14:M14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2:Z435"/>
  <sheetViews>
    <sheetView showGridLines="0" topLeftCell="A121" zoomScale="55" zoomScaleNormal="55" workbookViewId="0">
      <selection activeCell="A133" sqref="A133"/>
    </sheetView>
  </sheetViews>
  <sheetFormatPr baseColWidth="10" defaultColWidth="14.5" defaultRowHeight="16" x14ac:dyDescent="0.2"/>
  <cols>
    <col min="1" max="1" width="8.5" style="40" customWidth="1"/>
    <col min="2" max="2" width="17.83203125" style="40" customWidth="1"/>
    <col min="3" max="3" width="23.5" style="40" customWidth="1"/>
    <col min="4" max="4" width="17.5" style="40" bestFit="1" customWidth="1"/>
    <col min="5" max="5" width="14.83203125" style="40" customWidth="1"/>
    <col min="6" max="6" width="18" style="40" bestFit="1" customWidth="1"/>
    <col min="7" max="8" width="15.5" style="40" bestFit="1" customWidth="1"/>
    <col min="9" max="10" width="14.5" style="40"/>
    <col min="11" max="11" width="15.5" style="40" bestFit="1" customWidth="1"/>
    <col min="12" max="16384" width="14.5" style="40"/>
  </cols>
  <sheetData>
    <row r="2" spans="1:26" x14ac:dyDescent="0.2">
      <c r="B2" s="145" t="s">
        <v>258</v>
      </c>
      <c r="E2" s="145">
        <v>0</v>
      </c>
      <c r="F2" s="146">
        <f>+IF(F7&gt;='Assumptions and Sensis'!$F$47,'Phase I Pro Forma'!E2+1,'Phase I Pro Forma'!E2)</f>
        <v>0</v>
      </c>
      <c r="G2" s="146">
        <f>+IF(G7&gt;='Assumptions and Sensis'!$F$47,'Phase I Pro Forma'!F2+1,'Phase I Pro Forma'!F2)</f>
        <v>0</v>
      </c>
      <c r="H2" s="146">
        <f>+IF(H7&gt;='Assumptions and Sensis'!$F$47,'Phase I Pro Forma'!G2+1,'Phase I Pro Forma'!G2)</f>
        <v>0</v>
      </c>
      <c r="I2" s="146">
        <f>+IF(I7&gt;='Assumptions and Sensis'!$F$47,'Phase I Pro Forma'!H2+1,'Phase I Pro Forma'!H2)</f>
        <v>1</v>
      </c>
      <c r="J2" s="146">
        <f>+IF(J7&gt;='Assumptions and Sensis'!$F$47,'Phase I Pro Forma'!I2+1,'Phase I Pro Forma'!I2)</f>
        <v>2</v>
      </c>
      <c r="K2" s="146">
        <f>+IF(K7&gt;='Assumptions and Sensis'!$F$47,'Phase I Pro Forma'!J2+1,'Phase I Pro Forma'!J2)</f>
        <v>3</v>
      </c>
      <c r="L2" s="146">
        <f>+IF(L7&gt;='Assumptions and Sensis'!$F$47,'Phase I Pro Forma'!K2+1,'Phase I Pro Forma'!K2)</f>
        <v>4</v>
      </c>
      <c r="M2" s="146">
        <f>+IF(M7&gt;='Assumptions and Sensis'!$F$47,'Phase I Pro Forma'!L2+1,'Phase I Pro Forma'!L2)</f>
        <v>5</v>
      </c>
      <c r="N2" s="146">
        <f>+IF(N7&gt;='Assumptions and Sensis'!$F$47,'Phase I Pro Forma'!M2+1,'Phase I Pro Forma'!M2)</f>
        <v>6</v>
      </c>
      <c r="O2" s="146">
        <f>+IF(O7&gt;='Assumptions and Sensis'!$F$47,'Phase I Pro Forma'!N2+1,'Phase I Pro Forma'!N2)</f>
        <v>7</v>
      </c>
      <c r="P2" s="146">
        <f>+IF(P7&gt;='Assumptions and Sensis'!$F$47,'Phase I Pro Forma'!O2+1,'Phase I Pro Forma'!O2)</f>
        <v>8</v>
      </c>
      <c r="Q2" s="146">
        <f>+IF(Q7&gt;='Assumptions and Sensis'!$F$47,'Phase I Pro Forma'!P2+1,'Phase I Pro Forma'!P2)</f>
        <v>9</v>
      </c>
      <c r="R2" s="146">
        <f>+IF(R7&gt;='Assumptions and Sensis'!$F$47,'Phase I Pro Forma'!Q2+1,'Phase I Pro Forma'!Q2)</f>
        <v>10</v>
      </c>
      <c r="S2" s="146">
        <f>+IF(S7&gt;='Assumptions and Sensis'!$F$47,'Phase I Pro Forma'!R2+1,'Phase I Pro Forma'!R2)</f>
        <v>11</v>
      </c>
      <c r="T2" s="146">
        <f>+IF(T7&gt;='Assumptions and Sensis'!$F$47,'Phase I Pro Forma'!S2+1,'Phase I Pro Forma'!S2)</f>
        <v>12</v>
      </c>
      <c r="U2" s="146">
        <f>+IF(U7&gt;='Assumptions and Sensis'!$F$47,'Phase I Pro Forma'!T2+1,'Phase I Pro Forma'!T2)</f>
        <v>13</v>
      </c>
      <c r="V2" s="146">
        <f>+IF(V7&gt;='Assumptions and Sensis'!$F$47,'Phase I Pro Forma'!U2+1,'Phase I Pro Forma'!U2)</f>
        <v>14</v>
      </c>
      <c r="W2" s="146">
        <f>+IF(W7&gt;='Assumptions and Sensis'!$F$47,'Phase I Pro Forma'!V2+1,'Phase I Pro Forma'!V2)</f>
        <v>15</v>
      </c>
      <c r="X2" s="146">
        <f>+IF(X7&gt;='Assumptions and Sensis'!$F$47,'Phase I Pro Forma'!W2+1,'Phase I Pro Forma'!W2)</f>
        <v>16</v>
      </c>
      <c r="Y2" s="146">
        <f>+IF(Y7&gt;='Assumptions and Sensis'!$F$47,'Phase I Pro Forma'!X2+1,'Phase I Pro Forma'!X2)</f>
        <v>17</v>
      </c>
      <c r="Z2" s="146">
        <f>+IF(Z7&gt;='Assumptions and Sensis'!$F$47,'Phase I Pro Forma'!Y2+1,'Phase I Pro Forma'!Y2)</f>
        <v>18</v>
      </c>
    </row>
    <row r="3" spans="1:26" x14ac:dyDescent="0.2">
      <c r="B3" s="145" t="s">
        <v>278</v>
      </c>
      <c r="F3" s="146">
        <f>+IF(F7&gt;='Assumptions and Sensis'!$F$49,'Phase I Pro Forma'!E3+1,'Phase I Pro Forma'!E3)</f>
        <v>0</v>
      </c>
      <c r="G3" s="146">
        <f>+IF(G7&gt;='Assumptions and Sensis'!$F$49,'Phase I Pro Forma'!F3+1,'Phase I Pro Forma'!F3)</f>
        <v>0</v>
      </c>
      <c r="H3" s="146">
        <f>+IF(H7&gt;='Assumptions and Sensis'!$F$49,'Phase I Pro Forma'!G3+1,'Phase I Pro Forma'!G3)</f>
        <v>0</v>
      </c>
      <c r="I3" s="146">
        <f>+IF(I7&gt;='Assumptions and Sensis'!$F$49,'Phase I Pro Forma'!H3+1,'Phase I Pro Forma'!H3)</f>
        <v>0</v>
      </c>
      <c r="J3" s="146">
        <f>+IF(J7&gt;='Assumptions and Sensis'!$F$49,'Phase I Pro Forma'!I3+1,'Phase I Pro Forma'!I3)</f>
        <v>0</v>
      </c>
      <c r="K3" s="146">
        <f>+IF(K7&gt;='Assumptions and Sensis'!$F$49,'Phase I Pro Forma'!J3+1,'Phase I Pro Forma'!J3)</f>
        <v>1</v>
      </c>
      <c r="L3" s="146">
        <f>+IF(L7&gt;='Assumptions and Sensis'!$F$49,'Phase I Pro Forma'!K3+1,'Phase I Pro Forma'!K3)</f>
        <v>2</v>
      </c>
      <c r="M3" s="146">
        <f>+IF(M7&gt;='Assumptions and Sensis'!$F$49,'Phase I Pro Forma'!L3+1,'Phase I Pro Forma'!L3)</f>
        <v>3</v>
      </c>
      <c r="N3" s="146">
        <f>+IF(N7&gt;='Assumptions and Sensis'!$F$49,'Phase I Pro Forma'!M3+1,'Phase I Pro Forma'!M3)</f>
        <v>4</v>
      </c>
      <c r="O3" s="146">
        <f>+IF(O7&gt;='Assumptions and Sensis'!$F$49,'Phase I Pro Forma'!N3+1,'Phase I Pro Forma'!N3)</f>
        <v>5</v>
      </c>
      <c r="P3" s="146">
        <f>+IF(P7&gt;='Assumptions and Sensis'!$F$49,'Phase I Pro Forma'!O3+1,'Phase I Pro Forma'!O3)</f>
        <v>6</v>
      </c>
      <c r="Q3" s="146">
        <f>+IF(Q7&gt;='Assumptions and Sensis'!$F$49,'Phase I Pro Forma'!P3+1,'Phase I Pro Forma'!P3)</f>
        <v>7</v>
      </c>
      <c r="R3" s="146">
        <f>+IF(R7&gt;='Assumptions and Sensis'!$F$49,'Phase I Pro Forma'!Q3+1,'Phase I Pro Forma'!Q3)</f>
        <v>8</v>
      </c>
      <c r="S3" s="146">
        <f>+IF(S7&gt;='Assumptions and Sensis'!$F$49,'Phase I Pro Forma'!R3+1,'Phase I Pro Forma'!R3)</f>
        <v>9</v>
      </c>
      <c r="T3" s="146">
        <f>+IF(T7&gt;='Assumptions and Sensis'!$F$49,'Phase I Pro Forma'!S3+1,'Phase I Pro Forma'!S3)</f>
        <v>10</v>
      </c>
      <c r="U3" s="146">
        <f>+IF(U7&gt;='Assumptions and Sensis'!$F$49,'Phase I Pro Forma'!T3+1,'Phase I Pro Forma'!T3)</f>
        <v>11</v>
      </c>
      <c r="V3" s="146">
        <f>+IF(V7&gt;='Assumptions and Sensis'!$F$49,'Phase I Pro Forma'!U3+1,'Phase I Pro Forma'!U3)</f>
        <v>12</v>
      </c>
      <c r="W3" s="146">
        <f>+IF(W7&gt;='Assumptions and Sensis'!$F$49,'Phase I Pro Forma'!V3+1,'Phase I Pro Forma'!V3)</f>
        <v>13</v>
      </c>
      <c r="X3" s="146">
        <f>+IF(X7&gt;='Assumptions and Sensis'!$F$49,'Phase I Pro Forma'!W3+1,'Phase I Pro Forma'!W3)</f>
        <v>14</v>
      </c>
      <c r="Y3" s="146">
        <f>+IF(Y7&gt;='Assumptions and Sensis'!$F$49,'Phase I Pro Forma'!X3+1,'Phase I Pro Forma'!X3)</f>
        <v>15</v>
      </c>
      <c r="Z3" s="146">
        <f>+IF(Z7&gt;='Assumptions and Sensis'!$F$49,'Phase I Pro Forma'!Y3+1,'Phase I Pro Forma'!Y3)</f>
        <v>16</v>
      </c>
    </row>
    <row r="4" spans="1:26" x14ac:dyDescent="0.2"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">
      <c r="B5" s="36" t="s">
        <v>767</v>
      </c>
      <c r="C5" s="37"/>
      <c r="D5" s="37"/>
      <c r="E5" s="37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</row>
    <row r="6" spans="1:26" x14ac:dyDescent="0.2">
      <c r="B6" s="118"/>
      <c r="F6" s="226">
        <f>+YEAR(F7)</f>
        <v>2020</v>
      </c>
      <c r="G6" s="226">
        <f t="shared" ref="G6:Z6" si="0">+YEAR(G7)</f>
        <v>2021</v>
      </c>
      <c r="H6" s="226">
        <f t="shared" si="0"/>
        <v>2022</v>
      </c>
      <c r="I6" s="226">
        <f t="shared" si="0"/>
        <v>2023</v>
      </c>
      <c r="J6" s="226">
        <f t="shared" si="0"/>
        <v>2024</v>
      </c>
      <c r="K6" s="226">
        <f t="shared" si="0"/>
        <v>2025</v>
      </c>
      <c r="L6" s="226">
        <f t="shared" si="0"/>
        <v>2026</v>
      </c>
      <c r="M6" s="226">
        <f t="shared" si="0"/>
        <v>2027</v>
      </c>
      <c r="N6" s="226">
        <f t="shared" si="0"/>
        <v>2028</v>
      </c>
      <c r="O6" s="226">
        <f t="shared" si="0"/>
        <v>2029</v>
      </c>
      <c r="P6" s="226">
        <f t="shared" si="0"/>
        <v>2030</v>
      </c>
      <c r="Q6" s="226">
        <f t="shared" si="0"/>
        <v>2031</v>
      </c>
      <c r="R6" s="226">
        <f t="shared" si="0"/>
        <v>2032</v>
      </c>
      <c r="S6" s="226">
        <f t="shared" si="0"/>
        <v>2033</v>
      </c>
      <c r="T6" s="226">
        <f t="shared" si="0"/>
        <v>2034</v>
      </c>
      <c r="U6" s="226">
        <f t="shared" si="0"/>
        <v>2035</v>
      </c>
      <c r="V6" s="226">
        <f t="shared" si="0"/>
        <v>2036</v>
      </c>
      <c r="W6" s="226">
        <f t="shared" si="0"/>
        <v>2037</v>
      </c>
      <c r="X6" s="226">
        <f t="shared" si="0"/>
        <v>2038</v>
      </c>
      <c r="Y6" s="226">
        <f t="shared" si="0"/>
        <v>2039</v>
      </c>
      <c r="Z6" s="226">
        <f t="shared" si="0"/>
        <v>2040</v>
      </c>
    </row>
    <row r="7" spans="1:26" x14ac:dyDescent="0.2">
      <c r="B7" s="147" t="s">
        <v>141</v>
      </c>
      <c r="C7" s="148"/>
      <c r="D7" s="148"/>
      <c r="E7" s="148"/>
      <c r="F7" s="149">
        <f>+'Assumptions and Sensis'!$F$43</f>
        <v>44196</v>
      </c>
      <c r="G7" s="149">
        <f>+EOMONTH(F7,12)</f>
        <v>44561</v>
      </c>
      <c r="H7" s="149">
        <f t="shared" ref="H7:V7" si="1">+EOMONTH(G7,12)</f>
        <v>44926</v>
      </c>
      <c r="I7" s="149">
        <f t="shared" si="1"/>
        <v>45291</v>
      </c>
      <c r="J7" s="149">
        <f t="shared" si="1"/>
        <v>45657</v>
      </c>
      <c r="K7" s="149">
        <f t="shared" si="1"/>
        <v>46022</v>
      </c>
      <c r="L7" s="149">
        <f t="shared" si="1"/>
        <v>46387</v>
      </c>
      <c r="M7" s="149">
        <f t="shared" si="1"/>
        <v>46752</v>
      </c>
      <c r="N7" s="149">
        <f t="shared" si="1"/>
        <v>47118</v>
      </c>
      <c r="O7" s="149">
        <f t="shared" si="1"/>
        <v>47483</v>
      </c>
      <c r="P7" s="149">
        <f t="shared" si="1"/>
        <v>47848</v>
      </c>
      <c r="Q7" s="149">
        <f t="shared" si="1"/>
        <v>48213</v>
      </c>
      <c r="R7" s="149">
        <f t="shared" si="1"/>
        <v>48579</v>
      </c>
      <c r="S7" s="149">
        <f t="shared" si="1"/>
        <v>48944</v>
      </c>
      <c r="T7" s="149">
        <f t="shared" si="1"/>
        <v>49309</v>
      </c>
      <c r="U7" s="149">
        <f t="shared" si="1"/>
        <v>49674</v>
      </c>
      <c r="V7" s="149">
        <f t="shared" si="1"/>
        <v>50040</v>
      </c>
      <c r="W7" s="149">
        <f t="shared" ref="W7:Z7" si="2">+EOMONTH(V7,12)</f>
        <v>50405</v>
      </c>
      <c r="X7" s="149">
        <f t="shared" si="2"/>
        <v>50770</v>
      </c>
      <c r="Y7" s="149">
        <f t="shared" si="2"/>
        <v>51135</v>
      </c>
      <c r="Z7" s="149">
        <f t="shared" si="2"/>
        <v>51501</v>
      </c>
    </row>
    <row r="8" spans="1:26" x14ac:dyDescent="0.2">
      <c r="A8" s="139" t="b">
        <f>+SUM(F8:Z8)='Assumptions and Sensis'!$F$76</f>
        <v>1</v>
      </c>
      <c r="B8" s="32" t="s">
        <v>756</v>
      </c>
      <c r="C8" s="32"/>
      <c r="D8" s="39"/>
      <c r="E8" s="39"/>
      <c r="F8" s="41">
        <f>+IF(AND(F7&gt;='Assumptions and Sensis'!$F$47,F7&lt;'Assumptions and Sensis'!$F$49),'Assumptions and Sensis'!$F$76/ROUNDUP(('Assumptions and Sensis'!$F$48/12),0),0)</f>
        <v>0</v>
      </c>
      <c r="G8" s="41">
        <f>+IF(AND(G7&gt;='Assumptions and Sensis'!$F$47,G7&lt;'Assumptions and Sensis'!$F$49),'Assumptions and Sensis'!$F$76/ROUNDUP(('Assumptions and Sensis'!$F$48/12),0),0)</f>
        <v>0</v>
      </c>
      <c r="H8" s="41">
        <f>+IF(AND(H7&gt;='Assumptions and Sensis'!$F$47,H7&lt;'Assumptions and Sensis'!$F$49),'Assumptions and Sensis'!$F$76/ROUNDUP(('Assumptions and Sensis'!$F$48/12),0),0)</f>
        <v>0</v>
      </c>
      <c r="I8" s="41">
        <f>+IF(AND(I7&gt;='Assumptions and Sensis'!$F$47,I7&lt;'Assumptions and Sensis'!$F$49),'Assumptions and Sensis'!$F$76/ROUNDUP(('Assumptions and Sensis'!$F$48/12),0),0)</f>
        <v>54665.792569710728</v>
      </c>
      <c r="J8" s="41">
        <f>+IF(AND(J7&gt;='Assumptions and Sensis'!$F$47,J7&lt;'Assumptions and Sensis'!$F$49),'Assumptions and Sensis'!$F$76/ROUNDUP(('Assumptions and Sensis'!$F$48/12),0),0)</f>
        <v>54665.792569710728</v>
      </c>
      <c r="K8" s="41">
        <f>+IF(AND(K7&gt;='Assumptions and Sensis'!$F$47,K7&lt;'Assumptions and Sensis'!$F$49),'Assumptions and Sensis'!$F$76/ROUNDUP(('Assumptions and Sensis'!$F$48/12),0),0)</f>
        <v>0</v>
      </c>
      <c r="L8" s="41">
        <f>+IF(AND(L7&gt;='Assumptions and Sensis'!$F$47,L7&lt;'Assumptions and Sensis'!$F$49),'Assumptions and Sensis'!$F$76/ROUNDUP(('Assumptions and Sensis'!$F$48/12),0),0)</f>
        <v>0</v>
      </c>
      <c r="M8" s="41">
        <f>+IF(AND(M7&gt;='Assumptions and Sensis'!$F$47,M7&lt;'Assumptions and Sensis'!$F$49),'Assumptions and Sensis'!$F$76/ROUNDUP(('Assumptions and Sensis'!$F$48/12),0),0)</f>
        <v>0</v>
      </c>
      <c r="N8" s="41">
        <f>+IF(AND(N7&gt;='Assumptions and Sensis'!$F$47,N7&lt;'Assumptions and Sensis'!$F$49),'Assumptions and Sensis'!$F$76/ROUNDUP(('Assumptions and Sensis'!$F$48/12),0),0)</f>
        <v>0</v>
      </c>
      <c r="O8" s="41">
        <f>+IF(AND(O7&gt;='Assumptions and Sensis'!$F$47,O7&lt;'Assumptions and Sensis'!$F$49),'Assumptions and Sensis'!$F$76/ROUNDUP(('Assumptions and Sensis'!$F$48/12),0),0)</f>
        <v>0</v>
      </c>
      <c r="P8" s="41">
        <f>+IF(AND(P7&gt;='Assumptions and Sensis'!$F$47,P7&lt;'Assumptions and Sensis'!$F$49),'Assumptions and Sensis'!$F$76/ROUNDUP(('Assumptions and Sensis'!$F$48/12),0),0)</f>
        <v>0</v>
      </c>
      <c r="Q8" s="41">
        <f>+IF(AND(Q7&gt;='Assumptions and Sensis'!$F$47,Q7&lt;'Assumptions and Sensis'!$F$49),'Assumptions and Sensis'!$F$76/ROUNDUP(('Assumptions and Sensis'!$F$48/12),0),0)</f>
        <v>0</v>
      </c>
      <c r="R8" s="41">
        <f>+IF(AND(R7&gt;='Assumptions and Sensis'!$F$47,R7&lt;'Assumptions and Sensis'!$F$49),'Assumptions and Sensis'!$F$76/ROUNDUP(('Assumptions and Sensis'!$F$48/12),0),0)</f>
        <v>0</v>
      </c>
      <c r="S8" s="41">
        <f>+IF(AND(S7&gt;='Assumptions and Sensis'!$F$47,S7&lt;'Assumptions and Sensis'!$F$49),'Assumptions and Sensis'!$F$76/ROUNDUP(('Assumptions and Sensis'!$F$48/12),0),0)</f>
        <v>0</v>
      </c>
      <c r="T8" s="41">
        <f>+IF(AND(T7&gt;='Assumptions and Sensis'!$F$47,T7&lt;'Assumptions and Sensis'!$F$49),'Assumptions and Sensis'!$F$76/ROUNDUP(('Assumptions and Sensis'!$F$48/12),0),0)</f>
        <v>0</v>
      </c>
      <c r="U8" s="41">
        <f>+IF(AND(U7&gt;='Assumptions and Sensis'!$F$47,U7&lt;'Assumptions and Sensis'!$F$49),'Assumptions and Sensis'!$F$76/ROUNDUP(('Assumptions and Sensis'!$F$48/12),0),0)</f>
        <v>0</v>
      </c>
      <c r="V8" s="41">
        <f>+IF(AND(V7&gt;='Assumptions and Sensis'!$F$47,V7&lt;'Assumptions and Sensis'!$F$49),'Assumptions and Sensis'!$F$76/ROUNDUP(('Assumptions and Sensis'!$F$48/12),0),0)</f>
        <v>0</v>
      </c>
      <c r="W8" s="41">
        <f>+IF(AND(W7&gt;='Assumptions and Sensis'!$F$47,W7&lt;'Assumptions and Sensis'!$F$49),'Assumptions and Sensis'!$F$76/ROUNDUP(('Assumptions and Sensis'!$F$48/12),0),0)</f>
        <v>0</v>
      </c>
      <c r="X8" s="41">
        <f>+IF(AND(X7&gt;='Assumptions and Sensis'!$F$47,X7&lt;'Assumptions and Sensis'!$F$49),'Assumptions and Sensis'!$F$76/ROUNDUP(('Assumptions and Sensis'!$F$48/12),0),0)</f>
        <v>0</v>
      </c>
      <c r="Y8" s="41">
        <f>+IF(AND(Y7&gt;='Assumptions and Sensis'!$F$47,Y7&lt;'Assumptions and Sensis'!$F$49),'Assumptions and Sensis'!$F$76/ROUNDUP(('Assumptions and Sensis'!$F$48/12),0),0)</f>
        <v>0</v>
      </c>
      <c r="Z8" s="41">
        <f>+IF(AND(Z7&gt;='Assumptions and Sensis'!$F$47,Z7&lt;'Assumptions and Sensis'!$F$49),'Assumptions and Sensis'!$F$76/ROUNDUP(('Assumptions and Sensis'!$F$48/12),0),0)</f>
        <v>0</v>
      </c>
    </row>
    <row r="9" spans="1:26" x14ac:dyDescent="0.2">
      <c r="B9" s="32" t="s">
        <v>246</v>
      </c>
      <c r="C9" s="32"/>
      <c r="D9" s="41">
        <v>0</v>
      </c>
      <c r="E9" s="41"/>
      <c r="F9" s="41">
        <f>+D9+F8</f>
        <v>0</v>
      </c>
      <c r="G9" s="41">
        <f t="shared" ref="G9:Z9" si="3">+F9+G8</f>
        <v>0</v>
      </c>
      <c r="H9" s="41">
        <f t="shared" si="3"/>
        <v>0</v>
      </c>
      <c r="I9" s="41">
        <f t="shared" si="3"/>
        <v>54665.792569710728</v>
      </c>
      <c r="J9" s="41">
        <f t="shared" si="3"/>
        <v>109331.58513942146</v>
      </c>
      <c r="K9" s="41">
        <f t="shared" si="3"/>
        <v>109331.58513942146</v>
      </c>
      <c r="L9" s="41">
        <f t="shared" si="3"/>
        <v>109331.58513942146</v>
      </c>
      <c r="M9" s="41">
        <f t="shared" si="3"/>
        <v>109331.58513942146</v>
      </c>
      <c r="N9" s="41">
        <f t="shared" si="3"/>
        <v>109331.58513942146</v>
      </c>
      <c r="O9" s="41">
        <f t="shared" si="3"/>
        <v>109331.58513942146</v>
      </c>
      <c r="P9" s="41">
        <f t="shared" si="3"/>
        <v>109331.58513942146</v>
      </c>
      <c r="Q9" s="41">
        <f t="shared" si="3"/>
        <v>109331.58513942146</v>
      </c>
      <c r="R9" s="41">
        <f t="shared" si="3"/>
        <v>109331.58513942146</v>
      </c>
      <c r="S9" s="41">
        <f t="shared" si="3"/>
        <v>109331.58513942146</v>
      </c>
      <c r="T9" s="41">
        <f t="shared" si="3"/>
        <v>109331.58513942146</v>
      </c>
      <c r="U9" s="41">
        <f t="shared" si="3"/>
        <v>109331.58513942146</v>
      </c>
      <c r="V9" s="41">
        <f t="shared" si="3"/>
        <v>109331.58513942146</v>
      </c>
      <c r="W9" s="41">
        <f t="shared" si="3"/>
        <v>109331.58513942146</v>
      </c>
      <c r="X9" s="41">
        <f t="shared" si="3"/>
        <v>109331.58513942146</v>
      </c>
      <c r="Y9" s="41">
        <f t="shared" si="3"/>
        <v>109331.58513942146</v>
      </c>
      <c r="Z9" s="41">
        <f t="shared" si="3"/>
        <v>109331.58513942146</v>
      </c>
    </row>
    <row r="10" spans="1:26" x14ac:dyDescent="0.2">
      <c r="B10" s="32" t="s">
        <v>490</v>
      </c>
      <c r="C10" s="32"/>
      <c r="D10" s="41"/>
      <c r="E10" s="41"/>
      <c r="F10" s="41">
        <f>+F11-E11</f>
        <v>0</v>
      </c>
      <c r="G10" s="41">
        <f t="shared" ref="G10:Z10" si="4">+G11-F11</f>
        <v>0</v>
      </c>
      <c r="H10" s="41">
        <f t="shared" si="4"/>
        <v>0</v>
      </c>
      <c r="I10" s="41">
        <f t="shared" si="4"/>
        <v>74.792743470376962</v>
      </c>
      <c r="J10" s="41">
        <f t="shared" si="4"/>
        <v>74.792743470376962</v>
      </c>
      <c r="K10" s="41">
        <f t="shared" si="4"/>
        <v>0</v>
      </c>
      <c r="L10" s="41">
        <f t="shared" si="4"/>
        <v>0</v>
      </c>
      <c r="M10" s="41">
        <f t="shared" si="4"/>
        <v>0</v>
      </c>
      <c r="N10" s="41">
        <f t="shared" si="4"/>
        <v>0</v>
      </c>
      <c r="O10" s="41">
        <f t="shared" si="4"/>
        <v>0</v>
      </c>
      <c r="P10" s="41">
        <f t="shared" si="4"/>
        <v>0</v>
      </c>
      <c r="Q10" s="41">
        <f t="shared" si="4"/>
        <v>0</v>
      </c>
      <c r="R10" s="41">
        <f t="shared" si="4"/>
        <v>0</v>
      </c>
      <c r="S10" s="41">
        <f t="shared" si="4"/>
        <v>0</v>
      </c>
      <c r="T10" s="41">
        <f t="shared" si="4"/>
        <v>0</v>
      </c>
      <c r="U10" s="41">
        <f t="shared" si="4"/>
        <v>0</v>
      </c>
      <c r="V10" s="41">
        <f t="shared" si="4"/>
        <v>0</v>
      </c>
      <c r="W10" s="41">
        <f t="shared" si="4"/>
        <v>0</v>
      </c>
      <c r="X10" s="41">
        <f t="shared" si="4"/>
        <v>0</v>
      </c>
      <c r="Y10" s="41">
        <f t="shared" si="4"/>
        <v>0</v>
      </c>
      <c r="Z10" s="41">
        <f t="shared" si="4"/>
        <v>0</v>
      </c>
    </row>
    <row r="11" spans="1:26" x14ac:dyDescent="0.2">
      <c r="B11" s="32" t="s">
        <v>247</v>
      </c>
      <c r="C11" s="32"/>
      <c r="D11" s="41"/>
      <c r="E11" s="41"/>
      <c r="F11" s="41">
        <f>+F12*'Assumptions and Sensis'!$F$77</f>
        <v>0</v>
      </c>
      <c r="G11" s="41">
        <f>+G12*'Assumptions and Sensis'!$F$77</f>
        <v>0</v>
      </c>
      <c r="H11" s="41">
        <f>+H12*'Assumptions and Sensis'!$F$77</f>
        <v>0</v>
      </c>
      <c r="I11" s="41">
        <f>+I12*'Assumptions and Sensis'!$F$77</f>
        <v>74.792743470376962</v>
      </c>
      <c r="J11" s="41">
        <f>+J12*'Assumptions and Sensis'!$F$77</f>
        <v>149.58548694075392</v>
      </c>
      <c r="K11" s="41">
        <f>+K12*'Assumptions and Sensis'!$F$77</f>
        <v>149.58548694075392</v>
      </c>
      <c r="L11" s="41">
        <f>+L12*'Assumptions and Sensis'!$F$77</f>
        <v>149.58548694075392</v>
      </c>
      <c r="M11" s="41">
        <f>+M12*'Assumptions and Sensis'!$F$77</f>
        <v>149.58548694075392</v>
      </c>
      <c r="N11" s="41">
        <f>+N12*'Assumptions and Sensis'!$F$77</f>
        <v>149.58548694075392</v>
      </c>
      <c r="O11" s="41">
        <f>+O12*'Assumptions and Sensis'!$F$77</f>
        <v>149.58548694075392</v>
      </c>
      <c r="P11" s="41">
        <f>+P12*'Assumptions and Sensis'!$F$77</f>
        <v>149.58548694075392</v>
      </c>
      <c r="Q11" s="41">
        <f>+Q12*'Assumptions and Sensis'!$F$77</f>
        <v>149.58548694075392</v>
      </c>
      <c r="R11" s="41">
        <f>+R12*'Assumptions and Sensis'!$F$77</f>
        <v>149.58548694075392</v>
      </c>
      <c r="S11" s="41">
        <f>+S12*'Assumptions and Sensis'!$F$77</f>
        <v>149.58548694075392</v>
      </c>
      <c r="T11" s="41">
        <f>+T12*'Assumptions and Sensis'!$F$77</f>
        <v>149.58548694075392</v>
      </c>
      <c r="U11" s="41">
        <f>+U12*'Assumptions and Sensis'!$F$77</f>
        <v>149.58548694075392</v>
      </c>
      <c r="V11" s="41">
        <f>+V12*'Assumptions and Sensis'!$F$77</f>
        <v>149.58548694075392</v>
      </c>
      <c r="W11" s="41">
        <f>+W12*'Assumptions and Sensis'!$F$77</f>
        <v>149.58548694075392</v>
      </c>
      <c r="X11" s="41">
        <f>+X12*'Assumptions and Sensis'!$F$77</f>
        <v>149.58548694075392</v>
      </c>
      <c r="Y11" s="41">
        <f>+Y12*'Assumptions and Sensis'!$F$77</f>
        <v>149.58548694075392</v>
      </c>
      <c r="Z11" s="41">
        <f>+Z12*'Assumptions and Sensis'!$F$77</f>
        <v>149.58548694075392</v>
      </c>
    </row>
    <row r="12" spans="1:26" x14ac:dyDescent="0.2">
      <c r="B12" s="32" t="s">
        <v>301</v>
      </c>
      <c r="C12" s="32"/>
      <c r="D12" s="41"/>
      <c r="E12" s="41"/>
      <c r="F12" s="107">
        <f t="shared" ref="F12:Z12" si="5">+F9/SUM($F$8:$Z$8)</f>
        <v>0</v>
      </c>
      <c r="G12" s="107">
        <f t="shared" si="5"/>
        <v>0</v>
      </c>
      <c r="H12" s="107">
        <f t="shared" si="5"/>
        <v>0</v>
      </c>
      <c r="I12" s="107">
        <f t="shared" si="5"/>
        <v>0.5</v>
      </c>
      <c r="J12" s="107">
        <f t="shared" si="5"/>
        <v>1</v>
      </c>
      <c r="K12" s="107">
        <f t="shared" si="5"/>
        <v>1</v>
      </c>
      <c r="L12" s="107">
        <f t="shared" si="5"/>
        <v>1</v>
      </c>
      <c r="M12" s="107">
        <f t="shared" si="5"/>
        <v>1</v>
      </c>
      <c r="N12" s="107">
        <f t="shared" si="5"/>
        <v>1</v>
      </c>
      <c r="O12" s="107">
        <f t="shared" si="5"/>
        <v>1</v>
      </c>
      <c r="P12" s="107">
        <f t="shared" si="5"/>
        <v>1</v>
      </c>
      <c r="Q12" s="107">
        <f t="shared" si="5"/>
        <v>1</v>
      </c>
      <c r="R12" s="107">
        <f t="shared" si="5"/>
        <v>1</v>
      </c>
      <c r="S12" s="107">
        <f t="shared" si="5"/>
        <v>1</v>
      </c>
      <c r="T12" s="107">
        <f t="shared" si="5"/>
        <v>1</v>
      </c>
      <c r="U12" s="107">
        <f t="shared" si="5"/>
        <v>1</v>
      </c>
      <c r="V12" s="107">
        <f t="shared" si="5"/>
        <v>1</v>
      </c>
      <c r="W12" s="107">
        <f t="shared" si="5"/>
        <v>1</v>
      </c>
      <c r="X12" s="107">
        <f t="shared" si="5"/>
        <v>1</v>
      </c>
      <c r="Y12" s="107">
        <f t="shared" si="5"/>
        <v>1</v>
      </c>
      <c r="Z12" s="107">
        <f t="shared" si="5"/>
        <v>1</v>
      </c>
    </row>
    <row r="13" spans="1:26" x14ac:dyDescent="0.2">
      <c r="B13" s="32"/>
      <c r="C13" s="32"/>
      <c r="D13" s="41"/>
      <c r="E13" s="41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x14ac:dyDescent="0.2">
      <c r="B14" s="32" t="s">
        <v>251</v>
      </c>
      <c r="C14" s="32"/>
      <c r="D14" s="41"/>
      <c r="E14" s="41"/>
      <c r="F14" s="107">
        <v>1</v>
      </c>
      <c r="G14" s="107">
        <f>+F14*(1+'Assumptions and Sensis'!$N$85)</f>
        <v>1.02</v>
      </c>
      <c r="H14" s="107">
        <f>+G14*(1+'Assumptions and Sensis'!$N$85)</f>
        <v>1.0404</v>
      </c>
      <c r="I14" s="107">
        <f>+H14*(1+'Assumptions and Sensis'!$N$85)</f>
        <v>1.0612079999999999</v>
      </c>
      <c r="J14" s="107">
        <f>+I14*(1+'Assumptions and Sensis'!$N$85)</f>
        <v>1.08243216</v>
      </c>
      <c r="K14" s="107">
        <f>+J14*(1+'Assumptions and Sensis'!$N$85)</f>
        <v>1.1040808032</v>
      </c>
      <c r="L14" s="107">
        <f>+K14*(1+'Assumptions and Sensis'!$N$85)</f>
        <v>1.1261624192640001</v>
      </c>
      <c r="M14" s="107">
        <f>+L14*(1+'Assumptions and Sensis'!$N$85)</f>
        <v>1.14868566764928</v>
      </c>
      <c r="N14" s="107">
        <f>+M14*(1+'Assumptions and Sensis'!$N$85)</f>
        <v>1.1716593810022657</v>
      </c>
      <c r="O14" s="107">
        <f>+N14*(1+'Assumptions and Sensis'!$N$85)</f>
        <v>1.1950925686223111</v>
      </c>
      <c r="P14" s="107">
        <f>+O14*(1+'Assumptions and Sensis'!$N$85)</f>
        <v>1.2189944199947573</v>
      </c>
      <c r="Q14" s="107">
        <f>+P14*(1+'Assumptions and Sensis'!$N$85)</f>
        <v>1.2433743083946525</v>
      </c>
      <c r="R14" s="107">
        <f>+Q14*(1+'Assumptions and Sensis'!$N$85)</f>
        <v>1.2682417945625455</v>
      </c>
      <c r="S14" s="107">
        <f>+R14*(1+'Assumptions and Sensis'!$N$85)</f>
        <v>1.2936066304537963</v>
      </c>
      <c r="T14" s="107">
        <f>+S14*(1+'Assumptions and Sensis'!$N$85)</f>
        <v>1.3194787630628724</v>
      </c>
      <c r="U14" s="107">
        <f>+T14*(1+'Assumptions and Sensis'!$N$85)</f>
        <v>1.3458683383241299</v>
      </c>
      <c r="V14" s="107">
        <f>+U14*(1+'Assumptions and Sensis'!$N$85)</f>
        <v>1.3727857050906125</v>
      </c>
      <c r="W14" s="107">
        <f>+V14*(1+'Assumptions and Sensis'!$N$85)</f>
        <v>1.4002414191924248</v>
      </c>
      <c r="X14" s="107">
        <f>+W14*(1+'Assumptions and Sensis'!$N$85)</f>
        <v>1.4282462475762734</v>
      </c>
      <c r="Y14" s="107">
        <f>+X14*(1+'Assumptions and Sensis'!$N$85)</f>
        <v>1.4568111725277988</v>
      </c>
      <c r="Z14" s="107">
        <f>+Y14*(1+'Assumptions and Sensis'!$N$85)</f>
        <v>1.4859473959783549</v>
      </c>
    </row>
    <row r="15" spans="1:26" x14ac:dyDescent="0.2">
      <c r="B15" s="32" t="s">
        <v>252</v>
      </c>
      <c r="C15" s="32"/>
      <c r="D15" s="41"/>
      <c r="E15" s="41"/>
      <c r="F15" s="107">
        <v>1</v>
      </c>
      <c r="G15" s="107">
        <f>+F15*(1+'Assumptions and Sensis'!$N$98)</f>
        <v>1.03</v>
      </c>
      <c r="H15" s="107">
        <f>+G15*(1+'Assumptions and Sensis'!$N$98)</f>
        <v>1.0609</v>
      </c>
      <c r="I15" s="107">
        <f>+H15*(1+'Assumptions and Sensis'!$N$98)</f>
        <v>1.092727</v>
      </c>
      <c r="J15" s="107">
        <f>+I15*(1+'Assumptions and Sensis'!$N$98)</f>
        <v>1.1255088100000001</v>
      </c>
      <c r="K15" s="107">
        <f>+J15*(1+'Assumptions and Sensis'!$N$98)</f>
        <v>1.1592740743000001</v>
      </c>
      <c r="L15" s="107">
        <f>+K15*(1+'Assumptions and Sensis'!$N$98)</f>
        <v>1.1940522965290001</v>
      </c>
      <c r="M15" s="107">
        <f>+L15*(1+'Assumptions and Sensis'!$N$98)</f>
        <v>1.2298738654248702</v>
      </c>
      <c r="N15" s="107">
        <f>+M15*(1+'Assumptions and Sensis'!$N$98)</f>
        <v>1.2667700813876164</v>
      </c>
      <c r="O15" s="107">
        <f>+N15*(1+'Assumptions and Sensis'!$N$98)</f>
        <v>1.3047731838292449</v>
      </c>
      <c r="P15" s="107">
        <f>+O15*(1+'Assumptions and Sensis'!$N$98)</f>
        <v>1.3439163793441222</v>
      </c>
      <c r="Q15" s="107">
        <f>+P15*(1+'Assumptions and Sensis'!$N$98)</f>
        <v>1.3842338707244459</v>
      </c>
      <c r="R15" s="107">
        <f>+Q15*(1+'Assumptions and Sensis'!$N$98)</f>
        <v>1.4257608868461793</v>
      </c>
      <c r="S15" s="107">
        <f>+R15*(1+'Assumptions and Sensis'!$N$98)</f>
        <v>1.4685337134515648</v>
      </c>
      <c r="T15" s="107">
        <f>+S15*(1+'Assumptions and Sensis'!$N$98)</f>
        <v>1.5125897248551119</v>
      </c>
      <c r="U15" s="107">
        <f>+T15*(1+'Assumptions and Sensis'!$N$98)</f>
        <v>1.5579674166007653</v>
      </c>
      <c r="V15" s="107">
        <f>+U15*(1+'Assumptions and Sensis'!$N$98)</f>
        <v>1.6047064390987884</v>
      </c>
      <c r="W15" s="107">
        <f>+V15*(1+'Assumptions and Sensis'!$N$98)</f>
        <v>1.652847632271752</v>
      </c>
      <c r="X15" s="107">
        <f>+W15*(1+'Assumptions and Sensis'!$N$98)</f>
        <v>1.7024330612399046</v>
      </c>
      <c r="Y15" s="107">
        <f>+X15*(1+'Assumptions and Sensis'!$N$98)</f>
        <v>1.7535060530771018</v>
      </c>
      <c r="Z15" s="107">
        <f>+Y15*(1+'Assumptions and Sensis'!$N$98)</f>
        <v>1.806111234669415</v>
      </c>
    </row>
    <row r="16" spans="1:26" x14ac:dyDescent="0.2">
      <c r="B16" s="32"/>
      <c r="C16" s="32"/>
      <c r="D16" s="39"/>
      <c r="E16" s="39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2:26" x14ac:dyDescent="0.2">
      <c r="B17" s="32" t="s">
        <v>243</v>
      </c>
      <c r="C17" s="32"/>
      <c r="D17" s="39"/>
      <c r="E17" s="39"/>
      <c r="F17" s="33">
        <f>+F12*'Assumptions and Sensis'!$F$75*F14</f>
        <v>0</v>
      </c>
      <c r="G17" s="33">
        <f>+G12*'Assumptions and Sensis'!$F$75*G14</f>
        <v>0</v>
      </c>
      <c r="H17" s="33">
        <f>+H12*'Assumptions and Sensis'!$F$75*H14</f>
        <v>0</v>
      </c>
      <c r="I17" s="33">
        <f>+I12*'Assumptions and Sensis'!$F$75*I14</f>
        <v>703879.03302817582</v>
      </c>
      <c r="J17" s="33">
        <f>+J12*'Assumptions and Sensis'!$F$75*J14</f>
        <v>1435913.2273774787</v>
      </c>
      <c r="K17" s="33">
        <f>+K12*'Assumptions and Sensis'!$F$75*K14</f>
        <v>1464631.4919250284</v>
      </c>
      <c r="L17" s="33">
        <f>+L12*'Assumptions and Sensis'!$F$75*L14</f>
        <v>1493924.121763529</v>
      </c>
      <c r="M17" s="33">
        <f>+M12*'Assumptions and Sensis'!$F$75*M14</f>
        <v>1523802.6041987997</v>
      </c>
      <c r="N17" s="33">
        <f>+N12*'Assumptions and Sensis'!$F$75*N14</f>
        <v>1554278.6562827758</v>
      </c>
      <c r="O17" s="33">
        <f>+O12*'Assumptions and Sensis'!$F$75*O14</f>
        <v>1585364.2294084313</v>
      </c>
      <c r="P17" s="33">
        <f>+P12*'Assumptions and Sensis'!$F$75*P14</f>
        <v>1617071.5139965999</v>
      </c>
      <c r="Q17" s="33">
        <f>+Q12*'Assumptions and Sensis'!$F$75*Q14</f>
        <v>1649412.9442765319</v>
      </c>
      <c r="R17" s="33">
        <f>+R12*'Assumptions and Sensis'!$F$75*R14</f>
        <v>1682401.2031620627</v>
      </c>
      <c r="S17" s="33">
        <f>+S12*'Assumptions and Sensis'!$F$75*S14</f>
        <v>1716049.2272253036</v>
      </c>
      <c r="T17" s="33">
        <f>+T12*'Assumptions and Sensis'!$F$75*T14</f>
        <v>1750370.2117698099</v>
      </c>
      <c r="U17" s="33">
        <f>+U12*'Assumptions and Sensis'!$F$75*U14</f>
        <v>1785377.6160052062</v>
      </c>
      <c r="V17" s="33">
        <f>+V12*'Assumptions and Sensis'!$F$75*V14</f>
        <v>1821085.1683253103</v>
      </c>
      <c r="W17" s="33">
        <f>+W12*'Assumptions and Sensis'!$F$75*W14</f>
        <v>1857506.8716918167</v>
      </c>
      <c r="X17" s="33">
        <f>+X12*'Assumptions and Sensis'!$F$75*X14</f>
        <v>1894657.0091256532</v>
      </c>
      <c r="Y17" s="33">
        <f>+Y12*'Assumptions and Sensis'!$F$75*Y14</f>
        <v>1932550.149308166</v>
      </c>
      <c r="Z17" s="33">
        <f>+Z12*'Assumptions and Sensis'!$F$75*Z14</f>
        <v>1971201.1522943296</v>
      </c>
    </row>
    <row r="18" spans="2:26" x14ac:dyDescent="0.2">
      <c r="B18" s="32" t="s">
        <v>244</v>
      </c>
      <c r="C18" s="32"/>
      <c r="D18" s="39"/>
      <c r="E18" s="39"/>
      <c r="F18" s="41">
        <f>-F17*'Assumptions and Sensis'!$N$75</f>
        <v>0</v>
      </c>
      <c r="G18" s="41">
        <f>-G17*'Assumptions and Sensis'!$N$75</f>
        <v>0</v>
      </c>
      <c r="H18" s="41">
        <f>-H17*'Assumptions and Sensis'!$N$75</f>
        <v>0</v>
      </c>
      <c r="I18" s="41">
        <f>-I17*'Assumptions and Sensis'!$N$75</f>
        <v>-21116.370990845273</v>
      </c>
      <c r="J18" s="41">
        <f>-J17*'Assumptions and Sensis'!$N$75</f>
        <v>-43077.396821324357</v>
      </c>
      <c r="K18" s="41">
        <f>-K17*'Assumptions and Sensis'!$N$75</f>
        <v>-43938.944757750847</v>
      </c>
      <c r="L18" s="41">
        <f>-L17*'Assumptions and Sensis'!$N$75</f>
        <v>-44817.723652905872</v>
      </c>
      <c r="M18" s="41">
        <f>-M17*'Assumptions and Sensis'!$N$75</f>
        <v>-45714.078125963992</v>
      </c>
      <c r="N18" s="41">
        <f>-N17*'Assumptions and Sensis'!$N$75</f>
        <v>-46628.359688483273</v>
      </c>
      <c r="O18" s="41">
        <f>-O17*'Assumptions and Sensis'!$N$75</f>
        <v>-47560.926882252941</v>
      </c>
      <c r="P18" s="41">
        <f>-P17*'Assumptions and Sensis'!$N$75</f>
        <v>-48512.145419897999</v>
      </c>
      <c r="Q18" s="41">
        <f>-Q17*'Assumptions and Sensis'!$N$75</f>
        <v>-49482.388328295958</v>
      </c>
      <c r="R18" s="41">
        <f>-R17*'Assumptions and Sensis'!$N$75</f>
        <v>-50472.036094861876</v>
      </c>
      <c r="S18" s="41">
        <f>-S17*'Assumptions and Sensis'!$N$75</f>
        <v>-51481.47681675911</v>
      </c>
      <c r="T18" s="41">
        <f>-T17*'Assumptions and Sensis'!$N$75</f>
        <v>-52511.106353094299</v>
      </c>
      <c r="U18" s="41">
        <f>-U17*'Assumptions and Sensis'!$N$75</f>
        <v>-53561.328480156182</v>
      </c>
      <c r="V18" s="41">
        <f>-V17*'Assumptions and Sensis'!$N$75</f>
        <v>-54632.555049759307</v>
      </c>
      <c r="W18" s="41">
        <f>-W17*'Assumptions and Sensis'!$N$75</f>
        <v>-55725.2061507545</v>
      </c>
      <c r="X18" s="41">
        <f>-X17*'Assumptions and Sensis'!$N$75</f>
        <v>-56839.710273769597</v>
      </c>
      <c r="Y18" s="41">
        <f>-Y17*'Assumptions and Sensis'!$N$75</f>
        <v>-57976.504479244977</v>
      </c>
      <c r="Z18" s="41">
        <f>-Z17*'Assumptions and Sensis'!$N$75</f>
        <v>-59136.034568829884</v>
      </c>
    </row>
    <row r="19" spans="2:26" x14ac:dyDescent="0.2">
      <c r="B19" s="32" t="s">
        <v>379</v>
      </c>
      <c r="C19" s="32"/>
      <c r="D19" s="39"/>
      <c r="E19" s="39"/>
      <c r="F19" s="150">
        <f>+F11*'Assumptions and Sensis'!$F$116*(1-'Assumptions and Sensis'!$N$75)*12</f>
        <v>0</v>
      </c>
      <c r="G19" s="150">
        <f>+G11*'Assumptions and Sensis'!$F$116*(1-'Assumptions and Sensis'!$N$75)*12</f>
        <v>0</v>
      </c>
      <c r="H19" s="150">
        <f>+H11*'Assumptions and Sensis'!$F$116*(1-'Assumptions and Sensis'!$N$75)*12</f>
        <v>0</v>
      </c>
      <c r="I19" s="150">
        <f>+I11*'Assumptions and Sensis'!$F$116*(1-'Assumptions and Sensis'!$N$75)*12</f>
        <v>4352.9376699759396</v>
      </c>
      <c r="J19" s="150">
        <f>+J11*'Assumptions and Sensis'!$F$116*(1-'Assumptions and Sensis'!$N$75)*12</f>
        <v>8705.8753399518791</v>
      </c>
      <c r="K19" s="150">
        <f>+K11*'Assumptions and Sensis'!$F$116*(1-'Assumptions and Sensis'!$N$75)*12</f>
        <v>8705.8753399518791</v>
      </c>
      <c r="L19" s="150">
        <f>+L11*'Assumptions and Sensis'!$F$116*(1-'Assumptions and Sensis'!$N$75)*12</f>
        <v>8705.8753399518791</v>
      </c>
      <c r="M19" s="150">
        <f>+M11*'Assumptions and Sensis'!$F$116*(1-'Assumptions and Sensis'!$N$75)*12</f>
        <v>8705.8753399518791</v>
      </c>
      <c r="N19" s="150">
        <f>+N11*'Assumptions and Sensis'!$F$116*(1-'Assumptions and Sensis'!$N$75)*12</f>
        <v>8705.8753399518791</v>
      </c>
      <c r="O19" s="150">
        <f>+O11*'Assumptions and Sensis'!$F$116*(1-'Assumptions and Sensis'!$N$75)*12</f>
        <v>8705.8753399518791</v>
      </c>
      <c r="P19" s="150">
        <f>+P11*'Assumptions and Sensis'!$F$116*(1-'Assumptions and Sensis'!$N$75)*12</f>
        <v>8705.8753399518791</v>
      </c>
      <c r="Q19" s="150">
        <f>+Q11*'Assumptions and Sensis'!$F$116*(1-'Assumptions and Sensis'!$N$75)*12</f>
        <v>8705.8753399518791</v>
      </c>
      <c r="R19" s="150">
        <f>+R11*'Assumptions and Sensis'!$F$116*(1-'Assumptions and Sensis'!$N$75)*12</f>
        <v>8705.8753399518791</v>
      </c>
      <c r="S19" s="150">
        <f>+S11*'Assumptions and Sensis'!$F$116*(1-'Assumptions and Sensis'!$N$75)*12</f>
        <v>8705.8753399518791</v>
      </c>
      <c r="T19" s="150">
        <f>+T11*'Assumptions and Sensis'!$F$116*(1-'Assumptions and Sensis'!$N$75)*12</f>
        <v>8705.8753399518791</v>
      </c>
      <c r="U19" s="150">
        <f>+U11*'Assumptions and Sensis'!$F$116*(1-'Assumptions and Sensis'!$N$75)*12</f>
        <v>8705.8753399518791</v>
      </c>
      <c r="V19" s="150">
        <f>+V11*'Assumptions and Sensis'!$F$116*(1-'Assumptions and Sensis'!$N$75)*12</f>
        <v>8705.8753399518791</v>
      </c>
      <c r="W19" s="150">
        <f>+W11*'Assumptions and Sensis'!$F$116*(1-'Assumptions and Sensis'!$N$75)*12</f>
        <v>8705.8753399518791</v>
      </c>
      <c r="X19" s="150">
        <f>+X11*'Assumptions and Sensis'!$F$116*(1-'Assumptions and Sensis'!$N$75)*12</f>
        <v>8705.8753399518791</v>
      </c>
      <c r="Y19" s="150">
        <f>+Y11*'Assumptions and Sensis'!$F$116*(1-'Assumptions and Sensis'!$N$75)*12</f>
        <v>8705.8753399518791</v>
      </c>
      <c r="Z19" s="150">
        <f>+Z11*'Assumptions and Sensis'!$F$116*(1-'Assumptions and Sensis'!$N$75)*12</f>
        <v>8705.8753399518791</v>
      </c>
    </row>
    <row r="20" spans="2:26" x14ac:dyDescent="0.2">
      <c r="B20" s="136" t="s">
        <v>253</v>
      </c>
      <c r="C20" s="136"/>
      <c r="D20" s="136"/>
      <c r="E20" s="136"/>
      <c r="F20" s="128">
        <f t="shared" ref="F20:Z20" si="6">+SUM(F17:F19)</f>
        <v>0</v>
      </c>
      <c r="G20" s="128">
        <f t="shared" si="6"/>
        <v>0</v>
      </c>
      <c r="H20" s="128">
        <f t="shared" si="6"/>
        <v>0</v>
      </c>
      <c r="I20" s="128">
        <f t="shared" si="6"/>
        <v>687115.59970730648</v>
      </c>
      <c r="J20" s="128">
        <f t="shared" si="6"/>
        <v>1401541.7058961063</v>
      </c>
      <c r="K20" s="128">
        <f t="shared" si="6"/>
        <v>1429398.4225072293</v>
      </c>
      <c r="L20" s="128">
        <f t="shared" si="6"/>
        <v>1457812.2734505751</v>
      </c>
      <c r="M20" s="128">
        <f t="shared" si="6"/>
        <v>1486794.4014127876</v>
      </c>
      <c r="N20" s="128">
        <f t="shared" si="6"/>
        <v>1516356.1719342445</v>
      </c>
      <c r="O20" s="128">
        <f t="shared" si="6"/>
        <v>1546509.1778661301</v>
      </c>
      <c r="P20" s="128">
        <f t="shared" si="6"/>
        <v>1577265.2439166538</v>
      </c>
      <c r="Q20" s="128">
        <f t="shared" si="6"/>
        <v>1608636.4312881879</v>
      </c>
      <c r="R20" s="128">
        <f t="shared" si="6"/>
        <v>1640635.0424071527</v>
      </c>
      <c r="S20" s="128">
        <f t="shared" si="6"/>
        <v>1673273.6257484963</v>
      </c>
      <c r="T20" s="128">
        <f t="shared" si="6"/>
        <v>1706564.9807566674</v>
      </c>
      <c r="U20" s="128">
        <f t="shared" si="6"/>
        <v>1740522.1628650019</v>
      </c>
      <c r="V20" s="128">
        <f t="shared" si="6"/>
        <v>1775158.4886155028</v>
      </c>
      <c r="W20" s="128">
        <f t="shared" si="6"/>
        <v>1810487.540881014</v>
      </c>
      <c r="X20" s="128">
        <f t="shared" si="6"/>
        <v>1846523.1741918353</v>
      </c>
      <c r="Y20" s="128">
        <f t="shared" si="6"/>
        <v>1883279.5201688728</v>
      </c>
      <c r="Z20" s="128">
        <f t="shared" si="6"/>
        <v>1920770.9930654515</v>
      </c>
    </row>
    <row r="22" spans="2:26" x14ac:dyDescent="0.2">
      <c r="B22" s="32" t="s">
        <v>389</v>
      </c>
      <c r="F22" s="33">
        <f>+F11*'Assumptions and Sensis'!$N$117*F15</f>
        <v>0</v>
      </c>
      <c r="G22" s="33">
        <f>+G11*'Assumptions and Sensis'!$N$117*G15</f>
        <v>0</v>
      </c>
      <c r="H22" s="33">
        <f>+H11*'Assumptions and Sensis'!$N$117*H15</f>
        <v>0</v>
      </c>
      <c r="I22" s="33">
        <f>+I11*'Assumptions and Sensis'!$N$117*I15</f>
        <v>474022.6911260967</v>
      </c>
      <c r="J22" s="33">
        <f>+J11*'Assumptions and Sensis'!$N$117*J15</f>
        <v>976486.7437197594</v>
      </c>
      <c r="K22" s="33">
        <f>+K11*'Assumptions and Sensis'!$N$117*K15</f>
        <v>1005781.3460313521</v>
      </c>
      <c r="L22" s="33">
        <f>+L11*'Assumptions and Sensis'!$N$117*L15</f>
        <v>1035954.7864122927</v>
      </c>
      <c r="M22" s="33">
        <f>+M11*'Assumptions and Sensis'!$N$117*M15</f>
        <v>1067033.4300046614</v>
      </c>
      <c r="N22" s="33">
        <f>+N11*'Assumptions and Sensis'!$N$117*N15</f>
        <v>1099044.4329048013</v>
      </c>
      <c r="O22" s="33">
        <f>+O11*'Assumptions and Sensis'!$N$117*O15</f>
        <v>1132015.7658919455</v>
      </c>
      <c r="P22" s="33">
        <f>+P11*'Assumptions and Sensis'!$N$117*P15</f>
        <v>1165976.2388687038</v>
      </c>
      <c r="Q22" s="33">
        <f>+Q11*'Assumptions and Sensis'!$N$117*Q15</f>
        <v>1200955.5260347649</v>
      </c>
      <c r="R22" s="33">
        <f>+R11*'Assumptions and Sensis'!$N$117*R15</f>
        <v>1236984.1918158079</v>
      </c>
      <c r="S22" s="33">
        <f>+S11*'Assumptions and Sensis'!$N$117*S15</f>
        <v>1274093.7175702823</v>
      </c>
      <c r="T22" s="33">
        <f>+T11*'Assumptions and Sensis'!$N$117*T15</f>
        <v>1312316.5290973908</v>
      </c>
      <c r="U22" s="33">
        <f>+U11*'Assumptions and Sensis'!$N$117*U15</f>
        <v>1351686.0249703126</v>
      </c>
      <c r="V22" s="33">
        <f>+V11*'Assumptions and Sensis'!$N$117*V15</f>
        <v>1392236.6057194222</v>
      </c>
      <c r="W22" s="33">
        <f>+W11*'Assumptions and Sensis'!$N$117*W15</f>
        <v>1434003.7038910049</v>
      </c>
      <c r="X22" s="33">
        <f>+X11*'Assumptions and Sensis'!$N$117*X15</f>
        <v>1477023.8150077348</v>
      </c>
      <c r="Y22" s="33">
        <f>+Y11*'Assumptions and Sensis'!$N$117*Y15</f>
        <v>1521334.529457967</v>
      </c>
      <c r="Z22" s="33">
        <f>+Z11*'Assumptions and Sensis'!$N$117*Z15</f>
        <v>1566974.5653417062</v>
      </c>
    </row>
    <row r="23" spans="2:26" x14ac:dyDescent="0.2">
      <c r="B23" s="32" t="s">
        <v>325</v>
      </c>
      <c r="F23" s="150">
        <f ca="1">+IFERROR(INDEX('Taxes and TIF'!$R$11:$R$45,MATCH('Phase I Pro Forma'!F$7,'Taxes and TIF'!$AC$11:$AC$45,0)),0)*'Loan Sizing'!$J$17*F12</f>
        <v>0</v>
      </c>
      <c r="G23" s="150">
        <f ca="1">+IFERROR(INDEX('Taxes and TIF'!$R$11:$R$45,MATCH('Phase I Pro Forma'!G$7,'Taxes and TIF'!$AC$11:$AC$45,0)),0)*'Loan Sizing'!$J$17*G12</f>
        <v>0</v>
      </c>
      <c r="H23" s="150">
        <f ca="1">+IFERROR(INDEX('Taxes and TIF'!$R$11:$R$45,MATCH('Phase I Pro Forma'!H$7,'Taxes and TIF'!$AC$11:$AC$45,0)),0)*'Loan Sizing'!$J$17*H12</f>
        <v>0</v>
      </c>
      <c r="I23" s="150">
        <f ca="1">+IFERROR(INDEX('Taxes and TIF'!$R$11:$R$45,MATCH('Phase I Pro Forma'!I$7,'Taxes and TIF'!$AC$11:$AC$45,0)),0)*'Loan Sizing'!$J$17*I12</f>
        <v>0</v>
      </c>
      <c r="J23" s="150">
        <f ca="1">+IFERROR(INDEX('Taxes and TIF'!$R$11:$R$45,MATCH('Phase I Pro Forma'!J$7,'Taxes and TIF'!$AC$11:$AC$45,0)),0)*'Loan Sizing'!$J$17*J12</f>
        <v>0</v>
      </c>
      <c r="K23" s="150">
        <f ca="1">+IFERROR(INDEX('Taxes and TIF'!$R$11:$R$45,MATCH('Phase I Pro Forma'!K$7,'Taxes and TIF'!$AC$11:$AC$45,0)),0)*'Loan Sizing'!$J$17*K12</f>
        <v>0</v>
      </c>
      <c r="L23" s="150">
        <f ca="1">+IFERROR(INDEX('Taxes and TIF'!$R$11:$R$45,MATCH('Phase I Pro Forma'!L$7,'Taxes and TIF'!$AC$11:$AC$45,0)),0)*'Loan Sizing'!$J$17*L12</f>
        <v>0</v>
      </c>
      <c r="M23" s="150">
        <f ca="1">+IFERROR(INDEX('Taxes and TIF'!$R$11:$R$45,MATCH('Phase I Pro Forma'!M$7,'Taxes and TIF'!$AC$11:$AC$45,0)),0)*'Loan Sizing'!$J$17*M12</f>
        <v>0</v>
      </c>
      <c r="N23" s="150">
        <f ca="1">+IFERROR(INDEX('Taxes and TIF'!$R$11:$R$45,MATCH('Phase I Pro Forma'!N$7,'Taxes and TIF'!$AC$11:$AC$45,0)),0)*'Loan Sizing'!$J$17*N12</f>
        <v>0</v>
      </c>
      <c r="O23" s="150">
        <f ca="1">+IFERROR(INDEX('Taxes and TIF'!$R$11:$R$45,MATCH('Phase I Pro Forma'!O$7,'Taxes and TIF'!$AC$11:$AC$45,0)),0)*'Loan Sizing'!$J$17*O12</f>
        <v>0</v>
      </c>
      <c r="P23" s="150">
        <f ca="1">+IFERROR(INDEX('Taxes and TIF'!$R$11:$R$45,MATCH('Phase I Pro Forma'!P$7,'Taxes and TIF'!$AC$11:$AC$45,0)),0)*'Loan Sizing'!$J$17*P12</f>
        <v>0</v>
      </c>
      <c r="Q23" s="150">
        <f ca="1">+IFERROR(INDEX('Taxes and TIF'!$R$11:$R$45,MATCH('Phase I Pro Forma'!Q$7,'Taxes and TIF'!$AC$11:$AC$45,0)),0)*'Loan Sizing'!$J$17*Q12</f>
        <v>0</v>
      </c>
      <c r="R23" s="150">
        <f ca="1">+IFERROR(INDEX('Taxes and TIF'!$R$11:$R$45,MATCH('Phase I Pro Forma'!R$7,'Taxes and TIF'!$AC$11:$AC$45,0)),0)*'Loan Sizing'!$J$17*R12</f>
        <v>0</v>
      </c>
      <c r="S23" s="150">
        <f ca="1">+IFERROR(INDEX('Taxes and TIF'!$R$11:$R$45,MATCH('Phase I Pro Forma'!S$7,'Taxes and TIF'!$AC$11:$AC$45,0)),0)*'Loan Sizing'!$J$17*S12</f>
        <v>0</v>
      </c>
      <c r="T23" s="150">
        <f ca="1">+IFERROR(INDEX('Taxes and TIF'!$R$11:$R$45,MATCH('Phase I Pro Forma'!T$7,'Taxes and TIF'!$AC$11:$AC$45,0)),0)*'Loan Sizing'!$J$17*T12</f>
        <v>0</v>
      </c>
      <c r="U23" s="150">
        <f ca="1">+IFERROR(INDEX('Taxes and TIF'!$R$11:$R$45,MATCH('Phase I Pro Forma'!U$7,'Taxes and TIF'!$AC$11:$AC$45,0)),0)*'Loan Sizing'!$J$17*U12</f>
        <v>0</v>
      </c>
      <c r="V23" s="150">
        <f ca="1">+IFERROR(INDEX('Taxes and TIF'!$R$11:$R$45,MATCH('Phase I Pro Forma'!V$7,'Taxes and TIF'!$AC$11:$AC$45,0)),0)*'Loan Sizing'!$J$17*V12</f>
        <v>0</v>
      </c>
      <c r="W23" s="150">
        <f ca="1">+IFERROR(INDEX('Taxes and TIF'!$R$11:$R$45,MATCH('Phase I Pro Forma'!W$7,'Taxes and TIF'!$AC$11:$AC$45,0)),0)*'Loan Sizing'!$J$17*W12</f>
        <v>0</v>
      </c>
      <c r="X23" s="150">
        <f ca="1">+IFERROR(INDEX('Taxes and TIF'!$R$11:$R$45,MATCH('Phase I Pro Forma'!X$7,'Taxes and TIF'!$AC$11:$AC$45,0)),0)*'Loan Sizing'!$J$17*X12</f>
        <v>0</v>
      </c>
      <c r="Y23" s="150">
        <f ca="1">+IFERROR(INDEX('Taxes and TIF'!$R$11:$R$45,MATCH('Phase I Pro Forma'!Y$7,'Taxes and TIF'!$AC$11:$AC$45,0)),0)*'Loan Sizing'!$J$17*Y12</f>
        <v>0</v>
      </c>
      <c r="Z23" s="150">
        <f ca="1">+IFERROR(INDEX('Taxes and TIF'!$R$11:$R$45,MATCH('Phase I Pro Forma'!Z$7,'Taxes and TIF'!$AC$11:$AC$45,0)),0)*'Loan Sizing'!$J$17*Z12</f>
        <v>0</v>
      </c>
    </row>
    <row r="24" spans="2:26" x14ac:dyDescent="0.2">
      <c r="B24" s="136" t="s">
        <v>249</v>
      </c>
      <c r="C24" s="136"/>
      <c r="D24" s="136"/>
      <c r="E24" s="136"/>
      <c r="F24" s="128">
        <f t="shared" ref="F24:Z24" ca="1" si="7">+SUM(F22:F23)</f>
        <v>0</v>
      </c>
      <c r="G24" s="128">
        <f t="shared" ca="1" si="7"/>
        <v>0</v>
      </c>
      <c r="H24" s="128">
        <f t="shared" ca="1" si="7"/>
        <v>0</v>
      </c>
      <c r="I24" s="128">
        <f t="shared" ca="1" si="7"/>
        <v>474022.6911260967</v>
      </c>
      <c r="J24" s="128">
        <f t="shared" ca="1" si="7"/>
        <v>976486.7437197594</v>
      </c>
      <c r="K24" s="128">
        <f t="shared" ca="1" si="7"/>
        <v>1005781.3460313521</v>
      </c>
      <c r="L24" s="128">
        <f t="shared" ca="1" si="7"/>
        <v>1035954.7864122927</v>
      </c>
      <c r="M24" s="128">
        <f t="shared" ca="1" si="7"/>
        <v>1067033.4300046614</v>
      </c>
      <c r="N24" s="128">
        <f t="shared" ca="1" si="7"/>
        <v>1099044.4329048013</v>
      </c>
      <c r="O24" s="128">
        <f t="shared" ca="1" si="7"/>
        <v>1132015.7658919455</v>
      </c>
      <c r="P24" s="128">
        <f t="shared" ca="1" si="7"/>
        <v>1165976.2388687038</v>
      </c>
      <c r="Q24" s="128">
        <f t="shared" ca="1" si="7"/>
        <v>1200955.5260347649</v>
      </c>
      <c r="R24" s="128">
        <f t="shared" ca="1" si="7"/>
        <v>1236984.1918158079</v>
      </c>
      <c r="S24" s="128">
        <f t="shared" ca="1" si="7"/>
        <v>1274093.7175702823</v>
      </c>
      <c r="T24" s="128">
        <f t="shared" ca="1" si="7"/>
        <v>1312316.5290973908</v>
      </c>
      <c r="U24" s="128">
        <f t="shared" ca="1" si="7"/>
        <v>1351686.0249703126</v>
      </c>
      <c r="V24" s="128">
        <f t="shared" ca="1" si="7"/>
        <v>1392236.6057194222</v>
      </c>
      <c r="W24" s="128">
        <f t="shared" ca="1" si="7"/>
        <v>1434003.7038910049</v>
      </c>
      <c r="X24" s="128">
        <f t="shared" ca="1" si="7"/>
        <v>1477023.8150077348</v>
      </c>
      <c r="Y24" s="128">
        <f t="shared" ca="1" si="7"/>
        <v>1521334.529457967</v>
      </c>
      <c r="Z24" s="128">
        <f t="shared" ca="1" si="7"/>
        <v>1566974.5653417062</v>
      </c>
    </row>
    <row r="25" spans="2:26" x14ac:dyDescent="0.2">
      <c r="B25" s="32"/>
    </row>
    <row r="26" spans="2:26" x14ac:dyDescent="0.2">
      <c r="B26" s="137" t="s">
        <v>248</v>
      </c>
      <c r="C26" s="137"/>
      <c r="D26" s="137"/>
      <c r="E26" s="137"/>
      <c r="F26" s="138">
        <f t="shared" ref="F26:Z26" ca="1" si="8">+F20-F24</f>
        <v>0</v>
      </c>
      <c r="G26" s="138">
        <f t="shared" ca="1" si="8"/>
        <v>0</v>
      </c>
      <c r="H26" s="138">
        <f t="shared" ca="1" si="8"/>
        <v>0</v>
      </c>
      <c r="I26" s="138">
        <f t="shared" ca="1" si="8"/>
        <v>213092.90858120978</v>
      </c>
      <c r="J26" s="138">
        <f t="shared" ca="1" si="8"/>
        <v>425054.96217634692</v>
      </c>
      <c r="K26" s="138">
        <f t="shared" ca="1" si="8"/>
        <v>423617.0764758772</v>
      </c>
      <c r="L26" s="138">
        <f t="shared" ca="1" si="8"/>
        <v>421857.48703828233</v>
      </c>
      <c r="M26" s="138">
        <f t="shared" ca="1" si="8"/>
        <v>419760.97140812618</v>
      </c>
      <c r="N26" s="138">
        <f t="shared" ca="1" si="8"/>
        <v>417311.73902944312</v>
      </c>
      <c r="O26" s="138">
        <f t="shared" ca="1" si="8"/>
        <v>414493.41197418468</v>
      </c>
      <c r="P26" s="138">
        <f t="shared" ca="1" si="8"/>
        <v>411289.00504794996</v>
      </c>
      <c r="Q26" s="138">
        <f t="shared" ca="1" si="8"/>
        <v>407680.90525342291</v>
      </c>
      <c r="R26" s="138">
        <f t="shared" ca="1" si="8"/>
        <v>403650.85059134476</v>
      </c>
      <c r="S26" s="138">
        <f t="shared" ca="1" si="8"/>
        <v>399179.90817821398</v>
      </c>
      <c r="T26" s="138">
        <f t="shared" ca="1" si="8"/>
        <v>394248.45165927662</v>
      </c>
      <c r="U26" s="138">
        <f t="shared" ca="1" si="8"/>
        <v>388836.13789468934</v>
      </c>
      <c r="V26" s="138">
        <f t="shared" ca="1" si="8"/>
        <v>382921.88289608061</v>
      </c>
      <c r="W26" s="138">
        <f t="shared" ca="1" si="8"/>
        <v>376483.83699000906</v>
      </c>
      <c r="X26" s="138">
        <f t="shared" ca="1" si="8"/>
        <v>369499.35918410053</v>
      </c>
      <c r="Y26" s="138">
        <f t="shared" ca="1" si="8"/>
        <v>361944.99071090575</v>
      </c>
      <c r="Z26" s="138">
        <f t="shared" ca="1" si="8"/>
        <v>353796.42772374535</v>
      </c>
    </row>
    <row r="27" spans="2:26" x14ac:dyDescent="0.2">
      <c r="B27" s="142" t="s">
        <v>254</v>
      </c>
      <c r="C27" s="140"/>
      <c r="D27" s="140"/>
      <c r="E27" s="140"/>
      <c r="F27" s="143" t="str">
        <f t="shared" ref="F27:Z27" ca="1" si="9">+IFERROR(F26/F20,"")</f>
        <v/>
      </c>
      <c r="G27" s="143" t="str">
        <f t="shared" ca="1" si="9"/>
        <v/>
      </c>
      <c r="H27" s="143" t="str">
        <f t="shared" ca="1" si="9"/>
        <v/>
      </c>
      <c r="I27" s="144">
        <f t="shared" ca="1" si="9"/>
        <v>0.31012672201297986</v>
      </c>
      <c r="J27" s="144">
        <f t="shared" ca="1" si="9"/>
        <v>0.30327671334231093</v>
      </c>
      <c r="K27" s="144">
        <f t="shared" ca="1" si="9"/>
        <v>0.29636039176035589</v>
      </c>
      <c r="L27" s="144">
        <f t="shared" ca="1" si="9"/>
        <v>0.28937709931592559</v>
      </c>
      <c r="M27" s="144">
        <f t="shared" ca="1" si="9"/>
        <v>0.2823261716678912</v>
      </c>
      <c r="N27" s="144">
        <f t="shared" ca="1" si="9"/>
        <v>0.27520693802243418</v>
      </c>
      <c r="O27" s="144">
        <f t="shared" ca="1" si="9"/>
        <v>0.26801872106966851</v>
      </c>
      <c r="P27" s="144">
        <f t="shared" ca="1" si="9"/>
        <v>0.26076083691962937</v>
      </c>
      <c r="Q27" s="144">
        <f t="shared" ca="1" si="9"/>
        <v>0.25343259503762083</v>
      </c>
      <c r="R27" s="144">
        <f t="shared" ca="1" si="9"/>
        <v>0.24603329817892042</v>
      </c>
      <c r="S27" s="144">
        <f t="shared" ca="1" si="9"/>
        <v>0.23856224232283052</v>
      </c>
      <c r="T27" s="144">
        <f t="shared" ca="1" si="9"/>
        <v>0.23101871660607512</v>
      </c>
      <c r="U27" s="144">
        <f t="shared" ca="1" si="9"/>
        <v>0.22340200325553003</v>
      </c>
      <c r="V27" s="144">
        <f t="shared" ca="1" si="9"/>
        <v>0.21571137752028688</v>
      </c>
      <c r="W27" s="144">
        <f t="shared" ca="1" si="9"/>
        <v>0.20794610760304136</v>
      </c>
      <c r="X27" s="144">
        <f t="shared" ca="1" si="9"/>
        <v>0.20010545459079801</v>
      </c>
      <c r="Y27" s="144">
        <f t="shared" ca="1" si="9"/>
        <v>0.19218867238488863</v>
      </c>
      <c r="Z27" s="144">
        <f t="shared" ca="1" si="9"/>
        <v>0.1841950076302977</v>
      </c>
    </row>
    <row r="28" spans="2:26" x14ac:dyDescent="0.2">
      <c r="B28" s="142" t="s">
        <v>188</v>
      </c>
      <c r="C28" s="140"/>
      <c r="D28" s="140"/>
      <c r="E28" s="140"/>
      <c r="F28" s="141">
        <f ca="1">+F26/'Assumptions and Sensis'!$N$153</f>
        <v>0</v>
      </c>
      <c r="G28" s="141">
        <f ca="1">+G26/'Assumptions and Sensis'!$N$153</f>
        <v>0</v>
      </c>
      <c r="H28" s="141">
        <f ca="1">+H26/'Assumptions and Sensis'!$N$153</f>
        <v>0</v>
      </c>
      <c r="I28" s="141">
        <f ca="1">+I26/'Assumptions and Sensis'!$N$153</f>
        <v>3705963.6274993005</v>
      </c>
      <c r="J28" s="141">
        <f ca="1">+J26/'Assumptions and Sensis'!$N$153</f>
        <v>7392260.2117625549</v>
      </c>
      <c r="K28" s="141">
        <f ca="1">+K26/'Assumptions and Sensis'!$N$153</f>
        <v>7367253.5039282991</v>
      </c>
      <c r="L28" s="141">
        <f ca="1">+L26/'Assumptions and Sensis'!$N$153</f>
        <v>7336651.9484918667</v>
      </c>
      <c r="M28" s="141">
        <f ca="1">+M26/'Assumptions and Sensis'!$N$153</f>
        <v>7300190.8070978466</v>
      </c>
      <c r="N28" s="141">
        <f ca="1">+N26/'Assumptions and Sensis'!$N$153</f>
        <v>7257595.4613816189</v>
      </c>
      <c r="O28" s="141">
        <f ca="1">+O26/'Assumptions and Sensis'!$N$153</f>
        <v>7208581.077811907</v>
      </c>
      <c r="P28" s="141">
        <f ca="1">+P26/'Assumptions and Sensis'!$N$153</f>
        <v>7152852.2617034772</v>
      </c>
      <c r="Q28" s="141">
        <f ca="1">+Q26/'Assumptions and Sensis'!$N$153</f>
        <v>7090102.7000595285</v>
      </c>
      <c r="R28" s="141">
        <f ca="1">+R26/'Assumptions and Sensis'!$N$153</f>
        <v>7020014.7928929524</v>
      </c>
      <c r="S28" s="141">
        <f ca="1">+S26/'Assumptions and Sensis'!$N$153</f>
        <v>6942259.2726645907</v>
      </c>
      <c r="T28" s="141">
        <f ca="1">+T26/'Assumptions and Sensis'!$N$153</f>
        <v>6856494.8114656797</v>
      </c>
      <c r="U28" s="141">
        <f ca="1">+U26/'Assumptions and Sensis'!$N$153</f>
        <v>6762367.6155598145</v>
      </c>
      <c r="V28" s="141">
        <f ca="1">+V26/'Assumptions and Sensis'!$N$153</f>
        <v>6659511.0068883579</v>
      </c>
      <c r="W28" s="141">
        <f ca="1">+W26/'Assumptions and Sensis'!$N$153</f>
        <v>6547544.9911305923</v>
      </c>
      <c r="X28" s="141">
        <f ca="1">+X26/'Assumptions and Sensis'!$N$153</f>
        <v>6426075.8118973998</v>
      </c>
      <c r="Y28" s="141">
        <f ca="1">+Y26/'Assumptions and Sensis'!$N$153</f>
        <v>6294695.4906244474</v>
      </c>
      <c r="Z28" s="141">
        <f ca="1">+Z26/'Assumptions and Sensis'!$N$153</f>
        <v>6152981.35171731</v>
      </c>
    </row>
    <row r="30" spans="2:26" x14ac:dyDescent="0.2">
      <c r="B30" s="147" t="s">
        <v>930</v>
      </c>
      <c r="C30" s="148"/>
      <c r="D30" s="148"/>
      <c r="E30" s="148"/>
      <c r="F30" s="149">
        <f>+'Assumptions and Sensis'!$F$43</f>
        <v>44196</v>
      </c>
      <c r="G30" s="149">
        <f>+EOMONTH(F30,12)</f>
        <v>44561</v>
      </c>
      <c r="H30" s="149">
        <f t="shared" ref="H30:Z30" si="10">+EOMONTH(G30,12)</f>
        <v>44926</v>
      </c>
      <c r="I30" s="149">
        <f t="shared" si="10"/>
        <v>45291</v>
      </c>
      <c r="J30" s="149">
        <f t="shared" si="10"/>
        <v>45657</v>
      </c>
      <c r="K30" s="149">
        <f t="shared" si="10"/>
        <v>46022</v>
      </c>
      <c r="L30" s="149">
        <f t="shared" si="10"/>
        <v>46387</v>
      </c>
      <c r="M30" s="149">
        <f t="shared" si="10"/>
        <v>46752</v>
      </c>
      <c r="N30" s="149">
        <f t="shared" si="10"/>
        <v>47118</v>
      </c>
      <c r="O30" s="149">
        <f t="shared" si="10"/>
        <v>47483</v>
      </c>
      <c r="P30" s="149">
        <f t="shared" si="10"/>
        <v>47848</v>
      </c>
      <c r="Q30" s="149">
        <f t="shared" si="10"/>
        <v>48213</v>
      </c>
      <c r="R30" s="149">
        <f t="shared" si="10"/>
        <v>48579</v>
      </c>
      <c r="S30" s="149">
        <f t="shared" si="10"/>
        <v>48944</v>
      </c>
      <c r="T30" s="149">
        <f t="shared" si="10"/>
        <v>49309</v>
      </c>
      <c r="U30" s="149">
        <f t="shared" si="10"/>
        <v>49674</v>
      </c>
      <c r="V30" s="149">
        <f t="shared" si="10"/>
        <v>50040</v>
      </c>
      <c r="W30" s="149">
        <f t="shared" si="10"/>
        <v>50405</v>
      </c>
      <c r="X30" s="149">
        <f t="shared" si="10"/>
        <v>50770</v>
      </c>
      <c r="Y30" s="149">
        <f t="shared" si="10"/>
        <v>51135</v>
      </c>
      <c r="Z30" s="149">
        <f t="shared" si="10"/>
        <v>51501</v>
      </c>
    </row>
    <row r="31" spans="2:26" x14ac:dyDescent="0.2">
      <c r="B31" s="32" t="s">
        <v>756</v>
      </c>
      <c r="C31" s="32"/>
      <c r="D31" s="39"/>
      <c r="E31" s="39"/>
      <c r="F31" s="41">
        <f>+IF(AND(F30&gt;='Assumptions and Sensis'!$F$47,F30&lt;'Assumptions and Sensis'!$F$49),'Assumptions and Sensis'!$F$110/ROUNDUP(('Assumptions and Sensis'!$F$48/12),0),0)</f>
        <v>0</v>
      </c>
      <c r="G31" s="41">
        <f>+IF(AND(G30&gt;='Assumptions and Sensis'!$F$47,G30&lt;'Assumptions and Sensis'!$F$49),'Assumptions and Sensis'!$F$110/ROUNDUP(('Assumptions and Sensis'!$F$48/12),0),0)</f>
        <v>0</v>
      </c>
      <c r="H31" s="41">
        <f>+IF(AND(H30&gt;='Assumptions and Sensis'!$F$47,H30&lt;'Assumptions and Sensis'!$F$49),'Assumptions and Sensis'!$F$110/ROUNDUP(('Assumptions and Sensis'!$F$48/12),0),0)</f>
        <v>0</v>
      </c>
      <c r="I31" s="41">
        <f>+IF(AND(I30&gt;='Assumptions and Sensis'!$F$47,I30&lt;'Assumptions and Sensis'!$F$49),'Assumptions and Sensis'!$F$110/ROUNDUP(('Assumptions and Sensis'!$F$48/12),0),0)</f>
        <v>218663.17027884291</v>
      </c>
      <c r="J31" s="41">
        <f>+IF(AND(J30&gt;='Assumptions and Sensis'!$F$47,J30&lt;'Assumptions and Sensis'!$F$49),'Assumptions and Sensis'!$F$110/ROUNDUP(('Assumptions and Sensis'!$F$48/12),0),0)</f>
        <v>218663.17027884291</v>
      </c>
      <c r="K31" s="41">
        <f>+IF(AND(K30&gt;='Assumptions and Sensis'!$F$47,K30&lt;'Assumptions and Sensis'!$F$49),'Assumptions and Sensis'!$F$110/ROUNDUP(('Assumptions and Sensis'!$F$48/12),0),0)</f>
        <v>0</v>
      </c>
      <c r="L31" s="41">
        <f>+IF(AND(L30&gt;='Assumptions and Sensis'!$F$47,L30&lt;'Assumptions and Sensis'!$F$49),'Assumptions and Sensis'!$F$110/ROUNDUP(('Assumptions and Sensis'!$F$48/12),0),0)</f>
        <v>0</v>
      </c>
      <c r="M31" s="41">
        <f>+IF(AND(M30&gt;='Assumptions and Sensis'!$F$47,M30&lt;'Assumptions and Sensis'!$F$49),'Assumptions and Sensis'!$F$110/ROUNDUP(('Assumptions and Sensis'!$F$48/12),0),0)</f>
        <v>0</v>
      </c>
      <c r="N31" s="41">
        <f>+IF(AND(N30&gt;='Assumptions and Sensis'!$F$47,N30&lt;'Assumptions and Sensis'!$F$49),'Assumptions and Sensis'!$F$110/ROUNDUP(('Assumptions and Sensis'!$F$48/12),0),0)</f>
        <v>0</v>
      </c>
      <c r="O31" s="41">
        <f>+IF(AND(O30&gt;='Assumptions and Sensis'!$F$47,O30&lt;'Assumptions and Sensis'!$F$49),'Assumptions and Sensis'!$F$110/ROUNDUP(('Assumptions and Sensis'!$F$48/12),0),0)</f>
        <v>0</v>
      </c>
      <c r="P31" s="41">
        <f>+IF(AND(P30&gt;='Assumptions and Sensis'!$F$47,P30&lt;'Assumptions and Sensis'!$F$49),'Assumptions and Sensis'!$F$110/ROUNDUP(('Assumptions and Sensis'!$F$48/12),0),0)</f>
        <v>0</v>
      </c>
      <c r="Q31" s="41">
        <f>+IF(AND(Q30&gt;='Assumptions and Sensis'!$F$47,Q30&lt;'Assumptions and Sensis'!$F$49),'Assumptions and Sensis'!$F$110/ROUNDUP(('Assumptions and Sensis'!$F$48/12),0),0)</f>
        <v>0</v>
      </c>
      <c r="R31" s="41">
        <f>+IF(AND(R30&gt;='Assumptions and Sensis'!$F$47,R30&lt;'Assumptions and Sensis'!$F$49),'Assumptions and Sensis'!$F$110/ROUNDUP(('Assumptions and Sensis'!$F$48/12),0),0)</f>
        <v>0</v>
      </c>
      <c r="S31" s="41">
        <f>+IF(AND(S30&gt;='Assumptions and Sensis'!$F$47,S30&lt;'Assumptions and Sensis'!$F$49),'Assumptions and Sensis'!$F$110/ROUNDUP(('Assumptions and Sensis'!$F$48/12),0),0)</f>
        <v>0</v>
      </c>
      <c r="T31" s="41">
        <f>+IF(AND(T30&gt;='Assumptions and Sensis'!$F$47,T30&lt;'Assumptions and Sensis'!$F$49),'Assumptions and Sensis'!$F$110/ROUNDUP(('Assumptions and Sensis'!$F$48/12),0),0)</f>
        <v>0</v>
      </c>
      <c r="U31" s="41">
        <f>+IF(AND(U30&gt;='Assumptions and Sensis'!$F$47,U30&lt;'Assumptions and Sensis'!$F$49),'Assumptions and Sensis'!$F$110/ROUNDUP(('Assumptions and Sensis'!$F$48/12),0),0)</f>
        <v>0</v>
      </c>
      <c r="V31" s="41">
        <f>+IF(AND(V30&gt;='Assumptions and Sensis'!$F$47,V30&lt;'Assumptions and Sensis'!$F$49),'Assumptions and Sensis'!$F$110/ROUNDUP(('Assumptions and Sensis'!$F$48/12),0),0)</f>
        <v>0</v>
      </c>
      <c r="W31" s="41">
        <f>+IF(AND(W30&gt;='Assumptions and Sensis'!$F$47,W30&lt;'Assumptions and Sensis'!$F$49),'Assumptions and Sensis'!$F$110/ROUNDUP(('Assumptions and Sensis'!$F$48/12),0),0)</f>
        <v>0</v>
      </c>
      <c r="X31" s="41">
        <f>+IF(AND(X30&gt;='Assumptions and Sensis'!$F$47,X30&lt;'Assumptions and Sensis'!$F$49),'Assumptions and Sensis'!$F$110/ROUNDUP(('Assumptions and Sensis'!$F$48/12),0),0)</f>
        <v>0</v>
      </c>
      <c r="Y31" s="41">
        <f>+IF(AND(Y30&gt;='Assumptions and Sensis'!$F$47,Y30&lt;'Assumptions and Sensis'!$F$49),'Assumptions and Sensis'!$F$110/ROUNDUP(('Assumptions and Sensis'!$F$48/12),0),0)</f>
        <v>0</v>
      </c>
      <c r="Z31" s="41">
        <f>+IF(AND(Z30&gt;='Assumptions and Sensis'!$F$47,Z30&lt;'Assumptions and Sensis'!$F$49),'Assumptions and Sensis'!$F$110/ROUNDUP(('Assumptions and Sensis'!$F$48/12),0),0)</f>
        <v>0</v>
      </c>
    </row>
    <row r="32" spans="2:26" x14ac:dyDescent="0.2">
      <c r="B32" s="32" t="s">
        <v>246</v>
      </c>
      <c r="C32" s="32"/>
      <c r="D32" s="41">
        <v>0</v>
      </c>
      <c r="E32" s="41"/>
      <c r="F32" s="41">
        <f>+D32+F31</f>
        <v>0</v>
      </c>
      <c r="G32" s="41">
        <f t="shared" ref="G32" si="11">+F32+G31</f>
        <v>0</v>
      </c>
      <c r="H32" s="41">
        <f t="shared" ref="H32" si="12">+G32+H31</f>
        <v>0</v>
      </c>
      <c r="I32" s="41">
        <f t="shared" ref="I32" si="13">+H32+I31</f>
        <v>218663.17027884291</v>
      </c>
      <c r="J32" s="41">
        <f t="shared" ref="J32" si="14">+I32+J31</f>
        <v>437326.34055768582</v>
      </c>
      <c r="K32" s="41">
        <f t="shared" ref="K32" si="15">+J32+K31</f>
        <v>437326.34055768582</v>
      </c>
      <c r="L32" s="41">
        <f t="shared" ref="L32" si="16">+K32+L31</f>
        <v>437326.34055768582</v>
      </c>
      <c r="M32" s="41">
        <f t="shared" ref="M32" si="17">+L32+M31</f>
        <v>437326.34055768582</v>
      </c>
      <c r="N32" s="41">
        <f t="shared" ref="N32" si="18">+M32+N31</f>
        <v>437326.34055768582</v>
      </c>
      <c r="O32" s="41">
        <f t="shared" ref="O32" si="19">+N32+O31</f>
        <v>437326.34055768582</v>
      </c>
      <c r="P32" s="41">
        <f t="shared" ref="P32" si="20">+O32+P31</f>
        <v>437326.34055768582</v>
      </c>
      <c r="Q32" s="41">
        <f t="shared" ref="Q32" si="21">+P32+Q31</f>
        <v>437326.34055768582</v>
      </c>
      <c r="R32" s="41">
        <f t="shared" ref="R32" si="22">+Q32+R31</f>
        <v>437326.34055768582</v>
      </c>
      <c r="S32" s="41">
        <f t="shared" ref="S32" si="23">+R32+S31</f>
        <v>437326.34055768582</v>
      </c>
      <c r="T32" s="41">
        <f t="shared" ref="T32" si="24">+S32+T31</f>
        <v>437326.34055768582</v>
      </c>
      <c r="U32" s="41">
        <f t="shared" ref="U32" si="25">+T32+U31</f>
        <v>437326.34055768582</v>
      </c>
      <c r="V32" s="41">
        <f t="shared" ref="V32" si="26">+U32+V31</f>
        <v>437326.34055768582</v>
      </c>
      <c r="W32" s="41">
        <f t="shared" ref="W32" si="27">+V32+W31</f>
        <v>437326.34055768582</v>
      </c>
      <c r="X32" s="41">
        <f t="shared" ref="X32" si="28">+W32+X31</f>
        <v>437326.34055768582</v>
      </c>
      <c r="Y32" s="41">
        <f t="shared" ref="Y32" si="29">+X32+Y31</f>
        <v>437326.34055768582</v>
      </c>
      <c r="Z32" s="41">
        <f t="shared" ref="Z32" si="30">+Y32+Z31</f>
        <v>437326.34055768582</v>
      </c>
    </row>
    <row r="33" spans="2:26" x14ac:dyDescent="0.2">
      <c r="B33" s="32" t="s">
        <v>490</v>
      </c>
      <c r="C33" s="32"/>
      <c r="D33" s="41"/>
      <c r="E33" s="41"/>
      <c r="F33" s="41">
        <f>+F34-E34</f>
        <v>0</v>
      </c>
      <c r="G33" s="41">
        <f t="shared" ref="G33" si="31">+G34-F34</f>
        <v>0</v>
      </c>
      <c r="H33" s="41">
        <f t="shared" ref="H33" si="32">+H34-G34</f>
        <v>0</v>
      </c>
      <c r="I33" s="41">
        <f t="shared" ref="I33" si="33">+I34-H34</f>
        <v>299.17097388150785</v>
      </c>
      <c r="J33" s="41">
        <f t="shared" ref="J33" si="34">+J34-I34</f>
        <v>299.17097388150785</v>
      </c>
      <c r="K33" s="41">
        <f t="shared" ref="K33" si="35">+K34-J34</f>
        <v>0</v>
      </c>
      <c r="L33" s="41">
        <f t="shared" ref="L33" si="36">+L34-K34</f>
        <v>0</v>
      </c>
      <c r="M33" s="41">
        <f t="shared" ref="M33" si="37">+M34-L34</f>
        <v>0</v>
      </c>
      <c r="N33" s="41">
        <f t="shared" ref="N33" si="38">+N34-M34</f>
        <v>0</v>
      </c>
      <c r="O33" s="41">
        <f t="shared" ref="O33" si="39">+O34-N34</f>
        <v>0</v>
      </c>
      <c r="P33" s="41">
        <f t="shared" ref="P33" si="40">+P34-O34</f>
        <v>0</v>
      </c>
      <c r="Q33" s="41">
        <f t="shared" ref="Q33" si="41">+Q34-P34</f>
        <v>0</v>
      </c>
      <c r="R33" s="41">
        <f t="shared" ref="R33" si="42">+R34-Q34</f>
        <v>0</v>
      </c>
      <c r="S33" s="41">
        <f t="shared" ref="S33" si="43">+S34-R34</f>
        <v>0</v>
      </c>
      <c r="T33" s="41">
        <f t="shared" ref="T33" si="44">+T34-S34</f>
        <v>0</v>
      </c>
      <c r="U33" s="41">
        <f t="shared" ref="U33" si="45">+U34-T34</f>
        <v>0</v>
      </c>
      <c r="V33" s="41">
        <f t="shared" ref="V33" si="46">+V34-U34</f>
        <v>0</v>
      </c>
      <c r="W33" s="41">
        <f t="shared" ref="W33" si="47">+W34-V34</f>
        <v>0</v>
      </c>
      <c r="X33" s="41">
        <f t="shared" ref="X33" si="48">+X34-W34</f>
        <v>0</v>
      </c>
      <c r="Y33" s="41">
        <f t="shared" ref="Y33" si="49">+Y34-X34</f>
        <v>0</v>
      </c>
      <c r="Z33" s="41">
        <f t="shared" ref="Z33" si="50">+Z34-Y34</f>
        <v>0</v>
      </c>
    </row>
    <row r="34" spans="2:26" x14ac:dyDescent="0.2">
      <c r="B34" s="32" t="s">
        <v>247</v>
      </c>
      <c r="C34" s="32"/>
      <c r="D34" s="41"/>
      <c r="E34" s="41"/>
      <c r="F34" s="41">
        <f>+F35*'Assumptions and Sensis'!$F$111</f>
        <v>0</v>
      </c>
      <c r="G34" s="41">
        <f>+G35*'Assumptions and Sensis'!$F$111</f>
        <v>0</v>
      </c>
      <c r="H34" s="41">
        <f>+H35*'Assumptions and Sensis'!$F$111</f>
        <v>0</v>
      </c>
      <c r="I34" s="41">
        <f>+I35*'Assumptions and Sensis'!$F$111</f>
        <v>299.17097388150785</v>
      </c>
      <c r="J34" s="41">
        <f>+J35*'Assumptions and Sensis'!$F$111</f>
        <v>598.3419477630157</v>
      </c>
      <c r="K34" s="41">
        <f>+K35*'Assumptions and Sensis'!$F$111</f>
        <v>598.3419477630157</v>
      </c>
      <c r="L34" s="41">
        <f>+L35*'Assumptions and Sensis'!$F$111</f>
        <v>598.3419477630157</v>
      </c>
      <c r="M34" s="41">
        <f>+M35*'Assumptions and Sensis'!$F$111</f>
        <v>598.3419477630157</v>
      </c>
      <c r="N34" s="41">
        <f>+N35*'Assumptions and Sensis'!$F$111</f>
        <v>598.3419477630157</v>
      </c>
      <c r="O34" s="41">
        <f>+O35*'Assumptions and Sensis'!$F$111</f>
        <v>598.3419477630157</v>
      </c>
      <c r="P34" s="41">
        <f>+P35*'Assumptions and Sensis'!$F$111</f>
        <v>598.3419477630157</v>
      </c>
      <c r="Q34" s="41">
        <f>+Q35*'Assumptions and Sensis'!$F$111</f>
        <v>598.3419477630157</v>
      </c>
      <c r="R34" s="41">
        <f>+R35*'Assumptions and Sensis'!$F$111</f>
        <v>598.3419477630157</v>
      </c>
      <c r="S34" s="41">
        <f>+S35*'Assumptions and Sensis'!$F$111</f>
        <v>598.3419477630157</v>
      </c>
      <c r="T34" s="41">
        <f>+T35*'Assumptions and Sensis'!$F$111</f>
        <v>598.3419477630157</v>
      </c>
      <c r="U34" s="41">
        <f>+U35*'Assumptions and Sensis'!$F$111</f>
        <v>598.3419477630157</v>
      </c>
      <c r="V34" s="41">
        <f>+V35*'Assumptions and Sensis'!$F$111</f>
        <v>598.3419477630157</v>
      </c>
      <c r="W34" s="41">
        <f>+W35*'Assumptions and Sensis'!$F$111</f>
        <v>598.3419477630157</v>
      </c>
      <c r="X34" s="41">
        <f>+X35*'Assumptions and Sensis'!$F$111</f>
        <v>598.3419477630157</v>
      </c>
      <c r="Y34" s="41">
        <f>+Y35*'Assumptions and Sensis'!$F$111</f>
        <v>598.3419477630157</v>
      </c>
      <c r="Z34" s="41">
        <f>+Z35*'Assumptions and Sensis'!$F$111</f>
        <v>598.3419477630157</v>
      </c>
    </row>
    <row r="35" spans="2:26" x14ac:dyDescent="0.2">
      <c r="B35" s="32" t="s">
        <v>301</v>
      </c>
      <c r="C35" s="32"/>
      <c r="D35" s="41"/>
      <c r="E35" s="41"/>
      <c r="F35" s="107">
        <f>+F32/SUM($F31:$Z31)</f>
        <v>0</v>
      </c>
      <c r="G35" s="107">
        <f t="shared" ref="G35:Z35" si="51">+G32/SUM($F31:$Z31)</f>
        <v>0</v>
      </c>
      <c r="H35" s="107">
        <f t="shared" si="51"/>
        <v>0</v>
      </c>
      <c r="I35" s="107">
        <f t="shared" si="51"/>
        <v>0.5</v>
      </c>
      <c r="J35" s="107">
        <f t="shared" si="51"/>
        <v>1</v>
      </c>
      <c r="K35" s="107">
        <f t="shared" si="51"/>
        <v>1</v>
      </c>
      <c r="L35" s="107">
        <f t="shared" si="51"/>
        <v>1</v>
      </c>
      <c r="M35" s="107">
        <f t="shared" si="51"/>
        <v>1</v>
      </c>
      <c r="N35" s="107">
        <f t="shared" si="51"/>
        <v>1</v>
      </c>
      <c r="O35" s="107">
        <f t="shared" si="51"/>
        <v>1</v>
      </c>
      <c r="P35" s="107">
        <f t="shared" si="51"/>
        <v>1</v>
      </c>
      <c r="Q35" s="107">
        <f t="shared" si="51"/>
        <v>1</v>
      </c>
      <c r="R35" s="107">
        <f t="shared" si="51"/>
        <v>1</v>
      </c>
      <c r="S35" s="107">
        <f t="shared" si="51"/>
        <v>1</v>
      </c>
      <c r="T35" s="107">
        <f t="shared" si="51"/>
        <v>1</v>
      </c>
      <c r="U35" s="107">
        <f t="shared" si="51"/>
        <v>1</v>
      </c>
      <c r="V35" s="107">
        <f t="shared" si="51"/>
        <v>1</v>
      </c>
      <c r="W35" s="107">
        <f t="shared" si="51"/>
        <v>1</v>
      </c>
      <c r="X35" s="107">
        <f t="shared" si="51"/>
        <v>1</v>
      </c>
      <c r="Y35" s="107">
        <f t="shared" si="51"/>
        <v>1</v>
      </c>
      <c r="Z35" s="107">
        <f t="shared" si="51"/>
        <v>1</v>
      </c>
    </row>
    <row r="36" spans="2:26" x14ac:dyDescent="0.2">
      <c r="B36" s="32"/>
      <c r="C36" s="32"/>
      <c r="D36" s="39"/>
      <c r="E36" s="39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2:26" x14ac:dyDescent="0.2">
      <c r="B37" s="32" t="s">
        <v>251</v>
      </c>
      <c r="C37" s="32"/>
      <c r="D37" s="41"/>
      <c r="E37" s="41"/>
      <c r="F37" s="107">
        <v>1</v>
      </c>
      <c r="G37" s="107">
        <f>+F37*(1+'Assumptions and Sensis'!$N$86)</f>
        <v>1.03</v>
      </c>
      <c r="H37" s="107">
        <f>+G37*(1+'Assumptions and Sensis'!$N$86)</f>
        <v>1.0609</v>
      </c>
      <c r="I37" s="107">
        <f>+H37*(1+'Assumptions and Sensis'!$N$86)</f>
        <v>1.092727</v>
      </c>
      <c r="J37" s="107">
        <f>+I37*(1+'Assumptions and Sensis'!$N$86)</f>
        <v>1.1255088100000001</v>
      </c>
      <c r="K37" s="107">
        <f>+J37*(1+'Assumptions and Sensis'!$N$86)</f>
        <v>1.1592740743000001</v>
      </c>
      <c r="L37" s="107">
        <f>+K37*(1+'Assumptions and Sensis'!$N$86)</f>
        <v>1.1940522965290001</v>
      </c>
      <c r="M37" s="107">
        <f>+L37*(1+'Assumptions and Sensis'!$N$86)</f>
        <v>1.2298738654248702</v>
      </c>
      <c r="N37" s="107">
        <f>+M37*(1+'Assumptions and Sensis'!$N$86)</f>
        <v>1.2667700813876164</v>
      </c>
      <c r="O37" s="107">
        <f>+N37*(1+'Assumptions and Sensis'!$N$86)</f>
        <v>1.3047731838292449</v>
      </c>
      <c r="P37" s="107">
        <f>+O37*(1+'Assumptions and Sensis'!$N$86)</f>
        <v>1.3439163793441222</v>
      </c>
      <c r="Q37" s="107">
        <f>+P37*(1+'Assumptions and Sensis'!$N$86)</f>
        <v>1.3842338707244459</v>
      </c>
      <c r="R37" s="107">
        <f>+Q37*(1+'Assumptions and Sensis'!$N$86)</f>
        <v>1.4257608868461793</v>
      </c>
      <c r="S37" s="107">
        <f>+R37*(1+'Assumptions and Sensis'!$N$86)</f>
        <v>1.4685337134515648</v>
      </c>
      <c r="T37" s="107">
        <f>+S37*(1+'Assumptions and Sensis'!$N$86)</f>
        <v>1.5125897248551119</v>
      </c>
      <c r="U37" s="107">
        <f>+T37*(1+'Assumptions and Sensis'!$N$86)</f>
        <v>1.5579674166007653</v>
      </c>
      <c r="V37" s="107">
        <f>+U37*(1+'Assumptions and Sensis'!$N$86)</f>
        <v>1.6047064390987884</v>
      </c>
      <c r="W37" s="107">
        <f>+V37*(1+'Assumptions and Sensis'!$N$86)</f>
        <v>1.652847632271752</v>
      </c>
      <c r="X37" s="107">
        <f>+W37*(1+'Assumptions and Sensis'!$N$86)</f>
        <v>1.7024330612399046</v>
      </c>
      <c r="Y37" s="107">
        <f>+X37*(1+'Assumptions and Sensis'!$N$86)</f>
        <v>1.7535060530771018</v>
      </c>
      <c r="Z37" s="107">
        <f>+Y37*(1+'Assumptions and Sensis'!$N$86)</f>
        <v>1.806111234669415</v>
      </c>
    </row>
    <row r="38" spans="2:26" x14ac:dyDescent="0.2">
      <c r="B38" s="32" t="s">
        <v>252</v>
      </c>
      <c r="C38" s="32"/>
      <c r="D38" s="41"/>
      <c r="E38" s="41"/>
      <c r="F38" s="107">
        <v>1</v>
      </c>
      <c r="G38" s="107">
        <f>+F38*(1+'Assumptions and Sensis'!$N$99)</f>
        <v>1.03</v>
      </c>
      <c r="H38" s="107">
        <f>+G38*(1+'Assumptions and Sensis'!$N$99)</f>
        <v>1.0609</v>
      </c>
      <c r="I38" s="107">
        <f>+H38*(1+'Assumptions and Sensis'!$N$99)</f>
        <v>1.092727</v>
      </c>
      <c r="J38" s="107">
        <f>+I38*(1+'Assumptions and Sensis'!$N$99)</f>
        <v>1.1255088100000001</v>
      </c>
      <c r="K38" s="107">
        <f>+J38*(1+'Assumptions and Sensis'!$N$99)</f>
        <v>1.1592740743000001</v>
      </c>
      <c r="L38" s="107">
        <f>+K38*(1+'Assumptions and Sensis'!$N$99)</f>
        <v>1.1940522965290001</v>
      </c>
      <c r="M38" s="107">
        <f>+L38*(1+'Assumptions and Sensis'!$N$99)</f>
        <v>1.2298738654248702</v>
      </c>
      <c r="N38" s="107">
        <f>+M38*(1+'Assumptions and Sensis'!$N$99)</f>
        <v>1.2667700813876164</v>
      </c>
      <c r="O38" s="107">
        <f>+N38*(1+'Assumptions and Sensis'!$N$99)</f>
        <v>1.3047731838292449</v>
      </c>
      <c r="P38" s="107">
        <f>+O38*(1+'Assumptions and Sensis'!$N$99)</f>
        <v>1.3439163793441222</v>
      </c>
      <c r="Q38" s="107">
        <f>+P38*(1+'Assumptions and Sensis'!$N$99)</f>
        <v>1.3842338707244459</v>
      </c>
      <c r="R38" s="107">
        <f>+Q38*(1+'Assumptions and Sensis'!$N$99)</f>
        <v>1.4257608868461793</v>
      </c>
      <c r="S38" s="107">
        <f>+R38*(1+'Assumptions and Sensis'!$N$99)</f>
        <v>1.4685337134515648</v>
      </c>
      <c r="T38" s="107">
        <f>+S38*(1+'Assumptions and Sensis'!$N$99)</f>
        <v>1.5125897248551119</v>
      </c>
      <c r="U38" s="107">
        <f>+T38*(1+'Assumptions and Sensis'!$N$99)</f>
        <v>1.5579674166007653</v>
      </c>
      <c r="V38" s="107">
        <f>+U38*(1+'Assumptions and Sensis'!$N$99)</f>
        <v>1.6047064390987884</v>
      </c>
      <c r="W38" s="107">
        <f>+V38*(1+'Assumptions and Sensis'!$N$99)</f>
        <v>1.652847632271752</v>
      </c>
      <c r="X38" s="107">
        <f>+W38*(1+'Assumptions and Sensis'!$N$99)</f>
        <v>1.7024330612399046</v>
      </c>
      <c r="Y38" s="107">
        <f>+X38*(1+'Assumptions and Sensis'!$N$99)</f>
        <v>1.7535060530771018</v>
      </c>
      <c r="Z38" s="107">
        <f>+Y38*(1+'Assumptions and Sensis'!$N$99)</f>
        <v>1.806111234669415</v>
      </c>
    </row>
    <row r="39" spans="2:26" x14ac:dyDescent="0.2">
      <c r="B39" s="32"/>
      <c r="C39" s="32"/>
      <c r="D39" s="39"/>
      <c r="E39" s="39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2:26" x14ac:dyDescent="0.2">
      <c r="B40" s="32" t="s">
        <v>243</v>
      </c>
      <c r="C40" s="32"/>
      <c r="D40" s="39"/>
      <c r="E40" s="39"/>
      <c r="F40" s="33">
        <f>+F35*'Assumptions and Sensis'!$F$109*F37</f>
        <v>0</v>
      </c>
      <c r="G40" s="33">
        <f>+G35*'Assumptions and Sensis'!$F$109*G37</f>
        <v>0</v>
      </c>
      <c r="H40" s="33">
        <f>+H35*'Assumptions and Sensis'!$F$109*H37</f>
        <v>0</v>
      </c>
      <c r="I40" s="33">
        <f>+I35*'Assumptions and Sensis'!$F$109*I37</f>
        <v>6890570.6531799929</v>
      </c>
      <c r="J40" s="33">
        <f>+J35*'Assumptions and Sensis'!$F$109*J37</f>
        <v>14194575.545550786</v>
      </c>
      <c r="K40" s="33">
        <f>+K35*'Assumptions and Sensis'!$F$109*K37</f>
        <v>14620412.811917309</v>
      </c>
      <c r="L40" s="33">
        <f>+L35*'Assumptions and Sensis'!$F$109*L37</f>
        <v>15059025.196274828</v>
      </c>
      <c r="M40" s="33">
        <f>+M35*'Assumptions and Sensis'!$F$109*M37</f>
        <v>15510795.952163074</v>
      </c>
      <c r="N40" s="33">
        <f>+N35*'Assumptions and Sensis'!$F$109*N37</f>
        <v>15976119.830727968</v>
      </c>
      <c r="O40" s="33">
        <f>+O35*'Assumptions and Sensis'!$F$109*O37</f>
        <v>16455403.425649807</v>
      </c>
      <c r="P40" s="33">
        <f>+P35*'Assumptions and Sensis'!$F$109*P37</f>
        <v>16949065.528419301</v>
      </c>
      <c r="Q40" s="33">
        <f>+Q35*'Assumptions and Sensis'!$F$109*Q37</f>
        <v>17457537.494271882</v>
      </c>
      <c r="R40" s="33">
        <f>+R35*'Assumptions and Sensis'!$F$109*R37</f>
        <v>17981263.619100038</v>
      </c>
      <c r="S40" s="33">
        <f>+S35*'Assumptions and Sensis'!$F$109*S37</f>
        <v>18520701.52767304</v>
      </c>
      <c r="T40" s="33">
        <f>+T35*'Assumptions and Sensis'!$F$109*T37</f>
        <v>19076322.573503233</v>
      </c>
      <c r="U40" s="33">
        <f>+U35*'Assumptions and Sensis'!$F$109*U37</f>
        <v>19648612.25070833</v>
      </c>
      <c r="V40" s="33">
        <f>+V35*'Assumptions and Sensis'!$F$109*V37</f>
        <v>20238070.618229583</v>
      </c>
      <c r="W40" s="33">
        <f>+W35*'Assumptions and Sensis'!$F$109*W37</f>
        <v>20845212.736776467</v>
      </c>
      <c r="X40" s="33">
        <f>+X35*'Assumptions and Sensis'!$F$109*X37</f>
        <v>21470569.118879762</v>
      </c>
      <c r="Y40" s="33">
        <f>+Y35*'Assumptions and Sensis'!$F$109*Y37</f>
        <v>22114686.192446157</v>
      </c>
      <c r="Z40" s="33">
        <f>+Z35*'Assumptions and Sensis'!$F$109*Z37</f>
        <v>22778126.778219543</v>
      </c>
    </row>
    <row r="41" spans="2:26" x14ac:dyDescent="0.2">
      <c r="B41" s="32" t="s">
        <v>244</v>
      </c>
      <c r="C41" s="32"/>
      <c r="D41" s="39"/>
      <c r="E41" s="39"/>
      <c r="F41" s="41">
        <f>-F40*'Assumptions and Sensis'!$N$76</f>
        <v>0</v>
      </c>
      <c r="G41" s="41">
        <f>-G40*'Assumptions and Sensis'!$N$76</f>
        <v>0</v>
      </c>
      <c r="H41" s="41">
        <f>-H40*'Assumptions and Sensis'!$N$76</f>
        <v>0</v>
      </c>
      <c r="I41" s="41">
        <f>-I40*'Assumptions and Sensis'!$N$76</f>
        <v>-344528.53265899967</v>
      </c>
      <c r="J41" s="41">
        <f>-J40*'Assumptions and Sensis'!$N$76</f>
        <v>-709728.77727753937</v>
      </c>
      <c r="K41" s="41">
        <f>-K40*'Assumptions and Sensis'!$N$76</f>
        <v>-731020.64059586544</v>
      </c>
      <c r="L41" s="41">
        <f>-L40*'Assumptions and Sensis'!$N$76</f>
        <v>-752951.25981374143</v>
      </c>
      <c r="M41" s="41">
        <f>-M40*'Assumptions and Sensis'!$N$76</f>
        <v>-775539.79760815378</v>
      </c>
      <c r="N41" s="41">
        <f>-N40*'Assumptions and Sensis'!$N$76</f>
        <v>-798805.99153639842</v>
      </c>
      <c r="O41" s="41">
        <f>-O40*'Assumptions and Sensis'!$N$76</f>
        <v>-822770.17128249037</v>
      </c>
      <c r="P41" s="41">
        <f>-P40*'Assumptions and Sensis'!$N$76</f>
        <v>-847453.27642096509</v>
      </c>
      <c r="Q41" s="41">
        <f>-Q40*'Assumptions and Sensis'!$N$76</f>
        <v>-872876.87471359409</v>
      </c>
      <c r="R41" s="41">
        <f>-R40*'Assumptions and Sensis'!$N$76</f>
        <v>-899063.18095500197</v>
      </c>
      <c r="S41" s="41">
        <f>-S40*'Assumptions and Sensis'!$N$76</f>
        <v>-926035.07638365205</v>
      </c>
      <c r="T41" s="41">
        <f>-T40*'Assumptions and Sensis'!$N$76</f>
        <v>-953816.12867516174</v>
      </c>
      <c r="U41" s="41">
        <f>-U40*'Assumptions and Sensis'!$N$76</f>
        <v>-982430.61253541661</v>
      </c>
      <c r="V41" s="41">
        <f>-V40*'Assumptions and Sensis'!$N$76</f>
        <v>-1011903.5309114791</v>
      </c>
      <c r="W41" s="41">
        <f>-W40*'Assumptions and Sensis'!$N$76</f>
        <v>-1042260.6368388234</v>
      </c>
      <c r="X41" s="41">
        <f>-X40*'Assumptions and Sensis'!$N$76</f>
        <v>-1073528.4559439882</v>
      </c>
      <c r="Y41" s="41">
        <f>-Y40*'Assumptions and Sensis'!$N$76</f>
        <v>-1105734.309622308</v>
      </c>
      <c r="Z41" s="41">
        <f>-Z40*'Assumptions and Sensis'!$N$76</f>
        <v>-1138906.3389109771</v>
      </c>
    </row>
    <row r="42" spans="2:26" x14ac:dyDescent="0.2">
      <c r="B42" s="32" t="s">
        <v>344</v>
      </c>
      <c r="C42" s="32"/>
      <c r="D42" s="39"/>
      <c r="E42" s="39"/>
      <c r="F42" s="150">
        <f>+F34*'Assumptions and Sensis'!$F$117*(1-'Assumptions and Sensis'!$N$76)*12</f>
        <v>0</v>
      </c>
      <c r="G42" s="150">
        <f>+G34*'Assumptions and Sensis'!$F$117*(1-'Assumptions and Sensis'!$N$76)*12</f>
        <v>0</v>
      </c>
      <c r="H42" s="150">
        <f>+H34*'Assumptions and Sensis'!$F$117*(1-'Assumptions and Sensis'!$N$76)*12</f>
        <v>0</v>
      </c>
      <c r="I42" s="150">
        <f>+I34*'Assumptions and Sensis'!$F$117*(1-'Assumptions and Sensis'!$N$76)*12</f>
        <v>187580.2006237054</v>
      </c>
      <c r="J42" s="150">
        <f>+J34*'Assumptions and Sensis'!$F$117*(1-'Assumptions and Sensis'!$N$76)*12</f>
        <v>375160.4012474108</v>
      </c>
      <c r="K42" s="150">
        <f>+K34*'Assumptions and Sensis'!$F$117*(1-'Assumptions and Sensis'!$N$76)*12</f>
        <v>375160.4012474108</v>
      </c>
      <c r="L42" s="150">
        <f>+L34*'Assumptions and Sensis'!$F$117*(1-'Assumptions and Sensis'!$N$76)*12</f>
        <v>375160.4012474108</v>
      </c>
      <c r="M42" s="150">
        <f>+M34*'Assumptions and Sensis'!$F$117*(1-'Assumptions and Sensis'!$N$76)*12</f>
        <v>375160.4012474108</v>
      </c>
      <c r="N42" s="150">
        <f>+N34*'Assumptions and Sensis'!$F$117*(1-'Assumptions and Sensis'!$N$76)*12</f>
        <v>375160.4012474108</v>
      </c>
      <c r="O42" s="150">
        <f>+O34*'Assumptions and Sensis'!$F$117*(1-'Assumptions and Sensis'!$N$76)*12</f>
        <v>375160.4012474108</v>
      </c>
      <c r="P42" s="150">
        <f>+P34*'Assumptions and Sensis'!$F$117*(1-'Assumptions and Sensis'!$N$76)*12</f>
        <v>375160.4012474108</v>
      </c>
      <c r="Q42" s="150">
        <f>+Q34*'Assumptions and Sensis'!$F$117*(1-'Assumptions and Sensis'!$N$76)*12</f>
        <v>375160.4012474108</v>
      </c>
      <c r="R42" s="150">
        <f>+R34*'Assumptions and Sensis'!$F$117*(1-'Assumptions and Sensis'!$N$76)*12</f>
        <v>375160.4012474108</v>
      </c>
      <c r="S42" s="150">
        <f>+S34*'Assumptions and Sensis'!$F$117*(1-'Assumptions and Sensis'!$N$76)*12</f>
        <v>375160.4012474108</v>
      </c>
      <c r="T42" s="150">
        <f>+T34*'Assumptions and Sensis'!$F$117*(1-'Assumptions and Sensis'!$N$76)*12</f>
        <v>375160.4012474108</v>
      </c>
      <c r="U42" s="150">
        <f>+U34*'Assumptions and Sensis'!$F$117*(1-'Assumptions and Sensis'!$N$76)*12</f>
        <v>375160.4012474108</v>
      </c>
      <c r="V42" s="150">
        <f>+V34*'Assumptions and Sensis'!$F$117*(1-'Assumptions and Sensis'!$N$76)*12</f>
        <v>375160.4012474108</v>
      </c>
      <c r="W42" s="150">
        <f>+W34*'Assumptions and Sensis'!$F$117*(1-'Assumptions and Sensis'!$N$76)*12</f>
        <v>375160.4012474108</v>
      </c>
      <c r="X42" s="150">
        <f>+X34*'Assumptions and Sensis'!$F$117*(1-'Assumptions and Sensis'!$N$76)*12</f>
        <v>375160.4012474108</v>
      </c>
      <c r="Y42" s="150">
        <f>+Y34*'Assumptions and Sensis'!$F$117*(1-'Assumptions and Sensis'!$N$76)*12</f>
        <v>375160.4012474108</v>
      </c>
      <c r="Z42" s="150">
        <f>+Z34*'Assumptions and Sensis'!$F$117*(1-'Assumptions and Sensis'!$N$76)*12</f>
        <v>375160.4012474108</v>
      </c>
    </row>
    <row r="43" spans="2:26" x14ac:dyDescent="0.2">
      <c r="B43" s="136" t="s">
        <v>253</v>
      </c>
      <c r="C43" s="136"/>
      <c r="D43" s="136"/>
      <c r="E43" s="136"/>
      <c r="F43" s="128">
        <f t="shared" ref="F43:Z43" si="52">+SUM(F40:F42)</f>
        <v>0</v>
      </c>
      <c r="G43" s="128">
        <f t="shared" si="52"/>
        <v>0</v>
      </c>
      <c r="H43" s="128">
        <f t="shared" si="52"/>
        <v>0</v>
      </c>
      <c r="I43" s="128">
        <f t="shared" si="52"/>
        <v>6733622.3211446982</v>
      </c>
      <c r="J43" s="128">
        <f t="shared" si="52"/>
        <v>13860007.169520658</v>
      </c>
      <c r="K43" s="128">
        <f t="shared" si="52"/>
        <v>14264552.572568854</v>
      </c>
      <c r="L43" s="128">
        <f t="shared" si="52"/>
        <v>14681234.337708497</v>
      </c>
      <c r="M43" s="128">
        <f t="shared" si="52"/>
        <v>15110416.55580233</v>
      </c>
      <c r="N43" s="128">
        <f t="shared" si="52"/>
        <v>15552474.240438981</v>
      </c>
      <c r="O43" s="128">
        <f t="shared" si="52"/>
        <v>16007793.655614726</v>
      </c>
      <c r="P43" s="128">
        <f t="shared" si="52"/>
        <v>16476772.653245745</v>
      </c>
      <c r="Q43" s="128">
        <f t="shared" si="52"/>
        <v>16959821.020805698</v>
      </c>
      <c r="R43" s="128">
        <f t="shared" si="52"/>
        <v>17457360.83939245</v>
      </c>
      <c r="S43" s="128">
        <f t="shared" si="52"/>
        <v>17969826.852536801</v>
      </c>
      <c r="T43" s="128">
        <f t="shared" si="52"/>
        <v>18497666.846075483</v>
      </c>
      <c r="U43" s="128">
        <f t="shared" si="52"/>
        <v>19041342.039420325</v>
      </c>
      <c r="V43" s="128">
        <f t="shared" si="52"/>
        <v>19601327.488565516</v>
      </c>
      <c r="W43" s="128">
        <f t="shared" si="52"/>
        <v>20178112.501185056</v>
      </c>
      <c r="X43" s="128">
        <f t="shared" si="52"/>
        <v>20772201.064183187</v>
      </c>
      <c r="Y43" s="128">
        <f t="shared" si="52"/>
        <v>21384112.284071263</v>
      </c>
      <c r="Z43" s="128">
        <f t="shared" si="52"/>
        <v>22014380.840555977</v>
      </c>
    </row>
    <row r="45" spans="2:26" x14ac:dyDescent="0.2">
      <c r="B45" s="32" t="s">
        <v>389</v>
      </c>
      <c r="F45" s="33">
        <f>+F34*'Assumptions and Sensis'!$N$118*F38</f>
        <v>0</v>
      </c>
      <c r="G45" s="33">
        <f>+G34*'Assumptions and Sensis'!$N$118*G38</f>
        <v>0</v>
      </c>
      <c r="H45" s="33">
        <f>+H34*'Assumptions and Sensis'!$N$118*H38</f>
        <v>0</v>
      </c>
      <c r="I45" s="33">
        <f>+I34*'Assumptions and Sensis'!$N$118*I38</f>
        <v>1961473.2046597104</v>
      </c>
      <c r="J45" s="33">
        <f>+J34*'Assumptions and Sensis'!$N$118*J38</f>
        <v>4040634.8015990043</v>
      </c>
      <c r="K45" s="33">
        <f>+K34*'Assumptions and Sensis'!$N$118*K38</f>
        <v>4161853.8456469742</v>
      </c>
      <c r="L45" s="33">
        <f>+L34*'Assumptions and Sensis'!$N$118*L38</f>
        <v>4286709.461016383</v>
      </c>
      <c r="M45" s="33">
        <f>+M34*'Assumptions and Sensis'!$N$118*M38</f>
        <v>4415310.7448468748</v>
      </c>
      <c r="N45" s="33">
        <f>+N34*'Assumptions and Sensis'!$N$118*N38</f>
        <v>4547770.0671922816</v>
      </c>
      <c r="O45" s="33">
        <f>+O34*'Assumptions and Sensis'!$N$118*O38</f>
        <v>4684203.1692080498</v>
      </c>
      <c r="P45" s="33">
        <f>+P34*'Assumptions and Sensis'!$N$118*P38</f>
        <v>4824729.2642842913</v>
      </c>
      <c r="Q45" s="33">
        <f>+Q34*'Assumptions and Sensis'!$N$118*Q38</f>
        <v>4969471.1422128202</v>
      </c>
      <c r="R45" s="33">
        <f>+R34*'Assumptions and Sensis'!$N$118*R38</f>
        <v>5118555.2764792051</v>
      </c>
      <c r="S45" s="33">
        <f>+S34*'Assumptions and Sensis'!$N$118*S38</f>
        <v>5272111.934773582</v>
      </c>
      <c r="T45" s="33">
        <f>+T34*'Assumptions and Sensis'!$N$118*T38</f>
        <v>5430275.2928167898</v>
      </c>
      <c r="U45" s="33">
        <f>+U34*'Assumptions and Sensis'!$N$118*U38</f>
        <v>5593183.5516012935</v>
      </c>
      <c r="V45" s="33">
        <f>+V34*'Assumptions and Sensis'!$N$118*V38</f>
        <v>5760979.0581493331</v>
      </c>
      <c r="W45" s="33">
        <f>+W34*'Assumptions and Sensis'!$N$118*W38</f>
        <v>5933808.4298938131</v>
      </c>
      <c r="X45" s="33">
        <f>+X34*'Assumptions and Sensis'!$N$118*X38</f>
        <v>6111822.6827906268</v>
      </c>
      <c r="Y45" s="33">
        <f>+Y34*'Assumptions and Sensis'!$N$118*Y38</f>
        <v>6295177.3632743461</v>
      </c>
      <c r="Z45" s="33">
        <f>+Z34*'Assumptions and Sensis'!$N$118*Z38</f>
        <v>6484032.6841725772</v>
      </c>
    </row>
    <row r="46" spans="2:26" x14ac:dyDescent="0.2">
      <c r="B46" s="32" t="s">
        <v>325</v>
      </c>
      <c r="F46" s="150">
        <f ca="1">+IFERROR(INDEX('Taxes and TIF'!$M$11:$M$45,MATCH('Phase I Pro Forma'!F$7,'Taxes and TIF'!$B$11:$B$45,0)),0)*'Loan Sizing'!$I$18*F35</f>
        <v>0</v>
      </c>
      <c r="G46" s="150">
        <f ca="1">+IFERROR(INDEX('Taxes and TIF'!$M$11:$M$45,MATCH('Phase I Pro Forma'!G$7,'Taxes and TIF'!$B$11:$B$45,0)),0)*'Loan Sizing'!$I$18*G35</f>
        <v>0</v>
      </c>
      <c r="H46" s="150">
        <f ca="1">+IFERROR(INDEX('Taxes and TIF'!$M$11:$M$45,MATCH('Phase I Pro Forma'!H$7,'Taxes and TIF'!$B$11:$B$45,0)),0)*'Loan Sizing'!$I$18*H35</f>
        <v>0</v>
      </c>
      <c r="I46" s="150">
        <f ca="1">+IFERROR(INDEX('Taxes and TIF'!$M$11:$M$45,MATCH('Phase I Pro Forma'!I$7,'Taxes and TIF'!$B$11:$B$45,0)),0)*'Loan Sizing'!$I$18*I35</f>
        <v>1318106.6455431797</v>
      </c>
      <c r="J46" s="150">
        <f ca="1">+IFERROR(INDEX('Taxes and TIF'!$M$11:$M$45,MATCH('Phase I Pro Forma'!J$7,'Taxes and TIF'!$B$11:$B$45,0)),0)*'Loan Sizing'!$I$18*J35</f>
        <v>2688937.5569080869</v>
      </c>
      <c r="K46" s="150">
        <f ca="1">+IFERROR(INDEX('Taxes and TIF'!$M$11:$M$45,MATCH('Phase I Pro Forma'!K$7,'Taxes and TIF'!$B$11:$B$45,0)),0)*'Loan Sizing'!$I$18*K35</f>
        <v>2688937.5569080869</v>
      </c>
      <c r="L46" s="150">
        <f ca="1">+IFERROR(INDEX('Taxes and TIF'!$M$11:$M$45,MATCH('Phase I Pro Forma'!L$7,'Taxes and TIF'!$B$11:$B$45,0)),0)*'Loan Sizing'!$I$18*L35</f>
        <v>2688937.5569080869</v>
      </c>
      <c r="M46" s="150">
        <f ca="1">+IFERROR(INDEX('Taxes and TIF'!$M$11:$M$45,MATCH('Phase I Pro Forma'!M$7,'Taxes and TIF'!$B$11:$B$45,0)),0)*'Loan Sizing'!$I$18*M35</f>
        <v>2742716.3080462487</v>
      </c>
      <c r="N46" s="150">
        <f ca="1">+IFERROR(INDEX('Taxes and TIF'!$M$11:$M$45,MATCH('Phase I Pro Forma'!N$7,'Taxes and TIF'!$B$11:$B$45,0)),0)*'Loan Sizing'!$I$18*N35</f>
        <v>2742716.3080462487</v>
      </c>
      <c r="O46" s="150">
        <f ca="1">+IFERROR(INDEX('Taxes and TIF'!$M$11:$M$45,MATCH('Phase I Pro Forma'!O$7,'Taxes and TIF'!$B$11:$B$45,0)),0)*'Loan Sizing'!$I$18*O35</f>
        <v>2742716.3080462487</v>
      </c>
      <c r="P46" s="150">
        <f ca="1">+IFERROR(INDEX('Taxes and TIF'!$M$11:$M$45,MATCH('Phase I Pro Forma'!P$7,'Taxes and TIF'!$B$11:$B$45,0)),0)*'Loan Sizing'!$I$18*P35</f>
        <v>2797570.6342071737</v>
      </c>
      <c r="Q46" s="150">
        <f ca="1">+IFERROR(INDEX('Taxes and TIF'!$M$11:$M$45,MATCH('Phase I Pro Forma'!Q$7,'Taxes and TIF'!$B$11:$B$45,0)),0)*'Loan Sizing'!$I$18*Q35</f>
        <v>2797570.6342071737</v>
      </c>
      <c r="R46" s="150">
        <f ca="1">+IFERROR(INDEX('Taxes and TIF'!$M$11:$M$45,MATCH('Phase I Pro Forma'!R$7,'Taxes and TIF'!$B$11:$B$45,0)),0)*'Loan Sizing'!$I$18*R35</f>
        <v>2797570.6342071737</v>
      </c>
      <c r="S46" s="150">
        <f ca="1">+IFERROR(INDEX('Taxes and TIF'!$M$11:$M$45,MATCH('Phase I Pro Forma'!S$7,'Taxes and TIF'!$B$11:$B$45,0)),0)*'Loan Sizing'!$I$18*S35</f>
        <v>2853522.0468913177</v>
      </c>
      <c r="T46" s="150">
        <f ca="1">+IFERROR(INDEX('Taxes and TIF'!$M$11:$M$45,MATCH('Phase I Pro Forma'!T$7,'Taxes and TIF'!$B$11:$B$45,0)),0)*'Loan Sizing'!$I$18*T35</f>
        <v>2853522.0468913177</v>
      </c>
      <c r="U46" s="150">
        <f ca="1">+IFERROR(INDEX('Taxes and TIF'!$M$11:$M$45,MATCH('Phase I Pro Forma'!U$7,'Taxes and TIF'!$B$11:$B$45,0)),0)*'Loan Sizing'!$I$18*U35</f>
        <v>2853522.0468913177</v>
      </c>
      <c r="V46" s="150">
        <f ca="1">+IFERROR(INDEX('Taxes and TIF'!$M$11:$M$45,MATCH('Phase I Pro Forma'!V$7,'Taxes and TIF'!$B$11:$B$45,0)),0)*'Loan Sizing'!$I$18*V35</f>
        <v>2910592.4878291441</v>
      </c>
      <c r="W46" s="150">
        <f ca="1">+IFERROR(INDEX('Taxes and TIF'!$M$11:$M$45,MATCH('Phase I Pro Forma'!W$7,'Taxes and TIF'!$B$11:$B$45,0)),0)*'Loan Sizing'!$I$18*W35</f>
        <v>2910592.4878291441</v>
      </c>
      <c r="X46" s="150">
        <f ca="1">+IFERROR(INDEX('Taxes and TIF'!$M$11:$M$45,MATCH('Phase I Pro Forma'!X$7,'Taxes and TIF'!$B$11:$B$45,0)),0)*'Loan Sizing'!$I$18*X35</f>
        <v>2910592.4878291441</v>
      </c>
      <c r="Y46" s="150">
        <f ca="1">+IFERROR(INDEX('Taxes and TIF'!$M$11:$M$45,MATCH('Phase I Pro Forma'!Y$7,'Taxes and TIF'!$B$11:$B$45,0)),0)*'Loan Sizing'!$I$18*Y35</f>
        <v>2968804.3375857263</v>
      </c>
      <c r="Z46" s="150">
        <f ca="1">+IFERROR(INDEX('Taxes and TIF'!$M$11:$M$45,MATCH('Phase I Pro Forma'!Z$7,'Taxes and TIF'!$B$11:$B$45,0)),0)*'Loan Sizing'!$I$18*Z35</f>
        <v>2968804.3375857263</v>
      </c>
    </row>
    <row r="47" spans="2:26" x14ac:dyDescent="0.2">
      <c r="B47" s="136" t="s">
        <v>249</v>
      </c>
      <c r="C47" s="136"/>
      <c r="D47" s="136"/>
      <c r="E47" s="136"/>
      <c r="F47" s="128">
        <f ca="1">+SUM(F45:F46)</f>
        <v>0</v>
      </c>
      <c r="G47" s="128">
        <f t="shared" ref="G47" ca="1" si="53">+SUM(G45:G46)</f>
        <v>0</v>
      </c>
      <c r="H47" s="128">
        <f t="shared" ref="H47" ca="1" si="54">+SUM(H45:H46)</f>
        <v>0</v>
      </c>
      <c r="I47" s="128">
        <f t="shared" ref="I47" ca="1" si="55">+SUM(I45:I46)</f>
        <v>3279579.8502028901</v>
      </c>
      <c r="J47" s="128">
        <f t="shared" ref="J47" ca="1" si="56">+SUM(J45:J46)</f>
        <v>6729572.3585070912</v>
      </c>
      <c r="K47" s="128">
        <f t="shared" ref="K47" ca="1" si="57">+SUM(K45:K46)</f>
        <v>6850791.4025550615</v>
      </c>
      <c r="L47" s="128">
        <f t="shared" ref="L47" ca="1" si="58">+SUM(L45:L46)</f>
        <v>6975647.0179244699</v>
      </c>
      <c r="M47" s="128">
        <f t="shared" ref="M47" ca="1" si="59">+SUM(M45:M46)</f>
        <v>7158027.0528931236</v>
      </c>
      <c r="N47" s="128">
        <f t="shared" ref="N47" ca="1" si="60">+SUM(N45:N46)</f>
        <v>7290486.3752385303</v>
      </c>
      <c r="O47" s="128">
        <f t="shared" ref="O47" ca="1" si="61">+SUM(O45:O46)</f>
        <v>7426919.4772542985</v>
      </c>
      <c r="P47" s="128">
        <f t="shared" ref="P47" ca="1" si="62">+SUM(P45:P46)</f>
        <v>7622299.8984914646</v>
      </c>
      <c r="Q47" s="128">
        <f t="shared" ref="Q47" ca="1" si="63">+SUM(Q45:Q46)</f>
        <v>7767041.7764199935</v>
      </c>
      <c r="R47" s="128">
        <f t="shared" ref="R47" ca="1" si="64">+SUM(R45:R46)</f>
        <v>7916125.9106863793</v>
      </c>
      <c r="S47" s="128">
        <f t="shared" ref="S47" ca="1" si="65">+SUM(S45:S46)</f>
        <v>8125633.9816648997</v>
      </c>
      <c r="T47" s="128">
        <f t="shared" ref="T47" ca="1" si="66">+SUM(T45:T46)</f>
        <v>8283797.3397081075</v>
      </c>
      <c r="U47" s="128">
        <f t="shared" ref="U47" ca="1" si="67">+SUM(U45:U46)</f>
        <v>8446705.5984926112</v>
      </c>
      <c r="V47" s="128">
        <f t="shared" ref="V47" ca="1" si="68">+SUM(V45:V46)</f>
        <v>8671571.5459784772</v>
      </c>
      <c r="W47" s="128">
        <f t="shared" ref="W47" ca="1" si="69">+SUM(W45:W46)</f>
        <v>8844400.9177229572</v>
      </c>
      <c r="X47" s="128">
        <f t="shared" ref="X47" ca="1" si="70">+SUM(X45:X46)</f>
        <v>9022415.1706197709</v>
      </c>
      <c r="Y47" s="128">
        <f t="shared" ref="Y47" ca="1" si="71">+SUM(Y45:Y46)</f>
        <v>9263981.7008600719</v>
      </c>
      <c r="Z47" s="128">
        <f t="shared" ref="Z47" ca="1" si="72">+SUM(Z45:Z46)</f>
        <v>9452837.021758303</v>
      </c>
    </row>
    <row r="48" spans="2:26" x14ac:dyDescent="0.2">
      <c r="B48" s="32"/>
    </row>
    <row r="49" spans="1:26" x14ac:dyDescent="0.2">
      <c r="A49" s="107"/>
      <c r="B49" s="137" t="s">
        <v>248</v>
      </c>
      <c r="C49" s="137"/>
      <c r="D49" s="137"/>
      <c r="E49" s="137"/>
      <c r="F49" s="138">
        <f ca="1">+F43-F47</f>
        <v>0</v>
      </c>
      <c r="G49" s="138">
        <f t="shared" ref="G49:Z49" ca="1" si="73">+G43-G47</f>
        <v>0</v>
      </c>
      <c r="H49" s="138">
        <f t="shared" ca="1" si="73"/>
        <v>0</v>
      </c>
      <c r="I49" s="138">
        <f t="shared" ca="1" si="73"/>
        <v>3454042.4709418081</v>
      </c>
      <c r="J49" s="138">
        <f t="shared" ca="1" si="73"/>
        <v>7130434.8110135663</v>
      </c>
      <c r="K49" s="138">
        <f t="shared" ca="1" si="73"/>
        <v>7413761.1700137928</v>
      </c>
      <c r="L49" s="138">
        <f t="shared" ca="1" si="73"/>
        <v>7705587.3197840275</v>
      </c>
      <c r="M49" s="138">
        <f t="shared" ca="1" si="73"/>
        <v>7952389.5029092068</v>
      </c>
      <c r="N49" s="138">
        <f t="shared" ca="1" si="73"/>
        <v>8261987.8652004506</v>
      </c>
      <c r="O49" s="138">
        <f t="shared" ca="1" si="73"/>
        <v>8580874.1783604287</v>
      </c>
      <c r="P49" s="138">
        <f t="shared" ca="1" si="73"/>
        <v>8854472.7547542807</v>
      </c>
      <c r="Q49" s="138">
        <f t="shared" ca="1" si="73"/>
        <v>9192779.2443857044</v>
      </c>
      <c r="R49" s="138">
        <f t="shared" ca="1" si="73"/>
        <v>9541234.9287060704</v>
      </c>
      <c r="S49" s="138">
        <f t="shared" ca="1" si="73"/>
        <v>9844192.8708719015</v>
      </c>
      <c r="T49" s="138">
        <f t="shared" ca="1" si="73"/>
        <v>10213869.506367374</v>
      </c>
      <c r="U49" s="138">
        <f t="shared" ca="1" si="73"/>
        <v>10594636.440927714</v>
      </c>
      <c r="V49" s="138">
        <f t="shared" ca="1" si="73"/>
        <v>10929755.942587039</v>
      </c>
      <c r="W49" s="138">
        <f t="shared" ca="1" si="73"/>
        <v>11333711.583462099</v>
      </c>
      <c r="X49" s="138">
        <f t="shared" ca="1" si="73"/>
        <v>11749785.893563416</v>
      </c>
      <c r="Y49" s="138">
        <f t="shared" ca="1" si="73"/>
        <v>12120130.583211191</v>
      </c>
      <c r="Z49" s="138">
        <f t="shared" ca="1" si="73"/>
        <v>12561543.818797674</v>
      </c>
    </row>
    <row r="50" spans="1:26" x14ac:dyDescent="0.2">
      <c r="B50" s="142" t="s">
        <v>254</v>
      </c>
      <c r="C50" s="140"/>
      <c r="D50" s="140"/>
      <c r="E50" s="140"/>
      <c r="F50" s="143" t="str">
        <f ca="1">+IFERROR(F49/F43,"")</f>
        <v/>
      </c>
      <c r="G50" s="143" t="str">
        <f t="shared" ref="G50" ca="1" si="74">+IFERROR(G49/G43,"")</f>
        <v/>
      </c>
      <c r="H50" s="143" t="str">
        <f t="shared" ref="H50" ca="1" si="75">+IFERROR(H49/H43,"")</f>
        <v/>
      </c>
      <c r="I50" s="144">
        <f t="shared" ref="I50" ca="1" si="76">+IFERROR(I49/I43,"")</f>
        <v>0.51295458910659986</v>
      </c>
      <c r="J50" s="144">
        <f t="shared" ref="J50" ca="1" si="77">+IFERROR(J49/J43,"")</f>
        <v>0.51446111995482968</v>
      </c>
      <c r="K50" s="144">
        <f t="shared" ref="K50" ca="1" si="78">+IFERROR(K49/K43,"")</f>
        <v>0.51973317300331379</v>
      </c>
      <c r="L50" s="144">
        <f t="shared" ref="L50" ca="1" si="79">+IFERROR(L49/L43,"")</f>
        <v>0.52485963663098545</v>
      </c>
      <c r="M50" s="144">
        <f t="shared" ref="M50" ca="1" si="80">+IFERROR(M49/M43,"")</f>
        <v>0.52628525981009611</v>
      </c>
      <c r="N50" s="144">
        <f t="shared" ref="N50" ca="1" si="81">+IFERROR(N49/N43,"")</f>
        <v>0.53123302038449471</v>
      </c>
      <c r="O50" s="144">
        <f t="shared" ref="O50" ca="1" si="82">+IFERROR(O49/O43,"")</f>
        <v>0.53604352748204565</v>
      </c>
      <c r="P50" s="144">
        <f t="shared" ref="P50" ca="1" si="83">+IFERROR(P49/P43,"")</f>
        <v>0.53739120767743587</v>
      </c>
      <c r="Q50" s="144">
        <f t="shared" ref="Q50" ca="1" si="84">+IFERROR(Q49/Q43,"")</f>
        <v>0.54203279817094374</v>
      </c>
      <c r="R50" s="144">
        <f t="shared" ref="R50" ca="1" si="85">+IFERROR(R49/R43,"")</f>
        <v>0.54654509444384747</v>
      </c>
      <c r="S50" s="144">
        <f t="shared" ref="S50" ca="1" si="86">+IFERROR(S49/S43,"")</f>
        <v>0.54781790340301451</v>
      </c>
      <c r="T50" s="144">
        <f t="shared" ref="T50" ca="1" si="87">+IFERROR(T49/T43,"")</f>
        <v>0.55217069219377668</v>
      </c>
      <c r="U50" s="144">
        <f t="shared" ref="U50" ca="1" si="88">+IFERROR(U49/U43,"")</f>
        <v>0.55640177141895641</v>
      </c>
      <c r="V50" s="144">
        <f t="shared" ref="V50" ca="1" si="89">+IFERROR(V49/V43,"")</f>
        <v>0.55760284342797395</v>
      </c>
      <c r="W50" s="144">
        <f t="shared" ref="W50" ca="1" si="90">+IFERROR(W49/W43,"")</f>
        <v>0.56168343708047386</v>
      </c>
      <c r="X50" s="144">
        <f t="shared" ref="X50" ca="1" si="91">+IFERROR(X49/X43,"")</f>
        <v>0.56564953599564272</v>
      </c>
      <c r="Y50" s="144">
        <f t="shared" ref="Y50" ca="1" si="92">+IFERROR(Y49/Y43,"")</f>
        <v>0.56678203061248011</v>
      </c>
      <c r="Z50" s="144">
        <f t="shared" ref="Z50" ca="1" si="93">+IFERROR(Z49/Z43,"")</f>
        <v>0.57060627367980199</v>
      </c>
    </row>
    <row r="51" spans="1:26" x14ac:dyDescent="0.2">
      <c r="B51" s="142" t="s">
        <v>188</v>
      </c>
      <c r="C51" s="140"/>
      <c r="D51" s="140"/>
      <c r="E51" s="140"/>
      <c r="F51" s="141">
        <f ca="1">+F49/'Assumptions and Sensis'!$N$154</f>
        <v>0</v>
      </c>
      <c r="G51" s="141">
        <f ca="1">+G49/'Assumptions and Sensis'!$N$154</f>
        <v>0</v>
      </c>
      <c r="H51" s="141">
        <f ca="1">+H49/'Assumptions and Sensis'!$N$154</f>
        <v>0</v>
      </c>
      <c r="I51" s="141">
        <f ca="1">+I49/'Assumptions and Sensis'!$N$154</f>
        <v>62800772.198941968</v>
      </c>
      <c r="J51" s="141">
        <f ca="1">+J49/'Assumptions and Sensis'!$N$154</f>
        <v>129644269.29115576</v>
      </c>
      <c r="K51" s="141">
        <f ca="1">+K49/'Assumptions and Sensis'!$N$154</f>
        <v>134795657.63661441</v>
      </c>
      <c r="L51" s="141">
        <f ca="1">+L49/'Assumptions and Sensis'!$N$154</f>
        <v>140101587.63243687</v>
      </c>
      <c r="M51" s="141">
        <f ca="1">+M49/'Assumptions and Sensis'!$N$154</f>
        <v>144588900.05289468</v>
      </c>
      <c r="N51" s="141">
        <f ca="1">+N49/'Assumptions and Sensis'!$N$154</f>
        <v>150217961.18546274</v>
      </c>
      <c r="O51" s="141">
        <f ca="1">+O49/'Assumptions and Sensis'!$N$154</f>
        <v>156015894.15200779</v>
      </c>
      <c r="P51" s="141">
        <f ca="1">+P49/'Assumptions and Sensis'!$N$154</f>
        <v>160990413.72280511</v>
      </c>
      <c r="Q51" s="141">
        <f ca="1">+Q49/'Assumptions and Sensis'!$N$154</f>
        <v>167141440.8070128</v>
      </c>
      <c r="R51" s="141">
        <f ca="1">+R49/'Assumptions and Sensis'!$N$154</f>
        <v>173476998.70374674</v>
      </c>
      <c r="S51" s="141">
        <f ca="1">+S49/'Assumptions and Sensis'!$N$154</f>
        <v>178985324.92494366</v>
      </c>
      <c r="T51" s="141">
        <f ca="1">+T49/'Assumptions and Sensis'!$N$154</f>
        <v>185706718.29758862</v>
      </c>
      <c r="U51" s="141">
        <f ca="1">+U49/'Assumptions and Sensis'!$N$154</f>
        <v>192629753.47141299</v>
      </c>
      <c r="V51" s="141">
        <f ca="1">+V49/'Assumptions and Sensis'!$N$154</f>
        <v>198722835.31976435</v>
      </c>
      <c r="W51" s="141">
        <f ca="1">+W49/'Assumptions and Sensis'!$N$154</f>
        <v>206067483.33567452</v>
      </c>
      <c r="X51" s="141">
        <f ca="1">+X49/'Assumptions and Sensis'!$N$154</f>
        <v>213632470.7920621</v>
      </c>
      <c r="Y51" s="141">
        <f ca="1">+Y49/'Assumptions and Sensis'!$N$154</f>
        <v>220366010.60383984</v>
      </c>
      <c r="Z51" s="141">
        <f ca="1">+Z49/'Assumptions and Sensis'!$N$154</f>
        <v>228391705.79632133</v>
      </c>
    </row>
    <row r="53" spans="1:26" x14ac:dyDescent="0.2">
      <c r="B53" s="147" t="s">
        <v>25</v>
      </c>
      <c r="C53" s="148"/>
      <c r="D53" s="148"/>
      <c r="E53" s="148"/>
      <c r="F53" s="149">
        <f>+'Assumptions and Sensis'!$F$43</f>
        <v>44196</v>
      </c>
      <c r="G53" s="149">
        <f>+EOMONTH(F53,12)</f>
        <v>44561</v>
      </c>
      <c r="H53" s="149">
        <f t="shared" ref="H53:Z53" si="94">+EOMONTH(G53,12)</f>
        <v>44926</v>
      </c>
      <c r="I53" s="149">
        <f t="shared" si="94"/>
        <v>45291</v>
      </c>
      <c r="J53" s="149">
        <f t="shared" si="94"/>
        <v>45657</v>
      </c>
      <c r="K53" s="149">
        <f t="shared" si="94"/>
        <v>46022</v>
      </c>
      <c r="L53" s="149">
        <f t="shared" si="94"/>
        <v>46387</v>
      </c>
      <c r="M53" s="149">
        <f t="shared" si="94"/>
        <v>46752</v>
      </c>
      <c r="N53" s="149">
        <f t="shared" si="94"/>
        <v>47118</v>
      </c>
      <c r="O53" s="149">
        <f t="shared" si="94"/>
        <v>47483</v>
      </c>
      <c r="P53" s="149">
        <f t="shared" si="94"/>
        <v>47848</v>
      </c>
      <c r="Q53" s="149">
        <f t="shared" si="94"/>
        <v>48213</v>
      </c>
      <c r="R53" s="149">
        <f t="shared" si="94"/>
        <v>48579</v>
      </c>
      <c r="S53" s="149">
        <f t="shared" si="94"/>
        <v>48944</v>
      </c>
      <c r="T53" s="149">
        <f t="shared" si="94"/>
        <v>49309</v>
      </c>
      <c r="U53" s="149">
        <f t="shared" si="94"/>
        <v>49674</v>
      </c>
      <c r="V53" s="149">
        <f t="shared" si="94"/>
        <v>50040</v>
      </c>
      <c r="W53" s="149">
        <f t="shared" si="94"/>
        <v>50405</v>
      </c>
      <c r="X53" s="149">
        <f t="shared" si="94"/>
        <v>50770</v>
      </c>
      <c r="Y53" s="149">
        <f t="shared" si="94"/>
        <v>51135</v>
      </c>
      <c r="Z53" s="149">
        <f t="shared" si="94"/>
        <v>51501</v>
      </c>
    </row>
    <row r="54" spans="1:26" x14ac:dyDescent="0.2">
      <c r="B54" s="32" t="s">
        <v>756</v>
      </c>
      <c r="C54" s="32"/>
      <c r="D54" s="39"/>
      <c r="E54" s="39"/>
      <c r="F54" s="41">
        <f>+IF(AND(F53&gt;='Assumptions and Sensis'!$F$47,F53&lt;'Assumptions and Sensis'!$F$49),'Assumptions and Sensis'!$F$167/ROUNDUP(('Assumptions and Sensis'!$F$48/12),0),0)</f>
        <v>0</v>
      </c>
      <c r="G54" s="41">
        <f>+IF(AND(G53&gt;='Assumptions and Sensis'!$F$47,G53&lt;'Assumptions and Sensis'!$F$49),'Assumptions and Sensis'!$F$167/ROUNDUP(('Assumptions and Sensis'!$F$48/12),0),0)</f>
        <v>0</v>
      </c>
      <c r="H54" s="41">
        <f>+IF(AND(H53&gt;='Assumptions and Sensis'!$F$47,H53&lt;'Assumptions and Sensis'!$F$49),'Assumptions and Sensis'!$F$167/ROUNDUP(('Assumptions and Sensis'!$F$48/12),0),0)</f>
        <v>0</v>
      </c>
      <c r="I54" s="41">
        <f>+IF(AND(I53&gt;='Assumptions and Sensis'!$F$47,I53&lt;'Assumptions and Sensis'!$F$49),'Assumptions and Sensis'!$F$167/ROUNDUP(('Assumptions and Sensis'!$F$48/12),0),0)</f>
        <v>107100</v>
      </c>
      <c r="J54" s="41">
        <f>+IF(AND(J53&gt;='Assumptions and Sensis'!$F$47,J53&lt;'Assumptions and Sensis'!$F$49),'Assumptions and Sensis'!$F$167/ROUNDUP(('Assumptions and Sensis'!$F$48/12),0),0)</f>
        <v>107100</v>
      </c>
      <c r="K54" s="41">
        <f>+IF(AND(K53&gt;='Assumptions and Sensis'!$F$47,K53&lt;'Assumptions and Sensis'!$F$49),'Assumptions and Sensis'!$F$167/ROUNDUP(('Assumptions and Sensis'!$F$48/12),0),0)</f>
        <v>0</v>
      </c>
      <c r="L54" s="41">
        <f>+IF(AND(L53&gt;='Assumptions and Sensis'!$F$47,L53&lt;'Assumptions and Sensis'!$F$49),'Assumptions and Sensis'!$F$167/ROUNDUP(('Assumptions and Sensis'!$F$48/12),0),0)</f>
        <v>0</v>
      </c>
      <c r="M54" s="41">
        <f>+IF(AND(M53&gt;='Assumptions and Sensis'!$F$47,M53&lt;'Assumptions and Sensis'!$F$49),'Assumptions and Sensis'!$F$167/ROUNDUP(('Assumptions and Sensis'!$F$48/12),0),0)</f>
        <v>0</v>
      </c>
      <c r="N54" s="41">
        <f>+IF(AND(N53&gt;='Assumptions and Sensis'!$F$47,N53&lt;'Assumptions and Sensis'!$F$49),'Assumptions and Sensis'!$F$167/ROUNDUP(('Assumptions and Sensis'!$F$48/12),0),0)</f>
        <v>0</v>
      </c>
      <c r="O54" s="41">
        <f>+IF(AND(O53&gt;='Assumptions and Sensis'!$F$47,O53&lt;'Assumptions and Sensis'!$F$49),'Assumptions and Sensis'!$F$167/ROUNDUP(('Assumptions and Sensis'!$F$48/12),0),0)</f>
        <v>0</v>
      </c>
      <c r="P54" s="41">
        <f>+IF(AND(P53&gt;='Assumptions and Sensis'!$F$47,P53&lt;'Assumptions and Sensis'!$F$49),'Assumptions and Sensis'!$F$167/ROUNDUP(('Assumptions and Sensis'!$F$48/12),0),0)</f>
        <v>0</v>
      </c>
      <c r="Q54" s="41">
        <f>+IF(AND(Q53&gt;='Assumptions and Sensis'!$F$47,Q53&lt;'Assumptions and Sensis'!$F$49),'Assumptions and Sensis'!$F$167/ROUNDUP(('Assumptions and Sensis'!$F$48/12),0),0)</f>
        <v>0</v>
      </c>
      <c r="R54" s="41">
        <f>+IF(AND(R53&gt;='Assumptions and Sensis'!$F$47,R53&lt;'Assumptions and Sensis'!$F$49),'Assumptions and Sensis'!$F$167/ROUNDUP(('Assumptions and Sensis'!$F$48/12),0),0)</f>
        <v>0</v>
      </c>
      <c r="S54" s="41">
        <f>+IF(AND(S53&gt;='Assumptions and Sensis'!$F$47,S53&lt;'Assumptions and Sensis'!$F$49),'Assumptions and Sensis'!$F$167/ROUNDUP(('Assumptions and Sensis'!$F$48/12),0),0)</f>
        <v>0</v>
      </c>
      <c r="T54" s="41">
        <f>+IF(AND(T53&gt;='Assumptions and Sensis'!$F$47,T53&lt;'Assumptions and Sensis'!$F$49),'Assumptions and Sensis'!$F$167/ROUNDUP(('Assumptions and Sensis'!$F$48/12),0),0)</f>
        <v>0</v>
      </c>
      <c r="U54" s="41">
        <f>+IF(AND(U53&gt;='Assumptions and Sensis'!$F$47,U53&lt;'Assumptions and Sensis'!$F$49),'Assumptions and Sensis'!$F$167/ROUNDUP(('Assumptions and Sensis'!$F$48/12),0),0)</f>
        <v>0</v>
      </c>
      <c r="V54" s="41">
        <f>+IF(AND(V53&gt;='Assumptions and Sensis'!$F$47,V53&lt;'Assumptions and Sensis'!$F$49),'Assumptions and Sensis'!$F$167/ROUNDUP(('Assumptions and Sensis'!$F$48/12),0),0)</f>
        <v>0</v>
      </c>
      <c r="W54" s="41">
        <f>+IF(AND(W53&gt;='Assumptions and Sensis'!$F$47,W53&lt;'Assumptions and Sensis'!$F$49),'Assumptions and Sensis'!$F$167/ROUNDUP(('Assumptions and Sensis'!$F$48/12),0),0)</f>
        <v>0</v>
      </c>
      <c r="X54" s="41">
        <f>+IF(AND(X53&gt;='Assumptions and Sensis'!$F$47,X53&lt;'Assumptions and Sensis'!$F$49),'Assumptions and Sensis'!$F$167/ROUNDUP(('Assumptions and Sensis'!$F$48/12),0),0)</f>
        <v>0</v>
      </c>
      <c r="Y54" s="41">
        <f>+IF(AND(Y53&gt;='Assumptions and Sensis'!$F$47,Y53&lt;'Assumptions and Sensis'!$F$49),'Assumptions and Sensis'!$F$167/ROUNDUP(('Assumptions and Sensis'!$F$48/12),0),0)</f>
        <v>0</v>
      </c>
      <c r="Z54" s="41">
        <f>+IF(AND(Z53&gt;='Assumptions and Sensis'!$F$47,Z53&lt;'Assumptions and Sensis'!$F$49),'Assumptions and Sensis'!$F$167/ROUNDUP(('Assumptions and Sensis'!$F$48/12),0),0)</f>
        <v>0</v>
      </c>
    </row>
    <row r="55" spans="1:26" x14ac:dyDescent="0.2">
      <c r="B55" s="32" t="s">
        <v>246</v>
      </c>
      <c r="C55" s="32"/>
      <c r="D55" s="41">
        <v>0</v>
      </c>
      <c r="E55" s="41"/>
      <c r="F55" s="41">
        <f>+D55+F54</f>
        <v>0</v>
      </c>
      <c r="G55" s="41">
        <f t="shared" ref="G55:Z55" si="95">+F55+G54</f>
        <v>0</v>
      </c>
      <c r="H55" s="41">
        <f t="shared" si="95"/>
        <v>0</v>
      </c>
      <c r="I55" s="41">
        <f t="shared" si="95"/>
        <v>107100</v>
      </c>
      <c r="J55" s="41">
        <f t="shared" si="95"/>
        <v>214200</v>
      </c>
      <c r="K55" s="41">
        <f t="shared" si="95"/>
        <v>214200</v>
      </c>
      <c r="L55" s="41">
        <f t="shared" si="95"/>
        <v>214200</v>
      </c>
      <c r="M55" s="41">
        <f t="shared" si="95"/>
        <v>214200</v>
      </c>
      <c r="N55" s="41">
        <f t="shared" si="95"/>
        <v>214200</v>
      </c>
      <c r="O55" s="41">
        <f t="shared" si="95"/>
        <v>214200</v>
      </c>
      <c r="P55" s="41">
        <f t="shared" si="95"/>
        <v>214200</v>
      </c>
      <c r="Q55" s="41">
        <f t="shared" si="95"/>
        <v>214200</v>
      </c>
      <c r="R55" s="41">
        <f t="shared" si="95"/>
        <v>214200</v>
      </c>
      <c r="S55" s="41">
        <f t="shared" si="95"/>
        <v>214200</v>
      </c>
      <c r="T55" s="41">
        <f t="shared" si="95"/>
        <v>214200</v>
      </c>
      <c r="U55" s="41">
        <f t="shared" si="95"/>
        <v>214200</v>
      </c>
      <c r="V55" s="41">
        <f t="shared" si="95"/>
        <v>214200</v>
      </c>
      <c r="W55" s="41">
        <f t="shared" si="95"/>
        <v>214200</v>
      </c>
      <c r="X55" s="41">
        <f t="shared" si="95"/>
        <v>214200</v>
      </c>
      <c r="Y55" s="41">
        <f t="shared" si="95"/>
        <v>214200</v>
      </c>
      <c r="Z55" s="41">
        <f t="shared" si="95"/>
        <v>214200</v>
      </c>
    </row>
    <row r="56" spans="1:26" x14ac:dyDescent="0.2">
      <c r="B56" s="32" t="s">
        <v>301</v>
      </c>
      <c r="C56" s="32"/>
      <c r="D56" s="41"/>
      <c r="E56" s="41"/>
      <c r="F56" s="107">
        <f t="shared" ref="F56:Z56" si="96">+F55/SUM($F54:$Z54)</f>
        <v>0</v>
      </c>
      <c r="G56" s="107">
        <f t="shared" si="96"/>
        <v>0</v>
      </c>
      <c r="H56" s="107">
        <f t="shared" si="96"/>
        <v>0</v>
      </c>
      <c r="I56" s="107">
        <f t="shared" si="96"/>
        <v>0.5</v>
      </c>
      <c r="J56" s="107">
        <f t="shared" si="96"/>
        <v>1</v>
      </c>
      <c r="K56" s="107">
        <f t="shared" si="96"/>
        <v>1</v>
      </c>
      <c r="L56" s="107">
        <f t="shared" si="96"/>
        <v>1</v>
      </c>
      <c r="M56" s="107">
        <f t="shared" si="96"/>
        <v>1</v>
      </c>
      <c r="N56" s="107">
        <f t="shared" si="96"/>
        <v>1</v>
      </c>
      <c r="O56" s="107">
        <f t="shared" si="96"/>
        <v>1</v>
      </c>
      <c r="P56" s="107">
        <f t="shared" si="96"/>
        <v>1</v>
      </c>
      <c r="Q56" s="107">
        <f t="shared" si="96"/>
        <v>1</v>
      </c>
      <c r="R56" s="107">
        <f t="shared" si="96"/>
        <v>1</v>
      </c>
      <c r="S56" s="107">
        <f t="shared" si="96"/>
        <v>1</v>
      </c>
      <c r="T56" s="107">
        <f t="shared" si="96"/>
        <v>1</v>
      </c>
      <c r="U56" s="107">
        <f t="shared" si="96"/>
        <v>1</v>
      </c>
      <c r="V56" s="107">
        <f t="shared" si="96"/>
        <v>1</v>
      </c>
      <c r="W56" s="107">
        <f t="shared" si="96"/>
        <v>1</v>
      </c>
      <c r="X56" s="107">
        <f t="shared" si="96"/>
        <v>1</v>
      </c>
      <c r="Y56" s="107">
        <f t="shared" si="96"/>
        <v>1</v>
      </c>
      <c r="Z56" s="107">
        <f t="shared" si="96"/>
        <v>1</v>
      </c>
    </row>
    <row r="57" spans="1:26" x14ac:dyDescent="0.2">
      <c r="B57" s="32"/>
      <c r="C57" s="32"/>
      <c r="D57" s="39"/>
      <c r="E57" s="39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">
      <c r="B58" s="32" t="s">
        <v>251</v>
      </c>
      <c r="C58" s="32"/>
      <c r="D58" s="41"/>
      <c r="E58" s="41"/>
      <c r="F58" s="107">
        <v>1</v>
      </c>
      <c r="G58" s="107">
        <f>+IF(MOD(G$2,'Assumptions and Sensis'!$N$88)=('Assumptions and Sensis'!$N$88-1),F58*(1+'Assumptions and Sensis'!$N$87),'Phase I Pro Forma'!F58)</f>
        <v>1</v>
      </c>
      <c r="H58" s="107">
        <f>+IF(MOD(H$2,'Assumptions and Sensis'!$N$88)=('Assumptions and Sensis'!$N$88-1),G58*(1+'Assumptions and Sensis'!$N$87),'Phase I Pro Forma'!G58)</f>
        <v>1</v>
      </c>
      <c r="I58" s="107">
        <f>+IF(MOD(I$2,'Assumptions and Sensis'!$N$88)=('Assumptions and Sensis'!$N$88-1),H58*(1+'Assumptions and Sensis'!$N$87),'Phase I Pro Forma'!H58)</f>
        <v>1</v>
      </c>
      <c r="J58" s="107">
        <f>+IF(MOD(J$2,'Assumptions and Sensis'!$N$88)=('Assumptions and Sensis'!$N$88-1),I58*(1+'Assumptions and Sensis'!$N$87),'Phase I Pro Forma'!I58)</f>
        <v>1</v>
      </c>
      <c r="K58" s="107">
        <f>+IF(MOD(K$2,'Assumptions and Sensis'!$N$88)=('Assumptions and Sensis'!$N$88-1),J58*(1+'Assumptions and Sensis'!$N$87),'Phase I Pro Forma'!J58)</f>
        <v>1</v>
      </c>
      <c r="L58" s="107">
        <f>+IF(MOD(L$2,'Assumptions and Sensis'!$N$88)=('Assumptions and Sensis'!$N$88-1),K58*(1+'Assumptions and Sensis'!$N$87),'Phase I Pro Forma'!K58)</f>
        <v>1.1000000000000001</v>
      </c>
      <c r="M58" s="107">
        <f>+IF(MOD(M$2,'Assumptions and Sensis'!$N$88)=('Assumptions and Sensis'!$N$88-1),L58*(1+'Assumptions and Sensis'!$N$87),'Phase I Pro Forma'!L58)</f>
        <v>1.1000000000000001</v>
      </c>
      <c r="N58" s="107">
        <f>+IF(MOD(N$2,'Assumptions and Sensis'!$N$88)=('Assumptions and Sensis'!$N$88-1),M58*(1+'Assumptions and Sensis'!$N$87),'Phase I Pro Forma'!M58)</f>
        <v>1.1000000000000001</v>
      </c>
      <c r="O58" s="107">
        <f>+IF(MOD(O$2,'Assumptions and Sensis'!$N$88)=('Assumptions and Sensis'!$N$88-1),N58*(1+'Assumptions and Sensis'!$N$87),'Phase I Pro Forma'!N58)</f>
        <v>1.1000000000000001</v>
      </c>
      <c r="P58" s="107">
        <f>+IF(MOD(P$2,'Assumptions and Sensis'!$N$88)=('Assumptions and Sensis'!$N$88-1),O58*(1+'Assumptions and Sensis'!$N$87),'Phase I Pro Forma'!O58)</f>
        <v>1.1000000000000001</v>
      </c>
      <c r="Q58" s="107">
        <f>+IF(MOD(Q$2,'Assumptions and Sensis'!$N$88)=('Assumptions and Sensis'!$N$88-1),P58*(1+'Assumptions and Sensis'!$N$87),'Phase I Pro Forma'!P58)</f>
        <v>1.2100000000000002</v>
      </c>
      <c r="R58" s="107">
        <f>+IF(MOD(R$2,'Assumptions and Sensis'!$N$88)=('Assumptions and Sensis'!$N$88-1),Q58*(1+'Assumptions and Sensis'!$N$87),'Phase I Pro Forma'!Q58)</f>
        <v>1.2100000000000002</v>
      </c>
      <c r="S58" s="107">
        <f>+IF(MOD(S$2,'Assumptions and Sensis'!$N$88)=('Assumptions and Sensis'!$N$88-1),R58*(1+'Assumptions and Sensis'!$N$87),'Phase I Pro Forma'!R58)</f>
        <v>1.2100000000000002</v>
      </c>
      <c r="T58" s="107">
        <f>+IF(MOD(T$2,'Assumptions and Sensis'!$N$88)=('Assumptions and Sensis'!$N$88-1),S58*(1+'Assumptions and Sensis'!$N$87),'Phase I Pro Forma'!S58)</f>
        <v>1.2100000000000002</v>
      </c>
      <c r="U58" s="107">
        <f>+IF(MOD(U$2,'Assumptions and Sensis'!$N$88)=('Assumptions and Sensis'!$N$88-1),T58*(1+'Assumptions and Sensis'!$N$87),'Phase I Pro Forma'!T58)</f>
        <v>1.2100000000000002</v>
      </c>
      <c r="V58" s="107">
        <f>+IF(MOD(V$2,'Assumptions and Sensis'!$N$88)=('Assumptions and Sensis'!$N$88-1),U58*(1+'Assumptions and Sensis'!$N$87),'Phase I Pro Forma'!U58)</f>
        <v>1.3310000000000004</v>
      </c>
      <c r="W58" s="107">
        <f>+IF(MOD(W$2,'Assumptions and Sensis'!$N$88)=('Assumptions and Sensis'!$N$88-1),V58*(1+'Assumptions and Sensis'!$N$87),'Phase I Pro Forma'!V58)</f>
        <v>1.3310000000000004</v>
      </c>
      <c r="X58" s="107">
        <f>+IF(MOD(X$2,'Assumptions and Sensis'!$N$88)=('Assumptions and Sensis'!$N$88-1),W58*(1+'Assumptions and Sensis'!$N$87),'Phase I Pro Forma'!W58)</f>
        <v>1.3310000000000004</v>
      </c>
      <c r="Y58" s="107">
        <f>+IF(MOD(Y$2,'Assumptions and Sensis'!$N$88)=('Assumptions and Sensis'!$N$88-1),X58*(1+'Assumptions and Sensis'!$N$87),'Phase I Pro Forma'!X58)</f>
        <v>1.3310000000000004</v>
      </c>
      <c r="Z58" s="107">
        <f>+IF(MOD(Z$2,'Assumptions and Sensis'!$N$88)=('Assumptions and Sensis'!$N$88-1),Y58*(1+'Assumptions and Sensis'!$N$87),'Phase I Pro Forma'!Y58)</f>
        <v>1.3310000000000004</v>
      </c>
    </row>
    <row r="59" spans="1:26" x14ac:dyDescent="0.2">
      <c r="B59" s="32" t="s">
        <v>252</v>
      </c>
      <c r="C59" s="32"/>
      <c r="D59" s="41"/>
      <c r="E59" s="41"/>
      <c r="F59" s="107">
        <v>1</v>
      </c>
      <c r="G59" s="107">
        <f>+F59*(1+'Assumptions and Sensis'!$N$100)</f>
        <v>1.03</v>
      </c>
      <c r="H59" s="107">
        <f>+G59*(1+'Assumptions and Sensis'!$N$100)</f>
        <v>1.0609</v>
      </c>
      <c r="I59" s="107">
        <f>+H59*(1+'Assumptions and Sensis'!$N$100)</f>
        <v>1.092727</v>
      </c>
      <c r="J59" s="107">
        <f>+I59*(1+'Assumptions and Sensis'!$N$100)</f>
        <v>1.1255088100000001</v>
      </c>
      <c r="K59" s="107">
        <f>+J59*(1+'Assumptions and Sensis'!$N$100)</f>
        <v>1.1592740743000001</v>
      </c>
      <c r="L59" s="107">
        <f>+K59*(1+'Assumptions and Sensis'!$N$100)</f>
        <v>1.1940522965290001</v>
      </c>
      <c r="M59" s="107">
        <f>+L59*(1+'Assumptions and Sensis'!$N$100)</f>
        <v>1.2298738654248702</v>
      </c>
      <c r="N59" s="107">
        <f>+M59*(1+'Assumptions and Sensis'!$N$100)</f>
        <v>1.2667700813876164</v>
      </c>
      <c r="O59" s="107">
        <f>+N59*(1+'Assumptions and Sensis'!$N$100)</f>
        <v>1.3047731838292449</v>
      </c>
      <c r="P59" s="107">
        <f>+O59*(1+'Assumptions and Sensis'!$N$100)</f>
        <v>1.3439163793441222</v>
      </c>
      <c r="Q59" s="107">
        <f>+P59*(1+'Assumptions and Sensis'!$N$100)</f>
        <v>1.3842338707244459</v>
      </c>
      <c r="R59" s="107">
        <f>+Q59*(1+'Assumptions and Sensis'!$N$100)</f>
        <v>1.4257608868461793</v>
      </c>
      <c r="S59" s="107">
        <f>+R59*(1+'Assumptions and Sensis'!$N$100)</f>
        <v>1.4685337134515648</v>
      </c>
      <c r="T59" s="107">
        <f>+S59*(1+'Assumptions and Sensis'!$N$100)</f>
        <v>1.5125897248551119</v>
      </c>
      <c r="U59" s="107">
        <f>+T59*(1+'Assumptions and Sensis'!$N$100)</f>
        <v>1.5579674166007653</v>
      </c>
      <c r="V59" s="107">
        <f>+U59*(1+'Assumptions and Sensis'!$N$100)</f>
        <v>1.6047064390987884</v>
      </c>
      <c r="W59" s="107">
        <f>+V59*(1+'Assumptions and Sensis'!$N$100)</f>
        <v>1.652847632271752</v>
      </c>
      <c r="X59" s="107">
        <f>+W59*(1+'Assumptions and Sensis'!$N$100)</f>
        <v>1.7024330612399046</v>
      </c>
      <c r="Y59" s="107">
        <f>+X59*(1+'Assumptions and Sensis'!$N$100)</f>
        <v>1.7535060530771018</v>
      </c>
      <c r="Z59" s="107">
        <f>+Y59*(1+'Assumptions and Sensis'!$N$100)</f>
        <v>1.806111234669415</v>
      </c>
    </row>
    <row r="60" spans="1:26" x14ac:dyDescent="0.2">
      <c r="B60" s="32"/>
      <c r="C60" s="32"/>
      <c r="D60" s="39"/>
      <c r="E60" s="39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">
      <c r="B61" s="32" t="s">
        <v>243</v>
      </c>
      <c r="C61" s="32"/>
      <c r="D61" s="39"/>
      <c r="E61" s="39"/>
      <c r="F61" s="33">
        <f>+F56*'Assumptions and Sensis'!$F$166*F58</f>
        <v>0</v>
      </c>
      <c r="G61" s="33">
        <f>+G56*'Assumptions and Sensis'!$F$166*G58</f>
        <v>0</v>
      </c>
      <c r="H61" s="33">
        <f>+H56*'Assumptions and Sensis'!$F$166*H58</f>
        <v>0</v>
      </c>
      <c r="I61" s="33">
        <f>+I56*'Assumptions and Sensis'!$F$166*I58</f>
        <v>2578050</v>
      </c>
      <c r="J61" s="33">
        <f>+J56*'Assumptions and Sensis'!$F$166*J58</f>
        <v>5156100</v>
      </c>
      <c r="K61" s="33">
        <f>+K56*'Assumptions and Sensis'!$F$166*K58</f>
        <v>5156100</v>
      </c>
      <c r="L61" s="33">
        <f>+L56*'Assumptions and Sensis'!$F$166*L58</f>
        <v>5671710</v>
      </c>
      <c r="M61" s="33">
        <f>+M56*'Assumptions and Sensis'!$F$166*M58</f>
        <v>5671710</v>
      </c>
      <c r="N61" s="33">
        <f>+N56*'Assumptions and Sensis'!$F$166*N58</f>
        <v>5671710</v>
      </c>
      <c r="O61" s="33">
        <f>+O56*'Assumptions and Sensis'!$F$166*O58</f>
        <v>5671710</v>
      </c>
      <c r="P61" s="33">
        <f>+P56*'Assumptions and Sensis'!$F$166*P58</f>
        <v>5671710</v>
      </c>
      <c r="Q61" s="33">
        <f>+Q56*'Assumptions and Sensis'!$F$166*Q58</f>
        <v>6238881.0000000009</v>
      </c>
      <c r="R61" s="33">
        <f>+R56*'Assumptions and Sensis'!$F$166*R58</f>
        <v>6238881.0000000009</v>
      </c>
      <c r="S61" s="33">
        <f>+S56*'Assumptions and Sensis'!$F$166*S58</f>
        <v>6238881.0000000009</v>
      </c>
      <c r="T61" s="33">
        <f>+T56*'Assumptions and Sensis'!$F$166*T58</f>
        <v>6238881.0000000009</v>
      </c>
      <c r="U61" s="33">
        <f>+U56*'Assumptions and Sensis'!$F$166*U58</f>
        <v>6238881.0000000009</v>
      </c>
      <c r="V61" s="33">
        <f>+V56*'Assumptions and Sensis'!$F$166*V58</f>
        <v>6862769.1000000024</v>
      </c>
      <c r="W61" s="33">
        <f>+W56*'Assumptions and Sensis'!$F$166*W58</f>
        <v>6862769.1000000024</v>
      </c>
      <c r="X61" s="33">
        <f>+X56*'Assumptions and Sensis'!$F$166*X58</f>
        <v>6862769.1000000024</v>
      </c>
      <c r="Y61" s="33">
        <f>+Y56*'Assumptions and Sensis'!$F$166*Y58</f>
        <v>6862769.1000000024</v>
      </c>
      <c r="Z61" s="33">
        <f>+Z56*'Assumptions and Sensis'!$F$166*Z58</f>
        <v>6862769.1000000024</v>
      </c>
    </row>
    <row r="62" spans="1:26" x14ac:dyDescent="0.2">
      <c r="B62" s="32" t="s">
        <v>244</v>
      </c>
      <c r="C62" s="32"/>
      <c r="D62" s="39"/>
      <c r="E62" s="39"/>
      <c r="F62" s="41">
        <f>-F61*'Assumptions and Sensis'!$N$77</f>
        <v>0</v>
      </c>
      <c r="G62" s="41">
        <f>-G61*'Assumptions and Sensis'!$N$77</f>
        <v>0</v>
      </c>
      <c r="H62" s="41">
        <f>-H61*'Assumptions and Sensis'!$N$77</f>
        <v>0</v>
      </c>
      <c r="I62" s="41">
        <f>-I61*'Assumptions and Sensis'!$N$77</f>
        <v>-257805</v>
      </c>
      <c r="J62" s="41">
        <f>-J61*'Assumptions and Sensis'!$N$77</f>
        <v>-515610</v>
      </c>
      <c r="K62" s="41">
        <f>-K61*'Assumptions and Sensis'!$N$77</f>
        <v>-515610</v>
      </c>
      <c r="L62" s="41">
        <f>-L61*'Assumptions and Sensis'!$N$77</f>
        <v>-567171</v>
      </c>
      <c r="M62" s="41">
        <f>-M61*'Assumptions and Sensis'!$N$77</f>
        <v>-567171</v>
      </c>
      <c r="N62" s="41">
        <f>-N61*'Assumptions and Sensis'!$N$77</f>
        <v>-567171</v>
      </c>
      <c r="O62" s="41">
        <f>-O61*'Assumptions and Sensis'!$N$77</f>
        <v>-567171</v>
      </c>
      <c r="P62" s="41">
        <f>-P61*'Assumptions and Sensis'!$N$77</f>
        <v>-567171</v>
      </c>
      <c r="Q62" s="41">
        <f>-Q61*'Assumptions and Sensis'!$N$77</f>
        <v>-623888.10000000009</v>
      </c>
      <c r="R62" s="41">
        <f>-R61*'Assumptions and Sensis'!$N$77</f>
        <v>-623888.10000000009</v>
      </c>
      <c r="S62" s="41">
        <f>-S61*'Assumptions and Sensis'!$N$77</f>
        <v>-623888.10000000009</v>
      </c>
      <c r="T62" s="41">
        <f>-T61*'Assumptions and Sensis'!$N$77</f>
        <v>-623888.10000000009</v>
      </c>
      <c r="U62" s="41">
        <f>-U61*'Assumptions and Sensis'!$N$77</f>
        <v>-623888.10000000009</v>
      </c>
      <c r="V62" s="41">
        <f>-V61*'Assumptions and Sensis'!$N$77</f>
        <v>-686276.91000000027</v>
      </c>
      <c r="W62" s="41">
        <f>-W61*'Assumptions and Sensis'!$N$77</f>
        <v>-686276.91000000027</v>
      </c>
      <c r="X62" s="41">
        <f>-X61*'Assumptions and Sensis'!$N$77</f>
        <v>-686276.91000000027</v>
      </c>
      <c r="Y62" s="41">
        <f>-Y61*'Assumptions and Sensis'!$N$77</f>
        <v>-686276.91000000027</v>
      </c>
      <c r="Z62" s="41">
        <f>-Z61*'Assumptions and Sensis'!$N$77</f>
        <v>-686276.91000000027</v>
      </c>
    </row>
    <row r="63" spans="1:26" x14ac:dyDescent="0.2">
      <c r="B63" s="32" t="s">
        <v>259</v>
      </c>
      <c r="C63" s="32"/>
      <c r="D63" s="39"/>
      <c r="E63" s="39"/>
      <c r="F63" s="150">
        <f ca="1">+F68*'Assumptions and Sensis'!$N$111</f>
        <v>0</v>
      </c>
      <c r="G63" s="150">
        <f ca="1">+G68*'Assumptions and Sensis'!$N$111</f>
        <v>0</v>
      </c>
      <c r="H63" s="150">
        <f ca="1">+H68*'Assumptions and Sensis'!$N$111</f>
        <v>0</v>
      </c>
      <c r="I63" s="150">
        <f ca="1">+I68*'Assumptions and Sensis'!$N$111</f>
        <v>1224664.8086231423</v>
      </c>
      <c r="J63" s="150">
        <f ca="1">+J68*'Assumptions and Sensis'!$N$111</f>
        <v>2511423.6885016104</v>
      </c>
      <c r="K63" s="150">
        <f ca="1">+K68*'Assumptions and Sensis'!$N$111</f>
        <v>2551925.7983347462</v>
      </c>
      <c r="L63" s="150">
        <f ca="1">+L68*'Assumptions and Sensis'!$N$111</f>
        <v>2593642.9714628765</v>
      </c>
      <c r="M63" s="150">
        <f ca="1">+M68*'Assumptions and Sensis'!$N$111</f>
        <v>2659838.7269994589</v>
      </c>
      <c r="N63" s="150">
        <f ca="1">+N68*'Assumptions and Sensis'!$N$111</f>
        <v>2704096.475971092</v>
      </c>
      <c r="O63" s="150">
        <f ca="1">+O68*'Assumptions and Sensis'!$N$111</f>
        <v>2749681.9574118741</v>
      </c>
      <c r="P63" s="150">
        <f ca="1">+P68*'Assumptions and Sensis'!$N$111</f>
        <v>2820326.6118547805</v>
      </c>
      <c r="Q63" s="150">
        <f ca="1">+Q68*'Assumptions and Sensis'!$N$111</f>
        <v>2868688.2491153064</v>
      </c>
      <c r="R63" s="150">
        <f ca="1">+R68*'Assumptions and Sensis'!$N$111</f>
        <v>2918500.7354936474</v>
      </c>
      <c r="S63" s="150">
        <f ca="1">+S68*'Assumptions and Sensis'!$N$111</f>
        <v>2993973.0371934185</v>
      </c>
      <c r="T63" s="150">
        <f ca="1">+T68*'Assumptions and Sensis'!$N$111</f>
        <v>3046819.1039922009</v>
      </c>
      <c r="U63" s="150">
        <f ca="1">+U68*'Assumptions and Sensis'!$N$111</f>
        <v>3101250.5527949478</v>
      </c>
      <c r="V63" s="150">
        <f ca="1">+V68*'Assumptions and Sensis'!$N$111</f>
        <v>3181963.694606456</v>
      </c>
      <c r="W63" s="150">
        <f ca="1">+W68*'Assumptions and Sensis'!$N$111</f>
        <v>3239710.0186412893</v>
      </c>
      <c r="X63" s="150">
        <f ca="1">+X68*'Assumptions and Sensis'!$N$111</f>
        <v>3299188.7323971675</v>
      </c>
      <c r="Y63" s="150">
        <f ca="1">+Y68*'Assumptions and Sensis'!$N$111</f>
        <v>3385593.5321012959</v>
      </c>
      <c r="Z63" s="150">
        <f ca="1">+Z68*'Assumptions and Sensis'!$N$111</f>
        <v>3448694.4995249072</v>
      </c>
    </row>
    <row r="64" spans="1:26" x14ac:dyDescent="0.2">
      <c r="B64" s="136" t="s">
        <v>253</v>
      </c>
      <c r="C64" s="136"/>
      <c r="D64" s="136"/>
      <c r="E64" s="136"/>
      <c r="F64" s="128">
        <f t="shared" ref="F64:Z64" ca="1" si="97">+SUM(F61:F63)</f>
        <v>0</v>
      </c>
      <c r="G64" s="128">
        <f t="shared" ca="1" si="97"/>
        <v>0</v>
      </c>
      <c r="H64" s="128">
        <f t="shared" ca="1" si="97"/>
        <v>0</v>
      </c>
      <c r="I64" s="128">
        <f t="shared" ca="1" si="97"/>
        <v>3544909.8086231425</v>
      </c>
      <c r="J64" s="128">
        <f t="shared" ca="1" si="97"/>
        <v>7151913.6885016104</v>
      </c>
      <c r="K64" s="128">
        <f t="shared" ca="1" si="97"/>
        <v>7192415.7983347457</v>
      </c>
      <c r="L64" s="128">
        <f t="shared" ca="1" si="97"/>
        <v>7698181.9714628765</v>
      </c>
      <c r="M64" s="128">
        <f t="shared" ca="1" si="97"/>
        <v>7764377.7269994589</v>
      </c>
      <c r="N64" s="128">
        <f t="shared" ca="1" si="97"/>
        <v>7808635.4759710915</v>
      </c>
      <c r="O64" s="128">
        <f t="shared" ca="1" si="97"/>
        <v>7854220.9574118741</v>
      </c>
      <c r="P64" s="128">
        <f t="shared" ca="1" si="97"/>
        <v>7924865.6118547805</v>
      </c>
      <c r="Q64" s="128">
        <f t="shared" ca="1" si="97"/>
        <v>8483681.1491153073</v>
      </c>
      <c r="R64" s="128">
        <f t="shared" ca="1" si="97"/>
        <v>8533493.6354936473</v>
      </c>
      <c r="S64" s="128">
        <f t="shared" ca="1" si="97"/>
        <v>8608965.9371934198</v>
      </c>
      <c r="T64" s="128">
        <f t="shared" ca="1" si="97"/>
        <v>8661812.0039922018</v>
      </c>
      <c r="U64" s="128">
        <f t="shared" ca="1" si="97"/>
        <v>8716243.4527949486</v>
      </c>
      <c r="V64" s="128">
        <f t="shared" ca="1" si="97"/>
        <v>9358455.8846064582</v>
      </c>
      <c r="W64" s="128">
        <f t="shared" ca="1" si="97"/>
        <v>9416202.2086412907</v>
      </c>
      <c r="X64" s="128">
        <f t="shared" ca="1" si="97"/>
        <v>9475680.9223971702</v>
      </c>
      <c r="Y64" s="128">
        <f t="shared" ca="1" si="97"/>
        <v>9562085.7221012972</v>
      </c>
      <c r="Z64" s="128">
        <f t="shared" ca="1" si="97"/>
        <v>9625186.6895249095</v>
      </c>
    </row>
    <row r="66" spans="2:26" x14ac:dyDescent="0.2">
      <c r="B66" s="32" t="s">
        <v>389</v>
      </c>
      <c r="F66" s="33">
        <f>+F55*'Assumptions and Sensis'!$N$145*'Phase I Pro Forma'!F59</f>
        <v>0</v>
      </c>
      <c r="G66" s="33">
        <f>+G55*'Assumptions and Sensis'!$N$145*'Phase I Pro Forma'!G59</f>
        <v>0</v>
      </c>
      <c r="H66" s="33">
        <f>+H55*'Assumptions and Sensis'!$N$145*'Phase I Pro Forma'!H59</f>
        <v>0</v>
      </c>
      <c r="I66" s="33">
        <f>+I55*'Assumptions and Sensis'!$N$145*'Phase I Pro Forma'!I59</f>
        <v>819217.43189999997</v>
      </c>
      <c r="J66" s="33">
        <f>+J55*'Assumptions and Sensis'!$N$145*'Phase I Pro Forma'!J59</f>
        <v>1687587.9097140003</v>
      </c>
      <c r="K66" s="33">
        <f>+K55*'Assumptions and Sensis'!$N$145*'Phase I Pro Forma'!K59</f>
        <v>1738215.5470054201</v>
      </c>
      <c r="L66" s="33">
        <f>+L55*'Assumptions and Sensis'!$N$145*'Phase I Pro Forma'!L59</f>
        <v>1790362.0134155827</v>
      </c>
      <c r="M66" s="33">
        <f>+M55*'Assumptions and Sensis'!$N$145*'Phase I Pro Forma'!M59</f>
        <v>1844072.8738180504</v>
      </c>
      <c r="N66" s="33">
        <f>+N55*'Assumptions and Sensis'!$N$145*'Phase I Pro Forma'!N59</f>
        <v>1899395.0600325919</v>
      </c>
      <c r="O66" s="33">
        <f>+O55*'Assumptions and Sensis'!$N$145*'Phase I Pro Forma'!O59</f>
        <v>1956376.9118335699</v>
      </c>
      <c r="P66" s="33">
        <f>+P55*'Assumptions and Sensis'!$N$145*'Phase I Pro Forma'!P59</f>
        <v>2015068.2191885768</v>
      </c>
      <c r="Q66" s="33">
        <f>+Q55*'Assumptions and Sensis'!$N$145*'Phase I Pro Forma'!Q59</f>
        <v>2075520.2657642341</v>
      </c>
      <c r="R66" s="33">
        <f>+R55*'Assumptions and Sensis'!$N$145*'Phase I Pro Forma'!R59</f>
        <v>2137785.873737161</v>
      </c>
      <c r="S66" s="33">
        <f>+S55*'Assumptions and Sensis'!$N$145*'Phase I Pro Forma'!S59</f>
        <v>2201919.4499492762</v>
      </c>
      <c r="T66" s="33">
        <f>+T55*'Assumptions and Sensis'!$N$145*'Phase I Pro Forma'!T59</f>
        <v>2267977.0334477546</v>
      </c>
      <c r="U66" s="33">
        <f>+U55*'Assumptions and Sensis'!$N$145*'Phase I Pro Forma'!U59</f>
        <v>2336016.3444511876</v>
      </c>
      <c r="V66" s="33">
        <f>+V55*'Assumptions and Sensis'!$N$145*'Phase I Pro Forma'!V59</f>
        <v>2406096.8347847234</v>
      </c>
      <c r="W66" s="33">
        <f>+W55*'Assumptions and Sensis'!$N$145*'Phase I Pro Forma'!W59</f>
        <v>2478279.7398282648</v>
      </c>
      <c r="X66" s="33">
        <f>+X55*'Assumptions and Sensis'!$N$145*'Phase I Pro Forma'!X59</f>
        <v>2552628.1320231128</v>
      </c>
      <c r="Y66" s="33">
        <f>+Y55*'Assumptions and Sensis'!$N$145*'Phase I Pro Forma'!Y59</f>
        <v>2629206.9759838064</v>
      </c>
      <c r="Z66" s="33">
        <f>+Z55*'Assumptions and Sensis'!$N$145*'Phase I Pro Forma'!Z59</f>
        <v>2708083.1852633208</v>
      </c>
    </row>
    <row r="67" spans="2:26" x14ac:dyDescent="0.2">
      <c r="B67" s="32" t="s">
        <v>325</v>
      </c>
      <c r="F67" s="150">
        <f ca="1">+IFERROR(INDEX('Taxes and TIF'!$M$11:$M$45,MATCH('Phase I Pro Forma'!F$7,'Taxes and TIF'!$B$11:$B$45,0)),0)*'Loan Sizing'!$I$19*F56</f>
        <v>0</v>
      </c>
      <c r="G67" s="150">
        <f ca="1">+IFERROR(INDEX('Taxes and TIF'!$M$11:$M$45,MATCH('Phase I Pro Forma'!G$7,'Taxes and TIF'!$B$11:$B$45,0)),0)*'Loan Sizing'!$I$19*G56</f>
        <v>0</v>
      </c>
      <c r="H67" s="150">
        <f ca="1">+IFERROR(INDEX('Taxes and TIF'!$M$11:$M$45,MATCH('Phase I Pro Forma'!H$7,'Taxes and TIF'!$B$11:$B$45,0)),0)*'Loan Sizing'!$I$19*H56</f>
        <v>0</v>
      </c>
      <c r="I67" s="150">
        <f ca="1">+IFERROR(INDEX('Taxes and TIF'!$M$11:$M$45,MATCH('Phase I Pro Forma'!I$7,'Taxes and TIF'!$B$11:$B$45,0)),0)*'Loan Sizing'!$I$19*I56</f>
        <v>711613.57887892763</v>
      </c>
      <c r="J67" s="150">
        <f ca="1">+IFERROR(INDEX('Taxes and TIF'!$M$11:$M$45,MATCH('Phase I Pro Forma'!J$7,'Taxes and TIF'!$B$11:$B$45,0)),0)*'Loan Sizing'!$I$19*J56</f>
        <v>1451691.7009130125</v>
      </c>
      <c r="K67" s="150">
        <f ca="1">+IFERROR(INDEX('Taxes and TIF'!$M$11:$M$45,MATCH('Phase I Pro Forma'!K$7,'Taxes and TIF'!$B$11:$B$45,0)),0)*'Loan Sizing'!$I$19*K56</f>
        <v>1451691.7009130125</v>
      </c>
      <c r="L67" s="150">
        <f ca="1">+IFERROR(INDEX('Taxes and TIF'!$M$11:$M$45,MATCH('Phase I Pro Forma'!L$7,'Taxes and TIF'!$B$11:$B$45,0)),0)*'Loan Sizing'!$I$19*L56</f>
        <v>1451691.7009130125</v>
      </c>
      <c r="M67" s="150">
        <f ca="1">+IFERROR(INDEX('Taxes and TIF'!$M$11:$M$45,MATCH('Phase I Pro Forma'!M$7,'Taxes and TIF'!$B$11:$B$45,0)),0)*'Loan Sizing'!$I$19*M56</f>
        <v>1480725.534931273</v>
      </c>
      <c r="N67" s="150">
        <f ca="1">+IFERROR(INDEX('Taxes and TIF'!$M$11:$M$45,MATCH('Phase I Pro Forma'!N$7,'Taxes and TIF'!$B$11:$B$45,0)),0)*'Loan Sizing'!$I$19*N56</f>
        <v>1480725.534931273</v>
      </c>
      <c r="O67" s="150">
        <f ca="1">+IFERROR(INDEX('Taxes and TIF'!$M$11:$M$45,MATCH('Phase I Pro Forma'!O$7,'Taxes and TIF'!$B$11:$B$45,0)),0)*'Loan Sizing'!$I$19*O56</f>
        <v>1480725.534931273</v>
      </c>
      <c r="P67" s="150">
        <f ca="1">+IFERROR(INDEX('Taxes and TIF'!$M$11:$M$45,MATCH('Phase I Pro Forma'!P$7,'Taxes and TIF'!$B$11:$B$45,0)),0)*'Loan Sizing'!$I$19*P56</f>
        <v>1510340.0456298983</v>
      </c>
      <c r="Q67" s="150">
        <f ca="1">+IFERROR(INDEX('Taxes and TIF'!$M$11:$M$45,MATCH('Phase I Pro Forma'!Q$7,'Taxes and TIF'!$B$11:$B$45,0)),0)*'Loan Sizing'!$I$19*Q56</f>
        <v>1510340.0456298983</v>
      </c>
      <c r="R67" s="150">
        <f ca="1">+IFERROR(INDEX('Taxes and TIF'!$M$11:$M$45,MATCH('Phase I Pro Forma'!R$7,'Taxes and TIF'!$B$11:$B$45,0)),0)*'Loan Sizing'!$I$19*R56</f>
        <v>1510340.0456298983</v>
      </c>
      <c r="S67" s="150">
        <f ca="1">+IFERROR(INDEX('Taxes and TIF'!$M$11:$M$45,MATCH('Phase I Pro Forma'!S$7,'Taxes and TIF'!$B$11:$B$45,0)),0)*'Loan Sizing'!$I$19*S56</f>
        <v>1540546.8465424965</v>
      </c>
      <c r="T67" s="150">
        <f ca="1">+IFERROR(INDEX('Taxes and TIF'!$M$11:$M$45,MATCH('Phase I Pro Forma'!T$7,'Taxes and TIF'!$B$11:$B$45,0)),0)*'Loan Sizing'!$I$19*T56</f>
        <v>1540546.8465424965</v>
      </c>
      <c r="U67" s="150">
        <f ca="1">+IFERROR(INDEX('Taxes and TIF'!$M$11:$M$45,MATCH('Phase I Pro Forma'!U$7,'Taxes and TIF'!$B$11:$B$45,0)),0)*'Loan Sizing'!$I$19*U56</f>
        <v>1540546.8465424965</v>
      </c>
      <c r="V67" s="150">
        <f ca="1">+IFERROR(INDEX('Taxes and TIF'!$M$11:$M$45,MATCH('Phase I Pro Forma'!V$7,'Taxes and TIF'!$B$11:$B$45,0)),0)*'Loan Sizing'!$I$19*V56</f>
        <v>1571357.7834733464</v>
      </c>
      <c r="W67" s="150">
        <f ca="1">+IFERROR(INDEX('Taxes and TIF'!$M$11:$M$45,MATCH('Phase I Pro Forma'!W$7,'Taxes and TIF'!$B$11:$B$45,0)),0)*'Loan Sizing'!$I$19*W56</f>
        <v>1571357.7834733464</v>
      </c>
      <c r="X67" s="150">
        <f ca="1">+IFERROR(INDEX('Taxes and TIF'!$M$11:$M$45,MATCH('Phase I Pro Forma'!X$7,'Taxes and TIF'!$B$11:$B$45,0)),0)*'Loan Sizing'!$I$19*X56</f>
        <v>1571357.7834733464</v>
      </c>
      <c r="Y67" s="150">
        <f ca="1">+IFERROR(INDEX('Taxes and TIF'!$M$11:$M$45,MATCH('Phase I Pro Forma'!Y$7,'Taxes and TIF'!$B$11:$B$45,0)),0)*'Loan Sizing'!$I$19*Y56</f>
        <v>1602784.939142813</v>
      </c>
      <c r="Z67" s="150">
        <f ca="1">+IFERROR(INDEX('Taxes and TIF'!$M$11:$M$45,MATCH('Phase I Pro Forma'!Z$7,'Taxes and TIF'!$B$11:$B$45,0)),0)*'Loan Sizing'!$I$19*Z56</f>
        <v>1602784.939142813</v>
      </c>
    </row>
    <row r="68" spans="2:26" x14ac:dyDescent="0.2">
      <c r="B68" s="136" t="s">
        <v>249</v>
      </c>
      <c r="C68" s="136"/>
      <c r="D68" s="136"/>
      <c r="E68" s="136"/>
      <c r="F68" s="128">
        <f ca="1">+SUM(F66:F67)</f>
        <v>0</v>
      </c>
      <c r="G68" s="128">
        <f t="shared" ref="G68" ca="1" si="98">+SUM(G66:G67)</f>
        <v>0</v>
      </c>
      <c r="H68" s="128">
        <f t="shared" ref="H68" ca="1" si="99">+SUM(H66:H67)</f>
        <v>0</v>
      </c>
      <c r="I68" s="128">
        <f t="shared" ref="I68" ca="1" si="100">+SUM(I66:I67)</f>
        <v>1530831.0107789277</v>
      </c>
      <c r="J68" s="128">
        <f t="shared" ref="J68" ca="1" si="101">+SUM(J66:J67)</f>
        <v>3139279.6106270128</v>
      </c>
      <c r="K68" s="128">
        <f t="shared" ref="K68" ca="1" si="102">+SUM(K66:K67)</f>
        <v>3189907.2479184326</v>
      </c>
      <c r="L68" s="128">
        <f t="shared" ref="L68" ca="1" si="103">+SUM(L66:L67)</f>
        <v>3242053.7143285954</v>
      </c>
      <c r="M68" s="128">
        <f t="shared" ref="M68" ca="1" si="104">+SUM(M66:M67)</f>
        <v>3324798.4087493233</v>
      </c>
      <c r="N68" s="128">
        <f t="shared" ref="N68" ca="1" si="105">+SUM(N66:N67)</f>
        <v>3380120.5949638649</v>
      </c>
      <c r="O68" s="128">
        <f t="shared" ref="O68" ca="1" si="106">+SUM(O66:O67)</f>
        <v>3437102.4467648426</v>
      </c>
      <c r="P68" s="128">
        <f t="shared" ref="P68" ca="1" si="107">+SUM(P66:P67)</f>
        <v>3525408.2648184751</v>
      </c>
      <c r="Q68" s="128">
        <f t="shared" ref="Q68" ca="1" si="108">+SUM(Q66:Q67)</f>
        <v>3585860.3113941327</v>
      </c>
      <c r="R68" s="128">
        <f t="shared" ref="R68" ca="1" si="109">+SUM(R66:R67)</f>
        <v>3648125.9193670591</v>
      </c>
      <c r="S68" s="128">
        <f t="shared" ref="S68" ca="1" si="110">+SUM(S66:S67)</f>
        <v>3742466.2964917729</v>
      </c>
      <c r="T68" s="128">
        <f t="shared" ref="T68" ca="1" si="111">+SUM(T66:T67)</f>
        <v>3808523.8799902508</v>
      </c>
      <c r="U68" s="128">
        <f t="shared" ref="U68" ca="1" si="112">+SUM(U66:U67)</f>
        <v>3876563.1909936843</v>
      </c>
      <c r="V68" s="128">
        <f t="shared" ref="V68" ca="1" si="113">+SUM(V66:V67)</f>
        <v>3977454.6182580697</v>
      </c>
      <c r="W68" s="128">
        <f t="shared" ref="W68" ca="1" si="114">+SUM(W66:W67)</f>
        <v>4049637.5233016112</v>
      </c>
      <c r="X68" s="128">
        <f t="shared" ref="X68" ca="1" si="115">+SUM(X66:X67)</f>
        <v>4123985.9154964592</v>
      </c>
      <c r="Y68" s="128">
        <f t="shared" ref="Y68" ca="1" si="116">+SUM(Y66:Y67)</f>
        <v>4231991.9151266199</v>
      </c>
      <c r="Z68" s="128">
        <f t="shared" ref="Z68" ca="1" si="117">+SUM(Z66:Z67)</f>
        <v>4310868.1244061338</v>
      </c>
    </row>
    <row r="69" spans="2:26" x14ac:dyDescent="0.2">
      <c r="B69" s="32"/>
    </row>
    <row r="70" spans="2:26" x14ac:dyDescent="0.2">
      <c r="B70" s="137" t="s">
        <v>248</v>
      </c>
      <c r="C70" s="137"/>
      <c r="D70" s="137"/>
      <c r="E70" s="137"/>
      <c r="F70" s="138">
        <f ca="1">+F64-F68</f>
        <v>0</v>
      </c>
      <c r="G70" s="138">
        <f t="shared" ref="G70:Z70" ca="1" si="118">+G64-G68</f>
        <v>0</v>
      </c>
      <c r="H70" s="138">
        <f t="shared" ca="1" si="118"/>
        <v>0</v>
      </c>
      <c r="I70" s="138">
        <f t="shared" ca="1" si="118"/>
        <v>2014078.7978442148</v>
      </c>
      <c r="J70" s="138">
        <f t="shared" ca="1" si="118"/>
        <v>4012634.0778745976</v>
      </c>
      <c r="K70" s="138">
        <f t="shared" ca="1" si="118"/>
        <v>4002508.5504163131</v>
      </c>
      <c r="L70" s="138">
        <f t="shared" ca="1" si="118"/>
        <v>4456128.2571342811</v>
      </c>
      <c r="M70" s="138">
        <f t="shared" ca="1" si="118"/>
        <v>4439579.3182501355</v>
      </c>
      <c r="N70" s="138">
        <f t="shared" ca="1" si="118"/>
        <v>4428514.8810072262</v>
      </c>
      <c r="O70" s="138">
        <f t="shared" ca="1" si="118"/>
        <v>4417118.5106470315</v>
      </c>
      <c r="P70" s="138">
        <f t="shared" ca="1" si="118"/>
        <v>4399457.3470363058</v>
      </c>
      <c r="Q70" s="138">
        <f t="shared" ca="1" si="118"/>
        <v>4897820.8377211746</v>
      </c>
      <c r="R70" s="138">
        <f t="shared" ca="1" si="118"/>
        <v>4885367.7161265882</v>
      </c>
      <c r="S70" s="138">
        <f t="shared" ca="1" si="118"/>
        <v>4866499.6407016469</v>
      </c>
      <c r="T70" s="138">
        <f t="shared" ca="1" si="118"/>
        <v>4853288.124001951</v>
      </c>
      <c r="U70" s="138">
        <f t="shared" ca="1" si="118"/>
        <v>4839680.2618012642</v>
      </c>
      <c r="V70" s="138">
        <f t="shared" ca="1" si="118"/>
        <v>5381001.266348388</v>
      </c>
      <c r="W70" s="138">
        <f t="shared" ca="1" si="118"/>
        <v>5366564.6853396799</v>
      </c>
      <c r="X70" s="138">
        <f t="shared" ca="1" si="118"/>
        <v>5351695.006900711</v>
      </c>
      <c r="Y70" s="138">
        <f t="shared" ca="1" si="118"/>
        <v>5330093.8069746774</v>
      </c>
      <c r="Z70" s="138">
        <f t="shared" ca="1" si="118"/>
        <v>5314318.5651187757</v>
      </c>
    </row>
    <row r="71" spans="2:26" x14ac:dyDescent="0.2">
      <c r="B71" s="142" t="s">
        <v>254</v>
      </c>
      <c r="C71" s="140"/>
      <c r="D71" s="140"/>
      <c r="E71" s="140"/>
      <c r="F71" s="143" t="str">
        <f ca="1">+IFERROR(F70/F64,"")</f>
        <v/>
      </c>
      <c r="G71" s="143" t="str">
        <f t="shared" ref="G71" ca="1" si="119">+IFERROR(G70/G64,"")</f>
        <v/>
      </c>
      <c r="H71" s="143" t="str">
        <f t="shared" ref="H71" ca="1" si="120">+IFERROR(H70/H64,"")</f>
        <v/>
      </c>
      <c r="I71" s="144">
        <f t="shared" ref="I71" ca="1" si="121">+IFERROR(I70/I64,"")</f>
        <v>0.56816080142430792</v>
      </c>
      <c r="J71" s="144">
        <f t="shared" ref="J71" ca="1" si="122">+IFERROR(J70/J64,"")</f>
        <v>0.56105739703288848</v>
      </c>
      <c r="K71" s="144">
        <f t="shared" ref="K71" ca="1" si="123">+IFERROR(K70/K64,"")</f>
        <v>0.55649015054761031</v>
      </c>
      <c r="L71" s="144">
        <f t="shared" ref="L71" ca="1" si="124">+IFERROR(L70/L64,"")</f>
        <v>0.57885462745010796</v>
      </c>
      <c r="M71" s="144">
        <f t="shared" ref="M71" ca="1" si="125">+IFERROR(M70/M64,"")</f>
        <v>0.57178816826648771</v>
      </c>
      <c r="N71" s="144">
        <f t="shared" ref="N71" ca="1" si="126">+IFERROR(N70/N64,"")</f>
        <v>0.56713044098866594</v>
      </c>
      <c r="O71" s="144">
        <f t="shared" ref="O71" ca="1" si="127">+IFERROR(O70/O64,"")</f>
        <v>0.56238785929222979</v>
      </c>
      <c r="P71" s="144">
        <f t="shared" ref="P71" ca="1" si="128">+IFERROR(P70/P64,"")</f>
        <v>0.55514598764364809</v>
      </c>
      <c r="Q71" s="144">
        <f t="shared" ref="Q71" ca="1" si="129">+IFERROR(Q70/Q64,"")</f>
        <v>0.57732259754150794</v>
      </c>
      <c r="R71" s="144">
        <f t="shared" ref="R71" ca="1" si="130">+IFERROR(R70/R64,"")</f>
        <v>0.57249327471303357</v>
      </c>
      <c r="S71" s="144">
        <f t="shared" ref="S71" ca="1" si="131">+IFERROR(S70/S64,"")</f>
        <v>0.56528271527673835</v>
      </c>
      <c r="T71" s="144">
        <f t="shared" ref="T71" ca="1" si="132">+IFERROR(T70/T64,"")</f>
        <v>0.56030864232161648</v>
      </c>
      <c r="U71" s="144">
        <f t="shared" ref="U71" ca="1" si="133">+IFERROR(U70/U64,"")</f>
        <v>0.55524840351371474</v>
      </c>
      <c r="V71" s="144">
        <f t="shared" ref="V71" ca="1" si="134">+IFERROR(V70/V64,"")</f>
        <v>0.57498815324860297</v>
      </c>
      <c r="W71" s="144">
        <f t="shared" ref="W71" ca="1" si="135">+IFERROR(W70/W64,"")</f>
        <v>0.56992878513322065</v>
      </c>
      <c r="X71" s="144">
        <f t="shared" ref="X71" ca="1" si="136">+IFERROR(X70/X64,"")</f>
        <v>0.56478210386455607</v>
      </c>
      <c r="Y71" s="144">
        <f t="shared" ref="Y71" ca="1" si="137">+IFERROR(Y70/Y64,"")</f>
        <v>0.557419579982951</v>
      </c>
      <c r="Z71" s="144">
        <f t="shared" ref="Z71" ca="1" si="138">+IFERROR(Z70/Z64,"")</f>
        <v>0.55212628456363844</v>
      </c>
    </row>
    <row r="72" spans="2:26" x14ac:dyDescent="0.2">
      <c r="B72" s="142" t="s">
        <v>188</v>
      </c>
      <c r="C72" s="140"/>
      <c r="D72" s="140"/>
      <c r="E72" s="140"/>
      <c r="F72" s="141">
        <f ca="1">+F70/'Assumptions and Sensis'!$N$155</f>
        <v>0</v>
      </c>
      <c r="G72" s="141">
        <f ca="1">+G70/'Assumptions and Sensis'!$N$155</f>
        <v>0</v>
      </c>
      <c r="H72" s="141">
        <f ca="1">+H70/'Assumptions and Sensis'!$N$155</f>
        <v>0</v>
      </c>
      <c r="I72" s="141">
        <f ca="1">+I70/'Assumptions and Sensis'!$N$155</f>
        <v>30985827.659141764</v>
      </c>
      <c r="J72" s="141">
        <f ca="1">+J70/'Assumptions and Sensis'!$N$155</f>
        <v>61732831.967301503</v>
      </c>
      <c r="K72" s="141">
        <f ca="1">+K70/'Assumptions and Sensis'!$N$155</f>
        <v>61577054.621789433</v>
      </c>
      <c r="L72" s="141">
        <f ca="1">+L70/'Assumptions and Sensis'!$N$155</f>
        <v>68555819.3405274</v>
      </c>
      <c r="M72" s="141">
        <f ca="1">+M70/'Assumptions and Sensis'!$N$155</f>
        <v>68301220.280771315</v>
      </c>
      <c r="N72" s="141">
        <f ca="1">+N70/'Assumptions and Sensis'!$N$155</f>
        <v>68130998.169341937</v>
      </c>
      <c r="O72" s="141">
        <f ca="1">+O70/'Assumptions and Sensis'!$N$155</f>
        <v>67955669.39456971</v>
      </c>
      <c r="P72" s="141">
        <f ca="1">+P70/'Assumptions and Sensis'!$N$155</f>
        <v>67683959.185173929</v>
      </c>
      <c r="Q72" s="141">
        <f ca="1">+Q70/'Assumptions and Sensis'!$N$155</f>
        <v>75351089.811094984</v>
      </c>
      <c r="R72" s="141">
        <f ca="1">+R70/'Assumptions and Sensis'!$N$155</f>
        <v>75159503.325024426</v>
      </c>
      <c r="S72" s="141">
        <f ca="1">+S70/'Assumptions and Sensis'!$N$155</f>
        <v>74869225.241563797</v>
      </c>
      <c r="T72" s="141">
        <f ca="1">+T70/'Assumptions and Sensis'!$N$155</f>
        <v>74665971.138491556</v>
      </c>
      <c r="U72" s="141">
        <f ca="1">+U70/'Assumptions and Sensis'!$N$155</f>
        <v>74456619.412327141</v>
      </c>
      <c r="V72" s="141">
        <f ca="1">+V70/'Assumptions and Sensis'!$N$155</f>
        <v>82784634.866898268</v>
      </c>
      <c r="W72" s="141">
        <f ca="1">+W70/'Assumptions and Sensis'!$N$155</f>
        <v>82562533.620610461</v>
      </c>
      <c r="X72" s="141">
        <f ca="1">+X70/'Assumptions and Sensis'!$N$155</f>
        <v>82333769.336934015</v>
      </c>
      <c r="Y72" s="141">
        <f ca="1">+Y70/'Assumptions and Sensis'!$N$155</f>
        <v>82001443.184225798</v>
      </c>
      <c r="Z72" s="141">
        <f ca="1">+Z70/'Assumptions and Sensis'!$N$155</f>
        <v>81758747.155673474</v>
      </c>
    </row>
    <row r="74" spans="2:26" x14ac:dyDescent="0.2">
      <c r="B74" s="147" t="s">
        <v>145</v>
      </c>
      <c r="C74" s="148"/>
      <c r="D74" s="148"/>
      <c r="E74" s="148"/>
      <c r="F74" s="149">
        <f>+'Assumptions and Sensis'!$F$43</f>
        <v>44196</v>
      </c>
      <c r="G74" s="149">
        <f>+EOMONTH(F74,12)</f>
        <v>44561</v>
      </c>
      <c r="H74" s="149">
        <f t="shared" ref="H74:Z74" si="139">+EOMONTH(G74,12)</f>
        <v>44926</v>
      </c>
      <c r="I74" s="149">
        <f t="shared" si="139"/>
        <v>45291</v>
      </c>
      <c r="J74" s="149">
        <f t="shared" si="139"/>
        <v>45657</v>
      </c>
      <c r="K74" s="149">
        <f t="shared" si="139"/>
        <v>46022</v>
      </c>
      <c r="L74" s="149">
        <f t="shared" si="139"/>
        <v>46387</v>
      </c>
      <c r="M74" s="149">
        <f t="shared" si="139"/>
        <v>46752</v>
      </c>
      <c r="N74" s="149">
        <f t="shared" si="139"/>
        <v>47118</v>
      </c>
      <c r="O74" s="149">
        <f t="shared" si="139"/>
        <v>47483</v>
      </c>
      <c r="P74" s="149">
        <f t="shared" si="139"/>
        <v>47848</v>
      </c>
      <c r="Q74" s="149">
        <f t="shared" si="139"/>
        <v>48213</v>
      </c>
      <c r="R74" s="149">
        <f t="shared" si="139"/>
        <v>48579</v>
      </c>
      <c r="S74" s="149">
        <f t="shared" si="139"/>
        <v>48944</v>
      </c>
      <c r="T74" s="149">
        <f t="shared" si="139"/>
        <v>49309</v>
      </c>
      <c r="U74" s="149">
        <f t="shared" si="139"/>
        <v>49674</v>
      </c>
      <c r="V74" s="149">
        <f t="shared" si="139"/>
        <v>50040</v>
      </c>
      <c r="W74" s="149">
        <f t="shared" si="139"/>
        <v>50405</v>
      </c>
      <c r="X74" s="149">
        <f t="shared" si="139"/>
        <v>50770</v>
      </c>
      <c r="Y74" s="149">
        <f t="shared" si="139"/>
        <v>51135</v>
      </c>
      <c r="Z74" s="149">
        <f t="shared" si="139"/>
        <v>51501</v>
      </c>
    </row>
    <row r="75" spans="2:26" x14ac:dyDescent="0.2">
      <c r="B75" s="32" t="s">
        <v>756</v>
      </c>
      <c r="C75" s="32"/>
      <c r="D75" s="39"/>
      <c r="E75" s="39"/>
      <c r="F75" s="41">
        <f>+IF(AND(F74&gt;='Assumptions and Sensis'!$F$47,F74&lt;'Assumptions and Sensis'!$F$49),'Assumptions and Sensis'!$F$184/ROUNDUP(('Assumptions and Sensis'!$F$48/12),0),0)</f>
        <v>0</v>
      </c>
      <c r="G75" s="41">
        <f>+IF(AND(G74&gt;='Assumptions and Sensis'!$F$47,G74&lt;'Assumptions and Sensis'!$F$49),'Assumptions and Sensis'!$F$184/ROUNDUP(('Assumptions and Sensis'!$F$48/12),0),0)</f>
        <v>0</v>
      </c>
      <c r="H75" s="41">
        <f>+IF(AND(H74&gt;='Assumptions and Sensis'!$F$47,H74&lt;'Assumptions and Sensis'!$F$49),'Assumptions and Sensis'!$F$184/ROUNDUP(('Assumptions and Sensis'!$F$48/12),0),0)</f>
        <v>0</v>
      </c>
      <c r="I75" s="41">
        <f>+IF(AND(I74&gt;='Assumptions and Sensis'!$F$47,I74&lt;'Assumptions and Sensis'!$F$49),'Assumptions and Sensis'!$F$184/ROUNDUP(('Assumptions and Sensis'!$F$48/12),0),0)</f>
        <v>39562.5</v>
      </c>
      <c r="J75" s="41">
        <f>+IF(AND(J74&gt;='Assumptions and Sensis'!$F$47,J74&lt;'Assumptions and Sensis'!$F$49),'Assumptions and Sensis'!$F$184/ROUNDUP(('Assumptions and Sensis'!$F$48/12),0),0)</f>
        <v>39562.5</v>
      </c>
      <c r="K75" s="41">
        <f>+IF(AND(K74&gt;='Assumptions and Sensis'!$F$47,K74&lt;'Assumptions and Sensis'!$F$49),'Assumptions and Sensis'!$F$184/ROUNDUP(('Assumptions and Sensis'!$F$48/12),0),0)</f>
        <v>0</v>
      </c>
      <c r="L75" s="41">
        <f>+IF(AND(L74&gt;='Assumptions and Sensis'!$F$47,L74&lt;'Assumptions and Sensis'!$F$49),'Assumptions and Sensis'!$F$184/ROUNDUP(('Assumptions and Sensis'!$F$48/12),0),0)</f>
        <v>0</v>
      </c>
      <c r="M75" s="41">
        <f>+IF(AND(M74&gt;='Assumptions and Sensis'!$F$47,M74&lt;'Assumptions and Sensis'!$F$49),'Assumptions and Sensis'!$F$184/ROUNDUP(('Assumptions and Sensis'!$F$48/12),0),0)</f>
        <v>0</v>
      </c>
      <c r="N75" s="41">
        <f>+IF(AND(N74&gt;='Assumptions and Sensis'!$F$47,N74&lt;'Assumptions and Sensis'!$F$49),'Assumptions and Sensis'!$F$184/ROUNDUP(('Assumptions and Sensis'!$F$48/12),0),0)</f>
        <v>0</v>
      </c>
      <c r="O75" s="41">
        <f>+IF(AND(O74&gt;='Assumptions and Sensis'!$F$47,O74&lt;'Assumptions and Sensis'!$F$49),'Assumptions and Sensis'!$F$184/ROUNDUP(('Assumptions and Sensis'!$F$48/12),0),0)</f>
        <v>0</v>
      </c>
      <c r="P75" s="41">
        <f>+IF(AND(P74&gt;='Assumptions and Sensis'!$F$47,P74&lt;'Assumptions and Sensis'!$F$49),'Assumptions and Sensis'!$F$184/ROUNDUP(('Assumptions and Sensis'!$F$48/12),0),0)</f>
        <v>0</v>
      </c>
      <c r="Q75" s="41">
        <f>+IF(AND(Q74&gt;='Assumptions and Sensis'!$F$47,Q74&lt;'Assumptions and Sensis'!$F$49),'Assumptions and Sensis'!$F$184/ROUNDUP(('Assumptions and Sensis'!$F$48/12),0),0)</f>
        <v>0</v>
      </c>
      <c r="R75" s="41">
        <f>+IF(AND(R74&gt;='Assumptions and Sensis'!$F$47,R74&lt;'Assumptions and Sensis'!$F$49),'Assumptions and Sensis'!$F$184/ROUNDUP(('Assumptions and Sensis'!$F$48/12),0),0)</f>
        <v>0</v>
      </c>
      <c r="S75" s="41">
        <f>+IF(AND(S74&gt;='Assumptions and Sensis'!$F$47,S74&lt;'Assumptions and Sensis'!$F$49),'Assumptions and Sensis'!$F$184/ROUNDUP(('Assumptions and Sensis'!$F$48/12),0),0)</f>
        <v>0</v>
      </c>
      <c r="T75" s="41">
        <f>+IF(AND(T74&gt;='Assumptions and Sensis'!$F$47,T74&lt;'Assumptions and Sensis'!$F$49),'Assumptions and Sensis'!$F$184/ROUNDUP(('Assumptions and Sensis'!$F$48/12),0),0)</f>
        <v>0</v>
      </c>
      <c r="U75" s="41">
        <f>+IF(AND(U74&gt;='Assumptions and Sensis'!$F$47,U74&lt;'Assumptions and Sensis'!$F$49),'Assumptions and Sensis'!$F$184/ROUNDUP(('Assumptions and Sensis'!$F$48/12),0),0)</f>
        <v>0</v>
      </c>
      <c r="V75" s="41">
        <f>+IF(AND(V74&gt;='Assumptions and Sensis'!$F$47,V74&lt;'Assumptions and Sensis'!$F$49),'Assumptions and Sensis'!$F$184/ROUNDUP(('Assumptions and Sensis'!$F$48/12),0),0)</f>
        <v>0</v>
      </c>
      <c r="W75" s="41">
        <f>+IF(AND(W74&gt;='Assumptions and Sensis'!$F$47,W74&lt;'Assumptions and Sensis'!$F$49),'Assumptions and Sensis'!$F$184/ROUNDUP(('Assumptions and Sensis'!$F$48/12),0),0)</f>
        <v>0</v>
      </c>
      <c r="X75" s="41">
        <f>+IF(AND(X74&gt;='Assumptions and Sensis'!$F$47,X74&lt;'Assumptions and Sensis'!$F$49),'Assumptions and Sensis'!$F$184/ROUNDUP(('Assumptions and Sensis'!$F$48/12),0),0)</f>
        <v>0</v>
      </c>
      <c r="Y75" s="41">
        <f>+IF(AND(Y74&gt;='Assumptions and Sensis'!$F$47,Y74&lt;'Assumptions and Sensis'!$F$49),'Assumptions and Sensis'!$F$184/ROUNDUP(('Assumptions and Sensis'!$F$48/12),0),0)</f>
        <v>0</v>
      </c>
      <c r="Z75" s="41">
        <f>+IF(AND(Z74&gt;='Assumptions and Sensis'!$F$47,Z74&lt;'Assumptions and Sensis'!$F$49),'Assumptions and Sensis'!$F$184/ROUNDUP(('Assumptions and Sensis'!$F$48/12),0),0)</f>
        <v>0</v>
      </c>
    </row>
    <row r="76" spans="2:26" x14ac:dyDescent="0.2">
      <c r="B76" s="32" t="s">
        <v>246</v>
      </c>
      <c r="C76" s="32"/>
      <c r="D76" s="41">
        <v>0</v>
      </c>
      <c r="E76" s="41"/>
      <c r="F76" s="41">
        <f>+D76+F75</f>
        <v>0</v>
      </c>
      <c r="G76" s="41">
        <f t="shared" ref="G76" si="140">+F76+G75</f>
        <v>0</v>
      </c>
      <c r="H76" s="41">
        <f t="shared" ref="H76" si="141">+G76+H75</f>
        <v>0</v>
      </c>
      <c r="I76" s="41">
        <f t="shared" ref="I76" si="142">+H76+I75</f>
        <v>39562.5</v>
      </c>
      <c r="J76" s="41">
        <f t="shared" ref="J76" si="143">+I76+J75</f>
        <v>79125</v>
      </c>
      <c r="K76" s="41">
        <f t="shared" ref="K76" si="144">+J76+K75</f>
        <v>79125</v>
      </c>
      <c r="L76" s="41">
        <f t="shared" ref="L76" si="145">+K76+L75</f>
        <v>79125</v>
      </c>
      <c r="M76" s="41">
        <f t="shared" ref="M76" si="146">+L76+M75</f>
        <v>79125</v>
      </c>
      <c r="N76" s="41">
        <f t="shared" ref="N76" si="147">+M76+N75</f>
        <v>79125</v>
      </c>
      <c r="O76" s="41">
        <f t="shared" ref="O76" si="148">+N76+O75</f>
        <v>79125</v>
      </c>
      <c r="P76" s="41">
        <f t="shared" ref="P76" si="149">+O76+P75</f>
        <v>79125</v>
      </c>
      <c r="Q76" s="41">
        <f t="shared" ref="Q76" si="150">+P76+Q75</f>
        <v>79125</v>
      </c>
      <c r="R76" s="41">
        <f t="shared" ref="R76" si="151">+Q76+R75</f>
        <v>79125</v>
      </c>
      <c r="S76" s="41">
        <f t="shared" ref="S76" si="152">+R76+S75</f>
        <v>79125</v>
      </c>
      <c r="T76" s="41">
        <f t="shared" ref="T76" si="153">+S76+T75</f>
        <v>79125</v>
      </c>
      <c r="U76" s="41">
        <f t="shared" ref="U76" si="154">+T76+U75</f>
        <v>79125</v>
      </c>
      <c r="V76" s="41">
        <f t="shared" ref="V76" si="155">+U76+V75</f>
        <v>79125</v>
      </c>
      <c r="W76" s="41">
        <f t="shared" ref="W76" si="156">+V76+W75</f>
        <v>79125</v>
      </c>
      <c r="X76" s="41">
        <f t="shared" ref="X76" si="157">+W76+X75</f>
        <v>79125</v>
      </c>
      <c r="Y76" s="41">
        <f t="shared" ref="Y76" si="158">+X76+Y75</f>
        <v>79125</v>
      </c>
      <c r="Z76" s="41">
        <f t="shared" ref="Z76" si="159">+Y76+Z75</f>
        <v>79125</v>
      </c>
    </row>
    <row r="77" spans="2:26" x14ac:dyDescent="0.2">
      <c r="B77" s="32" t="s">
        <v>301</v>
      </c>
      <c r="C77" s="32"/>
      <c r="D77" s="41"/>
      <c r="E77" s="41"/>
      <c r="F77" s="107">
        <f t="shared" ref="F77:Z77" si="160">+F76/SUM($F75:$Z75)</f>
        <v>0</v>
      </c>
      <c r="G77" s="107">
        <f t="shared" si="160"/>
        <v>0</v>
      </c>
      <c r="H77" s="107">
        <f t="shared" si="160"/>
        <v>0</v>
      </c>
      <c r="I77" s="107">
        <f t="shared" si="160"/>
        <v>0.5</v>
      </c>
      <c r="J77" s="107">
        <f t="shared" si="160"/>
        <v>1</v>
      </c>
      <c r="K77" s="107">
        <f t="shared" si="160"/>
        <v>1</v>
      </c>
      <c r="L77" s="107">
        <f t="shared" si="160"/>
        <v>1</v>
      </c>
      <c r="M77" s="107">
        <f t="shared" si="160"/>
        <v>1</v>
      </c>
      <c r="N77" s="107">
        <f t="shared" si="160"/>
        <v>1</v>
      </c>
      <c r="O77" s="107">
        <f t="shared" si="160"/>
        <v>1</v>
      </c>
      <c r="P77" s="107">
        <f t="shared" si="160"/>
        <v>1</v>
      </c>
      <c r="Q77" s="107">
        <f t="shared" si="160"/>
        <v>1</v>
      </c>
      <c r="R77" s="107">
        <f t="shared" si="160"/>
        <v>1</v>
      </c>
      <c r="S77" s="107">
        <f t="shared" si="160"/>
        <v>1</v>
      </c>
      <c r="T77" s="107">
        <f t="shared" si="160"/>
        <v>1</v>
      </c>
      <c r="U77" s="107">
        <f t="shared" si="160"/>
        <v>1</v>
      </c>
      <c r="V77" s="107">
        <f t="shared" si="160"/>
        <v>1</v>
      </c>
      <c r="W77" s="107">
        <f t="shared" si="160"/>
        <v>1</v>
      </c>
      <c r="X77" s="107">
        <f t="shared" si="160"/>
        <v>1</v>
      </c>
      <c r="Y77" s="107">
        <f t="shared" si="160"/>
        <v>1</v>
      </c>
      <c r="Z77" s="107">
        <f t="shared" si="160"/>
        <v>1</v>
      </c>
    </row>
    <row r="78" spans="2:26" x14ac:dyDescent="0.2">
      <c r="B78" s="32"/>
      <c r="C78" s="32"/>
      <c r="D78" s="39"/>
      <c r="E78" s="39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2:26" x14ac:dyDescent="0.2">
      <c r="B79" s="32" t="s">
        <v>251</v>
      </c>
      <c r="C79" s="32"/>
      <c r="D79" s="41"/>
      <c r="E79" s="41"/>
      <c r="F79" s="107">
        <v>1</v>
      </c>
      <c r="G79" s="107">
        <f>+IF(MOD(G$2,'Assumptions and Sensis'!$N$91)=('Assumptions and Sensis'!$N$91-1),F79*(1+'Assumptions and Sensis'!$N$90),'Phase I Pro Forma'!F79)</f>
        <v>1</v>
      </c>
      <c r="H79" s="107">
        <f>+IF(MOD(H$2,'Assumptions and Sensis'!$N$91)=('Assumptions and Sensis'!$N$91-1),G79*(1+'Assumptions and Sensis'!$N$90),'Phase I Pro Forma'!G79)</f>
        <v>1</v>
      </c>
      <c r="I79" s="107">
        <f>+IF(MOD(I$2,'Assumptions and Sensis'!$N$91)=('Assumptions and Sensis'!$N$91-1),H79*(1+'Assumptions and Sensis'!$N$90),'Phase I Pro Forma'!H79)</f>
        <v>1</v>
      </c>
      <c r="J79" s="107">
        <f>+IF(MOD(J$2,'Assumptions and Sensis'!$N$91)=('Assumptions and Sensis'!$N$91-1),I79*(1+'Assumptions and Sensis'!$N$90),'Phase I Pro Forma'!I79)</f>
        <v>1</v>
      </c>
      <c r="K79" s="107">
        <f>+IF(MOD(K$2,'Assumptions and Sensis'!$N$91)=('Assumptions and Sensis'!$N$91-1),J79*(1+'Assumptions and Sensis'!$N$90),'Phase I Pro Forma'!J79)</f>
        <v>1</v>
      </c>
      <c r="L79" s="107">
        <f>+IF(MOD(L$2,'Assumptions and Sensis'!$N$91)=('Assumptions and Sensis'!$N$91-1),K79*(1+'Assumptions and Sensis'!$N$90),'Phase I Pro Forma'!K79)</f>
        <v>1.05</v>
      </c>
      <c r="M79" s="107">
        <f>+IF(MOD(M$2,'Assumptions and Sensis'!$N$91)=('Assumptions and Sensis'!$N$91-1),L79*(1+'Assumptions and Sensis'!$N$90),'Phase I Pro Forma'!L79)</f>
        <v>1.05</v>
      </c>
      <c r="N79" s="107">
        <f>+IF(MOD(N$2,'Assumptions and Sensis'!$N$91)=('Assumptions and Sensis'!$N$91-1),M79*(1+'Assumptions and Sensis'!$N$90),'Phase I Pro Forma'!M79)</f>
        <v>1.05</v>
      </c>
      <c r="O79" s="107">
        <f>+IF(MOD(O$2,'Assumptions and Sensis'!$N$91)=('Assumptions and Sensis'!$N$91-1),N79*(1+'Assumptions and Sensis'!$N$90),'Phase I Pro Forma'!N79)</f>
        <v>1.05</v>
      </c>
      <c r="P79" s="107">
        <f>+IF(MOD(P$2,'Assumptions and Sensis'!$N$91)=('Assumptions and Sensis'!$N$91-1),O79*(1+'Assumptions and Sensis'!$N$90),'Phase I Pro Forma'!O79)</f>
        <v>1.05</v>
      </c>
      <c r="Q79" s="107">
        <f>+IF(MOD(Q$2,'Assumptions and Sensis'!$N$91)=('Assumptions and Sensis'!$N$91-1),P79*(1+'Assumptions and Sensis'!$N$90),'Phase I Pro Forma'!P79)</f>
        <v>1.1025</v>
      </c>
      <c r="R79" s="107">
        <f>+IF(MOD(R$2,'Assumptions and Sensis'!$N$91)=('Assumptions and Sensis'!$N$91-1),Q79*(1+'Assumptions and Sensis'!$N$90),'Phase I Pro Forma'!Q79)</f>
        <v>1.1025</v>
      </c>
      <c r="S79" s="107">
        <f>+IF(MOD(S$2,'Assumptions and Sensis'!$N$91)=('Assumptions and Sensis'!$N$91-1),R79*(1+'Assumptions and Sensis'!$N$90),'Phase I Pro Forma'!R79)</f>
        <v>1.1025</v>
      </c>
      <c r="T79" s="107">
        <f>+IF(MOD(T$2,'Assumptions and Sensis'!$N$91)=('Assumptions and Sensis'!$N$91-1),S79*(1+'Assumptions and Sensis'!$N$90),'Phase I Pro Forma'!S79)</f>
        <v>1.1025</v>
      </c>
      <c r="U79" s="107">
        <f>+IF(MOD(U$2,'Assumptions and Sensis'!$N$91)=('Assumptions and Sensis'!$N$91-1),T79*(1+'Assumptions and Sensis'!$N$90),'Phase I Pro Forma'!T79)</f>
        <v>1.1025</v>
      </c>
      <c r="V79" s="107">
        <f>+IF(MOD(V$2,'Assumptions and Sensis'!$N$91)=('Assumptions and Sensis'!$N$91-1),U79*(1+'Assumptions and Sensis'!$N$90),'Phase I Pro Forma'!U79)</f>
        <v>1.1576250000000001</v>
      </c>
      <c r="W79" s="107">
        <f>+IF(MOD(W$2,'Assumptions and Sensis'!$N$91)=('Assumptions and Sensis'!$N$91-1),V79*(1+'Assumptions and Sensis'!$N$90),'Phase I Pro Forma'!V79)</f>
        <v>1.1576250000000001</v>
      </c>
      <c r="X79" s="107">
        <f>+IF(MOD(X$2,'Assumptions and Sensis'!$N$91)=('Assumptions and Sensis'!$N$91-1),W79*(1+'Assumptions and Sensis'!$N$90),'Phase I Pro Forma'!W79)</f>
        <v>1.1576250000000001</v>
      </c>
      <c r="Y79" s="107">
        <f>+IF(MOD(Y$2,'Assumptions and Sensis'!$N$91)=('Assumptions and Sensis'!$N$91-1),X79*(1+'Assumptions and Sensis'!$N$90),'Phase I Pro Forma'!X79)</f>
        <v>1.1576250000000001</v>
      </c>
      <c r="Z79" s="107">
        <f>+IF(MOD(Z$2,'Assumptions and Sensis'!$N$91)=('Assumptions and Sensis'!$N$91-1),Y79*(1+'Assumptions and Sensis'!$N$90),'Phase I Pro Forma'!Y79)</f>
        <v>1.1576250000000001</v>
      </c>
    </row>
    <row r="80" spans="2:26" x14ac:dyDescent="0.2">
      <c r="B80" s="32" t="s">
        <v>252</v>
      </c>
      <c r="C80" s="32"/>
      <c r="D80" s="41"/>
      <c r="E80" s="41"/>
      <c r="F80" s="107">
        <v>1</v>
      </c>
      <c r="G80" s="107">
        <f>+F80*(1+'Assumptions and Sensis'!$N$101)</f>
        <v>1.03</v>
      </c>
      <c r="H80" s="107">
        <f>+G80*(1+'Assumptions and Sensis'!$N$101)</f>
        <v>1.0609</v>
      </c>
      <c r="I80" s="107">
        <f>+H80*(1+'Assumptions and Sensis'!$N$101)</f>
        <v>1.092727</v>
      </c>
      <c r="J80" s="107">
        <f>+I80*(1+'Assumptions and Sensis'!$N$101)</f>
        <v>1.1255088100000001</v>
      </c>
      <c r="K80" s="107">
        <f>+J80*(1+'Assumptions and Sensis'!$N$101)</f>
        <v>1.1592740743000001</v>
      </c>
      <c r="L80" s="107">
        <f>+K80*(1+'Assumptions and Sensis'!$N$101)</f>
        <v>1.1940522965290001</v>
      </c>
      <c r="M80" s="107">
        <f>+L80*(1+'Assumptions and Sensis'!$N$101)</f>
        <v>1.2298738654248702</v>
      </c>
      <c r="N80" s="107">
        <f>+M80*(1+'Assumptions and Sensis'!$N$101)</f>
        <v>1.2667700813876164</v>
      </c>
      <c r="O80" s="107">
        <f>+N80*(1+'Assumptions and Sensis'!$N$101)</f>
        <v>1.3047731838292449</v>
      </c>
      <c r="P80" s="107">
        <f>+O80*(1+'Assumptions and Sensis'!$N$101)</f>
        <v>1.3439163793441222</v>
      </c>
      <c r="Q80" s="107">
        <f>+P80*(1+'Assumptions and Sensis'!$N$101)</f>
        <v>1.3842338707244459</v>
      </c>
      <c r="R80" s="107">
        <f>+Q80*(1+'Assumptions and Sensis'!$N$101)</f>
        <v>1.4257608868461793</v>
      </c>
      <c r="S80" s="107">
        <f>+R80*(1+'Assumptions and Sensis'!$N$101)</f>
        <v>1.4685337134515648</v>
      </c>
      <c r="T80" s="107">
        <f>+S80*(1+'Assumptions and Sensis'!$N$101)</f>
        <v>1.5125897248551119</v>
      </c>
      <c r="U80" s="107">
        <f>+T80*(1+'Assumptions and Sensis'!$N$101)</f>
        <v>1.5579674166007653</v>
      </c>
      <c r="V80" s="107">
        <f>+U80*(1+'Assumptions and Sensis'!$N$101)</f>
        <v>1.6047064390987884</v>
      </c>
      <c r="W80" s="107">
        <f>+V80*(1+'Assumptions and Sensis'!$N$101)</f>
        <v>1.652847632271752</v>
      </c>
      <c r="X80" s="107">
        <f>+W80*(1+'Assumptions and Sensis'!$N$101)</f>
        <v>1.7024330612399046</v>
      </c>
      <c r="Y80" s="107">
        <f>+X80*(1+'Assumptions and Sensis'!$N$101)</f>
        <v>1.7535060530771018</v>
      </c>
      <c r="Z80" s="107">
        <f>+Y80*(1+'Assumptions and Sensis'!$N$101)</f>
        <v>1.806111234669415</v>
      </c>
    </row>
    <row r="81" spans="2:26" x14ac:dyDescent="0.2">
      <c r="B81" s="32"/>
      <c r="C81" s="32"/>
      <c r="D81" s="39"/>
      <c r="E81" s="39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2:26" x14ac:dyDescent="0.2">
      <c r="B82" s="32" t="s">
        <v>243</v>
      </c>
      <c r="C82" s="32"/>
      <c r="D82" s="39"/>
      <c r="E82" s="39"/>
      <c r="F82" s="33">
        <f>+F77*'Assumptions and Sensis'!$F$183*F79</f>
        <v>0</v>
      </c>
      <c r="G82" s="33">
        <f>+G77*'Assumptions and Sensis'!$F$183*G79</f>
        <v>0</v>
      </c>
      <c r="H82" s="33">
        <f>+H77*'Assumptions and Sensis'!$F$183*H79</f>
        <v>0</v>
      </c>
      <c r="I82" s="33">
        <f>+I77*'Assumptions and Sensis'!$F$183*I79</f>
        <v>95625</v>
      </c>
      <c r="J82" s="33">
        <f>+J77*'Assumptions and Sensis'!$F$183*J79</f>
        <v>191250</v>
      </c>
      <c r="K82" s="33">
        <f>+K77*'Assumptions and Sensis'!$F$183*K79</f>
        <v>191250</v>
      </c>
      <c r="L82" s="33">
        <f>+L77*'Assumptions and Sensis'!$F$183*L79</f>
        <v>200812.5</v>
      </c>
      <c r="M82" s="33">
        <f>+M77*'Assumptions and Sensis'!$F$183*M79</f>
        <v>200812.5</v>
      </c>
      <c r="N82" s="33">
        <f>+N77*'Assumptions and Sensis'!$F$183*N79</f>
        <v>200812.5</v>
      </c>
      <c r="O82" s="33">
        <f>+O77*'Assumptions and Sensis'!$F$183*O79</f>
        <v>200812.5</v>
      </c>
      <c r="P82" s="33">
        <f>+P77*'Assumptions and Sensis'!$F$183*P79</f>
        <v>200812.5</v>
      </c>
      <c r="Q82" s="33">
        <f>+Q77*'Assumptions and Sensis'!$F$183*Q79</f>
        <v>210853.125</v>
      </c>
      <c r="R82" s="33">
        <f>+R77*'Assumptions and Sensis'!$F$183*R79</f>
        <v>210853.125</v>
      </c>
      <c r="S82" s="33">
        <f>+S77*'Assumptions and Sensis'!$F$183*S79</f>
        <v>210853.125</v>
      </c>
      <c r="T82" s="33">
        <f>+T77*'Assumptions and Sensis'!$F$183*T79</f>
        <v>210853.125</v>
      </c>
      <c r="U82" s="33">
        <f>+U77*'Assumptions and Sensis'!$F$183*U79</f>
        <v>210853.125</v>
      </c>
      <c r="V82" s="33">
        <f>+V77*'Assumptions and Sensis'!$F$183*V79</f>
        <v>221395.78125000003</v>
      </c>
      <c r="W82" s="33">
        <f>+W77*'Assumptions and Sensis'!$F$183*W79</f>
        <v>221395.78125000003</v>
      </c>
      <c r="X82" s="33">
        <f>+X77*'Assumptions and Sensis'!$F$183*X79</f>
        <v>221395.78125000003</v>
      </c>
      <c r="Y82" s="33">
        <f>+Y77*'Assumptions and Sensis'!$F$183*Y79</f>
        <v>221395.78125000003</v>
      </c>
      <c r="Z82" s="33">
        <f>+Z77*'Assumptions and Sensis'!$F$183*Z79</f>
        <v>221395.78125000003</v>
      </c>
    </row>
    <row r="83" spans="2:26" x14ac:dyDescent="0.2">
      <c r="B83" s="32" t="s">
        <v>244</v>
      </c>
      <c r="C83" s="32"/>
      <c r="D83" s="39"/>
      <c r="E83" s="39"/>
      <c r="F83" s="41">
        <f>-F82*'Assumptions and Sensis'!$N$78</f>
        <v>0</v>
      </c>
      <c r="G83" s="41">
        <f>-G82*'Assumptions and Sensis'!$N$78</f>
        <v>0</v>
      </c>
      <c r="H83" s="41">
        <f>-H82*'Assumptions and Sensis'!$N$78</f>
        <v>0</v>
      </c>
      <c r="I83" s="41">
        <f>-I82*'Assumptions and Sensis'!$N$78</f>
        <v>-4781.25</v>
      </c>
      <c r="J83" s="41">
        <f>-J82*'Assumptions and Sensis'!$N$78</f>
        <v>-9562.5</v>
      </c>
      <c r="K83" s="41">
        <f>-K82*'Assumptions and Sensis'!$N$78</f>
        <v>-9562.5</v>
      </c>
      <c r="L83" s="41">
        <f>-L82*'Assumptions and Sensis'!$N$78</f>
        <v>-10040.625</v>
      </c>
      <c r="M83" s="41">
        <f>-M82*'Assumptions and Sensis'!$N$78</f>
        <v>-10040.625</v>
      </c>
      <c r="N83" s="41">
        <f>-N82*'Assumptions and Sensis'!$N$78</f>
        <v>-10040.625</v>
      </c>
      <c r="O83" s="41">
        <f>-O82*'Assumptions and Sensis'!$N$78</f>
        <v>-10040.625</v>
      </c>
      <c r="P83" s="41">
        <f>-P82*'Assumptions and Sensis'!$N$78</f>
        <v>-10040.625</v>
      </c>
      <c r="Q83" s="41">
        <f>-Q82*'Assumptions and Sensis'!$N$78</f>
        <v>-10542.65625</v>
      </c>
      <c r="R83" s="41">
        <f>-R82*'Assumptions and Sensis'!$N$78</f>
        <v>-10542.65625</v>
      </c>
      <c r="S83" s="41">
        <f>-S82*'Assumptions and Sensis'!$N$78</f>
        <v>-10542.65625</v>
      </c>
      <c r="T83" s="41">
        <f>-T82*'Assumptions and Sensis'!$N$78</f>
        <v>-10542.65625</v>
      </c>
      <c r="U83" s="41">
        <f>-U82*'Assumptions and Sensis'!$N$78</f>
        <v>-10542.65625</v>
      </c>
      <c r="V83" s="41">
        <f>-V82*'Assumptions and Sensis'!$N$78</f>
        <v>-11069.789062500002</v>
      </c>
      <c r="W83" s="41">
        <f>-W82*'Assumptions and Sensis'!$N$78</f>
        <v>-11069.789062500002</v>
      </c>
      <c r="X83" s="41">
        <f>-X82*'Assumptions and Sensis'!$N$78</f>
        <v>-11069.789062500002</v>
      </c>
      <c r="Y83" s="41">
        <f>-Y82*'Assumptions and Sensis'!$N$78</f>
        <v>-11069.789062500002</v>
      </c>
      <c r="Z83" s="41">
        <f>-Z82*'Assumptions and Sensis'!$N$78</f>
        <v>-11069.789062500002</v>
      </c>
    </row>
    <row r="84" spans="2:26" x14ac:dyDescent="0.2">
      <c r="B84" s="32" t="s">
        <v>259</v>
      </c>
      <c r="C84" s="32"/>
      <c r="D84" s="39"/>
      <c r="E84" s="39"/>
      <c r="F84" s="150">
        <f ca="1">+F89*'Assumptions and Sensis'!$N$112</f>
        <v>0</v>
      </c>
      <c r="G84" s="150">
        <f ca="1">+G89*'Assumptions and Sensis'!$N$112</f>
        <v>0</v>
      </c>
      <c r="H84" s="150">
        <f ca="1">+H89*'Assumptions and Sensis'!$N$112</f>
        <v>0</v>
      </c>
      <c r="I84" s="150">
        <f ca="1">+I89*'Assumptions and Sensis'!$N$112</f>
        <v>334919.6484375</v>
      </c>
      <c r="J84" s="150">
        <f ca="1">+J89*'Assumptions and Sensis'!$N$112</f>
        <v>689288.42448375013</v>
      </c>
      <c r="K84" s="150">
        <f ca="1">+K89*'Assumptions and Sensis'!$N$112</f>
        <v>707990.16024791251</v>
      </c>
      <c r="L84" s="150">
        <f ca="1">+L89*'Assumptions and Sensis'!$N$112</f>
        <v>727252.94808499992</v>
      </c>
      <c r="M84" s="150">
        <f ca="1">+M89*'Assumptions and Sensis'!$N$112</f>
        <v>748411.56420409994</v>
      </c>
      <c r="N84" s="150">
        <f ca="1">+N89*'Assumptions and Sensis'!$N$112</f>
        <v>768847.45582046593</v>
      </c>
      <c r="O84" s="150">
        <f ca="1">+O89*'Assumptions and Sensis'!$N$112</f>
        <v>789896.42418532295</v>
      </c>
      <c r="P84" s="150">
        <f ca="1">+P89*'Assumptions and Sensis'!$N$112</f>
        <v>812921.16514096374</v>
      </c>
      <c r="Q84" s="150">
        <f ca="1">+Q89*'Assumptions and Sensis'!$N$112</f>
        <v>835252.01567924046</v>
      </c>
      <c r="R84" s="150">
        <f ca="1">+R89*'Assumptions and Sensis'!$N$112</f>
        <v>858252.79173366562</v>
      </c>
      <c r="S84" s="150">
        <f ca="1">+S89*'Assumptions and Sensis'!$N$112</f>
        <v>883314.78068035818</v>
      </c>
      <c r="T84" s="150">
        <f ca="1">+T89*'Assumptions and Sensis'!$N$112</f>
        <v>907716.30399649777</v>
      </c>
      <c r="U84" s="150">
        <f ca="1">+U89*'Assumptions and Sensis'!$N$112</f>
        <v>932849.87301212177</v>
      </c>
      <c r="V84" s="150">
        <f ca="1">+V89*'Assumptions and Sensis'!$N$112</f>
        <v>960136.06250106171</v>
      </c>
      <c r="W84" s="150">
        <f ca="1">+W89*'Assumptions and Sensis'!$N$112</f>
        <v>986800.2658697369</v>
      </c>
      <c r="X84" s="150">
        <f ca="1">+X89*'Assumptions and Sensis'!$N$112</f>
        <v>1014264.3953394725</v>
      </c>
      <c r="Y84" s="150">
        <f ca="1">+Y89*'Assumptions and Sensis'!$N$112</f>
        <v>1043979.0343642044</v>
      </c>
      <c r="Z84" s="150">
        <f ca="1">+Z89*'Assumptions and Sensis'!$N$112</f>
        <v>1073115.7293186469</v>
      </c>
    </row>
    <row r="85" spans="2:26" x14ac:dyDescent="0.2">
      <c r="B85" s="136" t="s">
        <v>253</v>
      </c>
      <c r="C85" s="136"/>
      <c r="D85" s="136"/>
      <c r="E85" s="136"/>
      <c r="F85" s="128">
        <f t="shared" ref="F85:Z85" ca="1" si="161">+SUM(F82:F84)</f>
        <v>0</v>
      </c>
      <c r="G85" s="128">
        <f t="shared" ca="1" si="161"/>
        <v>0</v>
      </c>
      <c r="H85" s="128">
        <f t="shared" ca="1" si="161"/>
        <v>0</v>
      </c>
      <c r="I85" s="128">
        <f t="shared" ca="1" si="161"/>
        <v>425763.3984375</v>
      </c>
      <c r="J85" s="128">
        <f t="shared" ca="1" si="161"/>
        <v>870975.92448375013</v>
      </c>
      <c r="K85" s="128">
        <f t="shared" ca="1" si="161"/>
        <v>889677.66024791251</v>
      </c>
      <c r="L85" s="128">
        <f t="shared" ca="1" si="161"/>
        <v>918024.82308499992</v>
      </c>
      <c r="M85" s="128">
        <f t="shared" ca="1" si="161"/>
        <v>939183.43920409994</v>
      </c>
      <c r="N85" s="128">
        <f t="shared" ca="1" si="161"/>
        <v>959619.33082046593</v>
      </c>
      <c r="O85" s="128">
        <f t="shared" ca="1" si="161"/>
        <v>980668.29918532295</v>
      </c>
      <c r="P85" s="128">
        <f t="shared" ca="1" si="161"/>
        <v>1003693.0401409637</v>
      </c>
      <c r="Q85" s="128">
        <f t="shared" ca="1" si="161"/>
        <v>1035562.4844292405</v>
      </c>
      <c r="R85" s="128">
        <f t="shared" ca="1" si="161"/>
        <v>1058563.2604836656</v>
      </c>
      <c r="S85" s="128">
        <f t="shared" ca="1" si="161"/>
        <v>1083625.2494303582</v>
      </c>
      <c r="T85" s="128">
        <f t="shared" ca="1" si="161"/>
        <v>1108026.7727464978</v>
      </c>
      <c r="U85" s="128">
        <f t="shared" ca="1" si="161"/>
        <v>1133160.3417621218</v>
      </c>
      <c r="V85" s="128">
        <f t="shared" ca="1" si="161"/>
        <v>1170462.0546885617</v>
      </c>
      <c r="W85" s="128">
        <f t="shared" ca="1" si="161"/>
        <v>1197126.2580572369</v>
      </c>
      <c r="X85" s="128">
        <f t="shared" ca="1" si="161"/>
        <v>1224590.3875269725</v>
      </c>
      <c r="Y85" s="128">
        <f t="shared" ca="1" si="161"/>
        <v>1254305.0265517044</v>
      </c>
      <c r="Z85" s="128">
        <f t="shared" ca="1" si="161"/>
        <v>1283441.7215061469</v>
      </c>
    </row>
    <row r="87" spans="2:26" x14ac:dyDescent="0.2">
      <c r="B87" s="32" t="s">
        <v>389</v>
      </c>
      <c r="F87" s="33">
        <f>+F76*'Assumptions and Sensis'!$N$146*'Phase I Pro Forma'!F80</f>
        <v>0</v>
      </c>
      <c r="G87" s="33">
        <f>+G76*'Assumptions and Sensis'!$N$146*'Phase I Pro Forma'!G80</f>
        <v>0</v>
      </c>
      <c r="H87" s="33">
        <f>+H76*'Assumptions and Sensis'!$N$146*'Phase I Pro Forma'!H80</f>
        <v>0</v>
      </c>
      <c r="I87" s="33">
        <f>+I76*'Assumptions and Sensis'!$N$146*'Phase I Pro Forma'!I80</f>
        <v>302617.08356250002</v>
      </c>
      <c r="J87" s="33">
        <f>+J76*'Assumptions and Sensis'!$N$146*'Phase I Pro Forma'!J80</f>
        <v>623391.19213875011</v>
      </c>
      <c r="K87" s="33">
        <f>+K76*'Assumptions and Sensis'!$N$146*'Phase I Pro Forma'!K80</f>
        <v>642092.92790291249</v>
      </c>
      <c r="L87" s="33">
        <f>+L76*'Assumptions and Sensis'!$N$146*'Phase I Pro Forma'!L80</f>
        <v>661355.7157399999</v>
      </c>
      <c r="M87" s="33">
        <f>+M76*'Assumptions and Sensis'!$N$146*'Phase I Pro Forma'!M80</f>
        <v>681196.38721219997</v>
      </c>
      <c r="N87" s="33">
        <f>+N76*'Assumptions and Sensis'!$N$146*'Phase I Pro Forma'!N80</f>
        <v>701632.27882856596</v>
      </c>
      <c r="O87" s="33">
        <f>+O76*'Assumptions and Sensis'!$N$146*'Phase I Pro Forma'!O80</f>
        <v>722681.24719342298</v>
      </c>
      <c r="P87" s="33">
        <f>+P76*'Assumptions and Sensis'!$N$146*'Phase I Pro Forma'!P80</f>
        <v>744361.68460922572</v>
      </c>
      <c r="Q87" s="33">
        <f>+Q76*'Assumptions and Sensis'!$N$146*'Phase I Pro Forma'!Q80</f>
        <v>766692.53514750244</v>
      </c>
      <c r="R87" s="33">
        <f>+R76*'Assumptions and Sensis'!$N$146*'Phase I Pro Forma'!R80</f>
        <v>789693.3112019276</v>
      </c>
      <c r="S87" s="33">
        <f>+S76*'Assumptions and Sensis'!$N$146*'Phase I Pro Forma'!S80</f>
        <v>813384.11053798546</v>
      </c>
      <c r="T87" s="33">
        <f>+T76*'Assumptions and Sensis'!$N$146*'Phase I Pro Forma'!T80</f>
        <v>837785.63385412504</v>
      </c>
      <c r="U87" s="33">
        <f>+U76*'Assumptions and Sensis'!$N$146*'Phase I Pro Forma'!U80</f>
        <v>862919.20286974893</v>
      </c>
      <c r="V87" s="33">
        <f>+V76*'Assumptions and Sensis'!$N$146*'Phase I Pro Forma'!V80</f>
        <v>888806.77895584144</v>
      </c>
      <c r="W87" s="33">
        <f>+W76*'Assumptions and Sensis'!$N$146*'Phase I Pro Forma'!W80</f>
        <v>915470.98232451663</v>
      </c>
      <c r="X87" s="33">
        <f>+X76*'Assumptions and Sensis'!$N$146*'Phase I Pro Forma'!X80</f>
        <v>942935.11179425218</v>
      </c>
      <c r="Y87" s="33">
        <f>+Y76*'Assumptions and Sensis'!$N$146*'Phase I Pro Forma'!Y80</f>
        <v>971223.16514807974</v>
      </c>
      <c r="Z87" s="33">
        <f>+Z76*'Assumptions and Sensis'!$N$146*'Phase I Pro Forma'!Z80</f>
        <v>1000359.8601025223</v>
      </c>
    </row>
    <row r="88" spans="2:26" x14ac:dyDescent="0.2">
      <c r="B88" s="32" t="s">
        <v>325</v>
      </c>
      <c r="F88" s="150">
        <f ca="1">+IFERROR(INDEX('Taxes and TIF'!$M$11:$M$45,MATCH('Phase I Pro Forma'!F$7,'Taxes and TIF'!$B$11:$B$45,0)),0)*'Loan Sizing'!$I$20*F77</f>
        <v>0</v>
      </c>
      <c r="G88" s="150">
        <f ca="1">+IFERROR(INDEX('Taxes and TIF'!$M$11:$M$45,MATCH('Phase I Pro Forma'!G$7,'Taxes and TIF'!$B$11:$B$45,0)),0)*'Loan Sizing'!$I$20*G77</f>
        <v>0</v>
      </c>
      <c r="H88" s="150">
        <f ca="1">+IFERROR(INDEX('Taxes and TIF'!$M$11:$M$45,MATCH('Phase I Pro Forma'!H$7,'Taxes and TIF'!$B$11:$B$45,0)),0)*'Loan Sizing'!$I$20*H77</f>
        <v>0</v>
      </c>
      <c r="I88" s="150">
        <f ca="1">+IFERROR(INDEX('Taxes and TIF'!$M$11:$M$45,MATCH('Phase I Pro Forma'!I$7,'Taxes and TIF'!$B$11:$B$45,0)),0)*'Loan Sizing'!$I$20*I77</f>
        <v>32302.564875</v>
      </c>
      <c r="J88" s="150">
        <f ca="1">+IFERROR(INDEX('Taxes and TIF'!$M$11:$M$45,MATCH('Phase I Pro Forma'!J$7,'Taxes and TIF'!$B$11:$B$45,0)),0)*'Loan Sizing'!$I$20*J77</f>
        <v>65897.232344999997</v>
      </c>
      <c r="K88" s="150">
        <f ca="1">+IFERROR(INDEX('Taxes and TIF'!$M$11:$M$45,MATCH('Phase I Pro Forma'!K$7,'Taxes and TIF'!$B$11:$B$45,0)),0)*'Loan Sizing'!$I$20*K77</f>
        <v>65897.232344999997</v>
      </c>
      <c r="L88" s="150">
        <f ca="1">+IFERROR(INDEX('Taxes and TIF'!$M$11:$M$45,MATCH('Phase I Pro Forma'!L$7,'Taxes and TIF'!$B$11:$B$45,0)),0)*'Loan Sizing'!$I$20*L77</f>
        <v>65897.232344999997</v>
      </c>
      <c r="M88" s="150">
        <f ca="1">+IFERROR(INDEX('Taxes and TIF'!$M$11:$M$45,MATCH('Phase I Pro Forma'!M$7,'Taxes and TIF'!$B$11:$B$45,0)),0)*'Loan Sizing'!$I$20*M77</f>
        <v>67215.176991900007</v>
      </c>
      <c r="N88" s="150">
        <f ca="1">+IFERROR(INDEX('Taxes and TIF'!$M$11:$M$45,MATCH('Phase I Pro Forma'!N$7,'Taxes and TIF'!$B$11:$B$45,0)),0)*'Loan Sizing'!$I$20*N77</f>
        <v>67215.176991900007</v>
      </c>
      <c r="O88" s="150">
        <f ca="1">+IFERROR(INDEX('Taxes and TIF'!$M$11:$M$45,MATCH('Phase I Pro Forma'!O$7,'Taxes and TIF'!$B$11:$B$45,0)),0)*'Loan Sizing'!$I$20*O77</f>
        <v>67215.176991900007</v>
      </c>
      <c r="P88" s="150">
        <f ca="1">+IFERROR(INDEX('Taxes and TIF'!$M$11:$M$45,MATCH('Phase I Pro Forma'!P$7,'Taxes and TIF'!$B$11:$B$45,0)),0)*'Loan Sizing'!$I$20*P77</f>
        <v>68559.480531738009</v>
      </c>
      <c r="Q88" s="150">
        <f ca="1">+IFERROR(INDEX('Taxes and TIF'!$M$11:$M$45,MATCH('Phase I Pro Forma'!Q$7,'Taxes and TIF'!$B$11:$B$45,0)),0)*'Loan Sizing'!$I$20*Q77</f>
        <v>68559.480531738009</v>
      </c>
      <c r="R88" s="150">
        <f ca="1">+IFERROR(INDEX('Taxes and TIF'!$M$11:$M$45,MATCH('Phase I Pro Forma'!R$7,'Taxes and TIF'!$B$11:$B$45,0)),0)*'Loan Sizing'!$I$20*R77</f>
        <v>68559.480531738009</v>
      </c>
      <c r="S88" s="150">
        <f ca="1">+IFERROR(INDEX('Taxes and TIF'!$M$11:$M$45,MATCH('Phase I Pro Forma'!S$7,'Taxes and TIF'!$B$11:$B$45,0)),0)*'Loan Sizing'!$I$20*S77</f>
        <v>69930.670142372779</v>
      </c>
      <c r="T88" s="150">
        <f ca="1">+IFERROR(INDEX('Taxes and TIF'!$M$11:$M$45,MATCH('Phase I Pro Forma'!T$7,'Taxes and TIF'!$B$11:$B$45,0)),0)*'Loan Sizing'!$I$20*T77</f>
        <v>69930.670142372779</v>
      </c>
      <c r="U88" s="150">
        <f ca="1">+IFERROR(INDEX('Taxes and TIF'!$M$11:$M$45,MATCH('Phase I Pro Forma'!U$7,'Taxes and TIF'!$B$11:$B$45,0)),0)*'Loan Sizing'!$I$20*U77</f>
        <v>69930.670142372779</v>
      </c>
      <c r="V88" s="150">
        <f ca="1">+IFERROR(INDEX('Taxes and TIF'!$M$11:$M$45,MATCH('Phase I Pro Forma'!V$7,'Taxes and TIF'!$B$11:$B$45,0)),0)*'Loan Sizing'!$I$20*V77</f>
        <v>71329.283545220227</v>
      </c>
      <c r="W88" s="150">
        <f ca="1">+IFERROR(INDEX('Taxes and TIF'!$M$11:$M$45,MATCH('Phase I Pro Forma'!W$7,'Taxes and TIF'!$B$11:$B$45,0)),0)*'Loan Sizing'!$I$20*W77</f>
        <v>71329.283545220227</v>
      </c>
      <c r="X88" s="150">
        <f ca="1">+IFERROR(INDEX('Taxes and TIF'!$M$11:$M$45,MATCH('Phase I Pro Forma'!X$7,'Taxes and TIF'!$B$11:$B$45,0)),0)*'Loan Sizing'!$I$20*X77</f>
        <v>71329.283545220227</v>
      </c>
      <c r="Y88" s="150">
        <f ca="1">+IFERROR(INDEX('Taxes and TIF'!$M$11:$M$45,MATCH('Phase I Pro Forma'!Y$7,'Taxes and TIF'!$B$11:$B$45,0)),0)*'Loan Sizing'!$I$20*Y77</f>
        <v>72755.869216124629</v>
      </c>
      <c r="Z88" s="150">
        <f ca="1">+IFERROR(INDEX('Taxes and TIF'!$M$11:$M$45,MATCH('Phase I Pro Forma'!Z$7,'Taxes and TIF'!$B$11:$B$45,0)),0)*'Loan Sizing'!$I$20*Z77</f>
        <v>72755.869216124629</v>
      </c>
    </row>
    <row r="89" spans="2:26" x14ac:dyDescent="0.2">
      <c r="B89" s="136" t="s">
        <v>249</v>
      </c>
      <c r="C89" s="136"/>
      <c r="D89" s="136"/>
      <c r="E89" s="136"/>
      <c r="F89" s="128">
        <f ca="1">+SUM(F87:F88)</f>
        <v>0</v>
      </c>
      <c r="G89" s="128">
        <f t="shared" ref="G89" ca="1" si="162">+SUM(G87:G88)</f>
        <v>0</v>
      </c>
      <c r="H89" s="128">
        <f t="shared" ref="H89" ca="1" si="163">+SUM(H87:H88)</f>
        <v>0</v>
      </c>
      <c r="I89" s="128">
        <f t="shared" ref="I89" ca="1" si="164">+SUM(I87:I88)</f>
        <v>334919.6484375</v>
      </c>
      <c r="J89" s="128">
        <f t="shared" ref="J89" ca="1" si="165">+SUM(J87:J88)</f>
        <v>689288.42448375013</v>
      </c>
      <c r="K89" s="128">
        <f t="shared" ref="K89" ca="1" si="166">+SUM(K87:K88)</f>
        <v>707990.16024791251</v>
      </c>
      <c r="L89" s="128">
        <f t="shared" ref="L89" ca="1" si="167">+SUM(L87:L88)</f>
        <v>727252.94808499992</v>
      </c>
      <c r="M89" s="128">
        <f t="shared" ref="M89" ca="1" si="168">+SUM(M87:M88)</f>
        <v>748411.56420409994</v>
      </c>
      <c r="N89" s="128">
        <f t="shared" ref="N89" ca="1" si="169">+SUM(N87:N88)</f>
        <v>768847.45582046593</v>
      </c>
      <c r="O89" s="128">
        <f t="shared" ref="O89" ca="1" si="170">+SUM(O87:O88)</f>
        <v>789896.42418532295</v>
      </c>
      <c r="P89" s="128">
        <f t="shared" ref="P89" ca="1" si="171">+SUM(P87:P88)</f>
        <v>812921.16514096374</v>
      </c>
      <c r="Q89" s="128">
        <f t="shared" ref="Q89" ca="1" si="172">+SUM(Q87:Q88)</f>
        <v>835252.01567924046</v>
      </c>
      <c r="R89" s="128">
        <f t="shared" ref="R89" ca="1" si="173">+SUM(R87:R88)</f>
        <v>858252.79173366562</v>
      </c>
      <c r="S89" s="128">
        <f t="shared" ref="S89" ca="1" si="174">+SUM(S87:S88)</f>
        <v>883314.78068035818</v>
      </c>
      <c r="T89" s="128">
        <f t="shared" ref="T89" ca="1" si="175">+SUM(T87:T88)</f>
        <v>907716.30399649777</v>
      </c>
      <c r="U89" s="128">
        <f t="shared" ref="U89" ca="1" si="176">+SUM(U87:U88)</f>
        <v>932849.87301212177</v>
      </c>
      <c r="V89" s="128">
        <f t="shared" ref="V89" ca="1" si="177">+SUM(V87:V88)</f>
        <v>960136.06250106171</v>
      </c>
      <c r="W89" s="128">
        <f t="shared" ref="W89" ca="1" si="178">+SUM(W87:W88)</f>
        <v>986800.2658697369</v>
      </c>
      <c r="X89" s="128">
        <f t="shared" ref="X89" ca="1" si="179">+SUM(X87:X88)</f>
        <v>1014264.3953394725</v>
      </c>
      <c r="Y89" s="128">
        <f t="shared" ref="Y89" ca="1" si="180">+SUM(Y87:Y88)</f>
        <v>1043979.0343642044</v>
      </c>
      <c r="Z89" s="128">
        <f t="shared" ref="Z89" ca="1" si="181">+SUM(Z87:Z88)</f>
        <v>1073115.7293186469</v>
      </c>
    </row>
    <row r="90" spans="2:26" x14ac:dyDescent="0.2">
      <c r="B90" s="32"/>
    </row>
    <row r="91" spans="2:26" x14ac:dyDescent="0.2">
      <c r="B91" s="137" t="s">
        <v>248</v>
      </c>
      <c r="C91" s="137"/>
      <c r="D91" s="137"/>
      <c r="E91" s="137"/>
      <c r="F91" s="138">
        <f ca="1">+F85-F89</f>
        <v>0</v>
      </c>
      <c r="G91" s="138">
        <f t="shared" ref="G91:Z91" ca="1" si="182">+G85-G89</f>
        <v>0</v>
      </c>
      <c r="H91" s="138">
        <f t="shared" ca="1" si="182"/>
        <v>0</v>
      </c>
      <c r="I91" s="138">
        <f t="shared" ca="1" si="182"/>
        <v>90843.75</v>
      </c>
      <c r="J91" s="138">
        <f t="shared" ca="1" si="182"/>
        <v>181687.5</v>
      </c>
      <c r="K91" s="138">
        <f t="shared" ca="1" si="182"/>
        <v>181687.5</v>
      </c>
      <c r="L91" s="138">
        <f t="shared" ca="1" si="182"/>
        <v>190771.875</v>
      </c>
      <c r="M91" s="138">
        <f t="shared" ca="1" si="182"/>
        <v>190771.875</v>
      </c>
      <c r="N91" s="138">
        <f t="shared" ca="1" si="182"/>
        <v>190771.875</v>
      </c>
      <c r="O91" s="138">
        <f t="shared" ca="1" si="182"/>
        <v>190771.875</v>
      </c>
      <c r="P91" s="138">
        <f t="shared" ca="1" si="182"/>
        <v>190771.875</v>
      </c>
      <c r="Q91" s="138">
        <f t="shared" ca="1" si="182"/>
        <v>200310.46875</v>
      </c>
      <c r="R91" s="138">
        <f t="shared" ca="1" si="182"/>
        <v>200310.46875</v>
      </c>
      <c r="S91" s="138">
        <f t="shared" ca="1" si="182"/>
        <v>200310.46875</v>
      </c>
      <c r="T91" s="138">
        <f t="shared" ca="1" si="182"/>
        <v>200310.46875</v>
      </c>
      <c r="U91" s="138">
        <f t="shared" ca="1" si="182"/>
        <v>200310.46875</v>
      </c>
      <c r="V91" s="138">
        <f t="shared" ca="1" si="182"/>
        <v>210325.9921875</v>
      </c>
      <c r="W91" s="138">
        <f t="shared" ca="1" si="182"/>
        <v>210325.9921875</v>
      </c>
      <c r="X91" s="138">
        <f t="shared" ca="1" si="182"/>
        <v>210325.9921875</v>
      </c>
      <c r="Y91" s="138">
        <f t="shared" ca="1" si="182"/>
        <v>210325.9921875</v>
      </c>
      <c r="Z91" s="138">
        <f t="shared" ca="1" si="182"/>
        <v>210325.9921875</v>
      </c>
    </row>
    <row r="92" spans="2:26" x14ac:dyDescent="0.2">
      <c r="B92" s="142" t="s">
        <v>254</v>
      </c>
      <c r="C92" s="140"/>
      <c r="D92" s="140"/>
      <c r="E92" s="140"/>
      <c r="F92" s="143" t="str">
        <f ca="1">+IFERROR(F91/F85,"")</f>
        <v/>
      </c>
      <c r="G92" s="143" t="str">
        <f t="shared" ref="G92" ca="1" si="183">+IFERROR(G91/G85,"")</f>
        <v/>
      </c>
      <c r="H92" s="143" t="str">
        <f t="shared" ref="H92" ca="1" si="184">+IFERROR(H91/H85,"")</f>
        <v/>
      </c>
      <c r="I92" s="144">
        <f t="shared" ref="I92" ca="1" si="185">+IFERROR(I91/I85,"")</f>
        <v>0.21336674390843727</v>
      </c>
      <c r="J92" s="144">
        <f t="shared" ref="J92" ca="1" si="186">+IFERROR(J91/J85,"")</f>
        <v>0.20860220689531786</v>
      </c>
      <c r="K92" s="144">
        <f t="shared" ref="K92" ca="1" si="187">+IFERROR(K91/K85,"")</f>
        <v>0.20421722171755105</v>
      </c>
      <c r="L92" s="144">
        <f t="shared" ref="L92" ca="1" si="188">+IFERROR(L91/L85,"")</f>
        <v>0.20780688081931792</v>
      </c>
      <c r="M92" s="144">
        <f t="shared" ref="M92" ca="1" si="189">+IFERROR(M91/M85,"")</f>
        <v>0.20312525438232534</v>
      </c>
      <c r="N92" s="144">
        <f t="shared" ref="N92" ca="1" si="190">+IFERROR(N91/N85,"")</f>
        <v>0.19879953318248786</v>
      </c>
      <c r="O92" s="144">
        <f t="shared" ref="O92" ca="1" si="191">+IFERROR(O91/O85,"")</f>
        <v>0.19453251946502317</v>
      </c>
      <c r="P92" s="144">
        <f t="shared" ref="P92" ca="1" si="192">+IFERROR(P91/P85,"")</f>
        <v>0.19006993908536721</v>
      </c>
      <c r="Q92" s="144">
        <f t="shared" ref="Q92" ca="1" si="193">+IFERROR(Q91/Q85,"")</f>
        <v>0.193431561843806</v>
      </c>
      <c r="R92" s="144">
        <f t="shared" ref="R92" ca="1" si="194">+IFERROR(R91/R85,"")</f>
        <v>0.18922862357652259</v>
      </c>
      <c r="S92" s="144">
        <f t="shared" ref="S92" ca="1" si="195">+IFERROR(S91/S85,"")</f>
        <v>0.18485216070343463</v>
      </c>
      <c r="T92" s="144">
        <f t="shared" ref="T92" ca="1" si="196">+IFERROR(T91/T85,"")</f>
        <v>0.18078125337484824</v>
      </c>
      <c r="U92" s="144">
        <f t="shared" ref="U92" ca="1" si="197">+IFERROR(U91/U85,"")</f>
        <v>0.1767715135869537</v>
      </c>
      <c r="V92" s="144">
        <f t="shared" ref="V92" ca="1" si="198">+IFERROR(V91/V85,"")</f>
        <v>0.17969484046491696</v>
      </c>
      <c r="W92" s="144">
        <f t="shared" ref="W92" ca="1" si="199">+IFERROR(W91/W85,"")</f>
        <v>0.17569240568561975</v>
      </c>
      <c r="X92" s="144">
        <f t="shared" ref="X92" ca="1" si="200">+IFERROR(X91/X85,"")</f>
        <v>0.17175211754866679</v>
      </c>
      <c r="Y92" s="144">
        <f t="shared" ref="Y92" ca="1" si="201">+IFERROR(Y91/Y85,"")</f>
        <v>0.16768328894106527</v>
      </c>
      <c r="Z92" s="144">
        <f t="shared" ref="Z92" ca="1" si="202">+IFERROR(Z91/Z85,"")</f>
        <v>0.16387654278581332</v>
      </c>
    </row>
    <row r="93" spans="2:26" x14ac:dyDescent="0.2">
      <c r="B93" s="142" t="s">
        <v>188</v>
      </c>
      <c r="C93" s="140"/>
      <c r="D93" s="140"/>
      <c r="E93" s="140"/>
      <c r="F93" s="141">
        <f ca="1">+F91/'Assumptions and Sensis'!$N$157</f>
        <v>0</v>
      </c>
      <c r="G93" s="141">
        <f ca="1">+G91/'Assumptions and Sensis'!$N$157</f>
        <v>0</v>
      </c>
      <c r="H93" s="141">
        <f ca="1">+H91/'Assumptions and Sensis'!$N$157</f>
        <v>0</v>
      </c>
      <c r="I93" s="141">
        <f ca="1">+I91/'Assumptions and Sensis'!$N$157</f>
        <v>1345833.3333333333</v>
      </c>
      <c r="J93" s="141">
        <f ca="1">+J91/'Assumptions and Sensis'!$N$157</f>
        <v>2691666.6666666665</v>
      </c>
      <c r="K93" s="141">
        <f ca="1">+K91/'Assumptions and Sensis'!$N$157</f>
        <v>2691666.6666666665</v>
      </c>
      <c r="L93" s="141">
        <f ca="1">+L91/'Assumptions and Sensis'!$N$157</f>
        <v>2826250</v>
      </c>
      <c r="M93" s="141">
        <f ca="1">+M91/'Assumptions and Sensis'!$N$157</f>
        <v>2826250</v>
      </c>
      <c r="N93" s="141">
        <f ca="1">+N91/'Assumptions and Sensis'!$N$157</f>
        <v>2826250</v>
      </c>
      <c r="O93" s="141">
        <f ca="1">+O91/'Assumptions and Sensis'!$N$157</f>
        <v>2826250</v>
      </c>
      <c r="P93" s="141">
        <f ca="1">+P91/'Assumptions and Sensis'!$N$157</f>
        <v>2826250</v>
      </c>
      <c r="Q93" s="141">
        <f ca="1">+Q91/'Assumptions and Sensis'!$N$157</f>
        <v>2967562.5</v>
      </c>
      <c r="R93" s="141">
        <f ca="1">+R91/'Assumptions and Sensis'!$N$157</f>
        <v>2967562.5</v>
      </c>
      <c r="S93" s="141">
        <f ca="1">+S91/'Assumptions and Sensis'!$N$157</f>
        <v>2967562.5</v>
      </c>
      <c r="T93" s="141">
        <f ca="1">+T91/'Assumptions and Sensis'!$N$157</f>
        <v>2967562.5</v>
      </c>
      <c r="U93" s="141">
        <f ca="1">+U91/'Assumptions and Sensis'!$N$157</f>
        <v>2967562.5</v>
      </c>
      <c r="V93" s="141">
        <f ca="1">+V91/'Assumptions and Sensis'!$N$157</f>
        <v>3115940.625</v>
      </c>
      <c r="W93" s="141">
        <f ca="1">+W91/'Assumptions and Sensis'!$N$157</f>
        <v>3115940.625</v>
      </c>
      <c r="X93" s="141">
        <f ca="1">+X91/'Assumptions and Sensis'!$N$157</f>
        <v>3115940.625</v>
      </c>
      <c r="Y93" s="141">
        <f ca="1">+Y91/'Assumptions and Sensis'!$N$157</f>
        <v>3115940.625</v>
      </c>
      <c r="Z93" s="141">
        <f ca="1">+Z91/'Assumptions and Sensis'!$N$157</f>
        <v>3115940.625</v>
      </c>
    </row>
    <row r="95" spans="2:26" x14ac:dyDescent="0.2">
      <c r="B95" s="147" t="s">
        <v>146</v>
      </c>
      <c r="C95" s="148"/>
      <c r="D95" s="148"/>
      <c r="E95" s="148"/>
      <c r="F95" s="149">
        <f>+'Assumptions and Sensis'!$F$43</f>
        <v>44196</v>
      </c>
      <c r="G95" s="149">
        <f>+EOMONTH(F95,12)</f>
        <v>44561</v>
      </c>
      <c r="H95" s="149">
        <f t="shared" ref="H95:Z95" si="203">+EOMONTH(G95,12)</f>
        <v>44926</v>
      </c>
      <c r="I95" s="149">
        <f t="shared" si="203"/>
        <v>45291</v>
      </c>
      <c r="J95" s="149">
        <f t="shared" si="203"/>
        <v>45657</v>
      </c>
      <c r="K95" s="149">
        <f t="shared" si="203"/>
        <v>46022</v>
      </c>
      <c r="L95" s="149">
        <f t="shared" si="203"/>
        <v>46387</v>
      </c>
      <c r="M95" s="149">
        <f t="shared" si="203"/>
        <v>46752</v>
      </c>
      <c r="N95" s="149">
        <f t="shared" si="203"/>
        <v>47118</v>
      </c>
      <c r="O95" s="149">
        <f t="shared" si="203"/>
        <v>47483</v>
      </c>
      <c r="P95" s="149">
        <f t="shared" si="203"/>
        <v>47848</v>
      </c>
      <c r="Q95" s="149">
        <f t="shared" si="203"/>
        <v>48213</v>
      </c>
      <c r="R95" s="149">
        <f t="shared" si="203"/>
        <v>48579</v>
      </c>
      <c r="S95" s="149">
        <f t="shared" si="203"/>
        <v>48944</v>
      </c>
      <c r="T95" s="149">
        <f t="shared" si="203"/>
        <v>49309</v>
      </c>
      <c r="U95" s="149">
        <f t="shared" si="203"/>
        <v>49674</v>
      </c>
      <c r="V95" s="149">
        <f t="shared" si="203"/>
        <v>50040</v>
      </c>
      <c r="W95" s="149">
        <f t="shared" si="203"/>
        <v>50405</v>
      </c>
      <c r="X95" s="149">
        <f t="shared" si="203"/>
        <v>50770</v>
      </c>
      <c r="Y95" s="149">
        <f t="shared" si="203"/>
        <v>51135</v>
      </c>
      <c r="Z95" s="149">
        <f t="shared" si="203"/>
        <v>51501</v>
      </c>
    </row>
    <row r="96" spans="2:26" x14ac:dyDescent="0.2">
      <c r="B96" s="32" t="s">
        <v>245</v>
      </c>
      <c r="C96" s="32"/>
      <c r="D96" s="39"/>
      <c r="E96" s="39"/>
      <c r="F96" s="41">
        <f>+IF(AND(F95&gt;='Assumptions and Sensis'!$F$47,F95&lt;'Assumptions and Sensis'!$F$49),'Assumptions and Sensis'!$F$202/ROUNDUP(('Assumptions and Sensis'!$F$48/12),0),0)</f>
        <v>0</v>
      </c>
      <c r="G96" s="41">
        <f>+IF(AND(G95&gt;='Assumptions and Sensis'!$F$47,G95&lt;'Assumptions and Sensis'!$F$49),'Assumptions and Sensis'!$F$202/ROUNDUP(('Assumptions and Sensis'!$F$48/12),0),0)</f>
        <v>0</v>
      </c>
      <c r="H96" s="41">
        <f>+IF(AND(H95&gt;='Assumptions and Sensis'!$F$47,H95&lt;'Assumptions and Sensis'!$F$49),'Assumptions and Sensis'!$F$202/ROUNDUP(('Assumptions and Sensis'!$F$48/12),0),0)</f>
        <v>0</v>
      </c>
      <c r="I96" s="41">
        <f>+IF(AND(I95&gt;='Assumptions and Sensis'!$F$47,I95&lt;'Assumptions and Sensis'!$F$49),'Assumptions and Sensis'!$F$202/ROUNDUP(('Assumptions and Sensis'!$F$48/12),0),0)</f>
        <v>205034.40000000002</v>
      </c>
      <c r="J96" s="41">
        <f>+IF(AND(J95&gt;='Assumptions and Sensis'!$F$47,J95&lt;'Assumptions and Sensis'!$F$49),'Assumptions and Sensis'!$F$202/ROUNDUP(('Assumptions and Sensis'!$F$48/12),0),0)</f>
        <v>205034.40000000002</v>
      </c>
      <c r="K96" s="41">
        <f>+IF(AND(K95&gt;='Assumptions and Sensis'!$F$47,K95&lt;'Assumptions and Sensis'!$F$49),'Assumptions and Sensis'!$F$202/ROUNDUP(('Assumptions and Sensis'!$F$48/12),0),0)</f>
        <v>0</v>
      </c>
      <c r="L96" s="41">
        <f>+IF(AND(L95&gt;='Assumptions and Sensis'!$F$47,L95&lt;'Assumptions and Sensis'!$F$49),'Assumptions and Sensis'!$F$202/ROUNDUP(('Assumptions and Sensis'!$F$48/12),0),0)</f>
        <v>0</v>
      </c>
      <c r="M96" s="41">
        <f>+IF(AND(M95&gt;='Assumptions and Sensis'!$F$47,M95&lt;'Assumptions and Sensis'!$F$49),'Assumptions and Sensis'!$F$202/ROUNDUP(('Assumptions and Sensis'!$F$48/12),0),0)</f>
        <v>0</v>
      </c>
      <c r="N96" s="41">
        <f>+IF(AND(N95&gt;='Assumptions and Sensis'!$F$47,N95&lt;'Assumptions and Sensis'!$F$49),'Assumptions and Sensis'!$F$202/ROUNDUP(('Assumptions and Sensis'!$F$48/12),0),0)</f>
        <v>0</v>
      </c>
      <c r="O96" s="41">
        <f>+IF(AND(O95&gt;='Assumptions and Sensis'!$F$47,O95&lt;'Assumptions and Sensis'!$F$49),'Assumptions and Sensis'!$F$202/ROUNDUP(('Assumptions and Sensis'!$F$48/12),0),0)</f>
        <v>0</v>
      </c>
      <c r="P96" s="41">
        <f>+IF(AND(P95&gt;='Assumptions and Sensis'!$F$47,P95&lt;'Assumptions and Sensis'!$F$49),'Assumptions and Sensis'!$F$202/ROUNDUP(('Assumptions and Sensis'!$F$48/12),0),0)</f>
        <v>0</v>
      </c>
      <c r="Q96" s="41">
        <f>+IF(AND(Q95&gt;='Assumptions and Sensis'!$F$47,Q95&lt;'Assumptions and Sensis'!$F$49),'Assumptions and Sensis'!$F$202/ROUNDUP(('Assumptions and Sensis'!$F$48/12),0),0)</f>
        <v>0</v>
      </c>
      <c r="R96" s="41">
        <f>+IF(AND(R95&gt;='Assumptions and Sensis'!$F$47,R95&lt;'Assumptions and Sensis'!$F$49),'Assumptions and Sensis'!$F$202/ROUNDUP(('Assumptions and Sensis'!$F$48/12),0),0)</f>
        <v>0</v>
      </c>
      <c r="S96" s="41">
        <f>+IF(AND(S95&gt;='Assumptions and Sensis'!$F$47,S95&lt;'Assumptions and Sensis'!$F$49),'Assumptions and Sensis'!$F$202/ROUNDUP(('Assumptions and Sensis'!$F$48/12),0),0)</f>
        <v>0</v>
      </c>
      <c r="T96" s="41">
        <f>+IF(AND(T95&gt;='Assumptions and Sensis'!$F$47,T95&lt;'Assumptions and Sensis'!$F$49),'Assumptions and Sensis'!$F$202/ROUNDUP(('Assumptions and Sensis'!$F$48/12),0),0)</f>
        <v>0</v>
      </c>
      <c r="U96" s="41">
        <f>+IF(AND(U95&gt;='Assumptions and Sensis'!$F$47,U95&lt;'Assumptions and Sensis'!$F$49),'Assumptions and Sensis'!$F$202/ROUNDUP(('Assumptions and Sensis'!$F$48/12),0),0)</f>
        <v>0</v>
      </c>
      <c r="V96" s="41">
        <f>+IF(AND(V95&gt;='Assumptions and Sensis'!$F$47,V95&lt;'Assumptions and Sensis'!$F$49),'Assumptions and Sensis'!$F$202/ROUNDUP(('Assumptions and Sensis'!$F$48/12),0),0)</f>
        <v>0</v>
      </c>
      <c r="W96" s="41">
        <f>+IF(AND(W95&gt;='Assumptions and Sensis'!$F$47,W95&lt;'Assumptions and Sensis'!$F$49),'Assumptions and Sensis'!$F$202/ROUNDUP(('Assumptions and Sensis'!$F$48/12),0),0)</f>
        <v>0</v>
      </c>
      <c r="X96" s="41">
        <f>+IF(AND(X95&gt;='Assumptions and Sensis'!$F$47,X95&lt;'Assumptions and Sensis'!$F$49),'Assumptions and Sensis'!$F$202/ROUNDUP(('Assumptions and Sensis'!$F$48/12),0),0)</f>
        <v>0</v>
      </c>
      <c r="Y96" s="41">
        <f>+IF(AND(Y95&gt;='Assumptions and Sensis'!$F$47,Y95&lt;'Assumptions and Sensis'!$F$49),'Assumptions and Sensis'!$F$202/ROUNDUP(('Assumptions and Sensis'!$F$48/12),0),0)</f>
        <v>0</v>
      </c>
      <c r="Z96" s="41">
        <f>+IF(AND(Z95&gt;='Assumptions and Sensis'!$F$47,Z95&lt;'Assumptions and Sensis'!$F$49),'Assumptions and Sensis'!$F$202/ROUNDUP(('Assumptions and Sensis'!$F$48/12),0),0)</f>
        <v>0</v>
      </c>
    </row>
    <row r="97" spans="2:26" x14ac:dyDescent="0.2">
      <c r="B97" s="32" t="s">
        <v>246</v>
      </c>
      <c r="C97" s="32"/>
      <c r="D97" s="41">
        <v>0</v>
      </c>
      <c r="E97" s="41"/>
      <c r="F97" s="41">
        <f>+D97+F96</f>
        <v>0</v>
      </c>
      <c r="G97" s="41">
        <f t="shared" ref="G97" si="204">+F97+G96</f>
        <v>0</v>
      </c>
      <c r="H97" s="41">
        <f t="shared" ref="H97" si="205">+G97+H96</f>
        <v>0</v>
      </c>
      <c r="I97" s="41">
        <f t="shared" ref="I97" si="206">+H97+I96</f>
        <v>205034.40000000002</v>
      </c>
      <c r="J97" s="41">
        <f t="shared" ref="J97" si="207">+I97+J96</f>
        <v>410068.80000000005</v>
      </c>
      <c r="K97" s="41">
        <f t="shared" ref="K97" si="208">+J97+K96</f>
        <v>410068.80000000005</v>
      </c>
      <c r="L97" s="41">
        <f t="shared" ref="L97" si="209">+K97+L96</f>
        <v>410068.80000000005</v>
      </c>
      <c r="M97" s="41">
        <f t="shared" ref="M97" si="210">+L97+M96</f>
        <v>410068.80000000005</v>
      </c>
      <c r="N97" s="41">
        <f t="shared" ref="N97" si="211">+M97+N96</f>
        <v>410068.80000000005</v>
      </c>
      <c r="O97" s="41">
        <f t="shared" ref="O97" si="212">+N97+O96</f>
        <v>410068.80000000005</v>
      </c>
      <c r="P97" s="41">
        <f t="shared" ref="P97" si="213">+O97+P96</f>
        <v>410068.80000000005</v>
      </c>
      <c r="Q97" s="41">
        <f t="shared" ref="Q97" si="214">+P97+Q96</f>
        <v>410068.80000000005</v>
      </c>
      <c r="R97" s="41">
        <f t="shared" ref="R97" si="215">+Q97+R96</f>
        <v>410068.80000000005</v>
      </c>
      <c r="S97" s="41">
        <f t="shared" ref="S97" si="216">+R97+S96</f>
        <v>410068.80000000005</v>
      </c>
      <c r="T97" s="41">
        <f t="shared" ref="T97" si="217">+S97+T96</f>
        <v>410068.80000000005</v>
      </c>
      <c r="U97" s="41">
        <f t="shared" ref="U97" si="218">+T97+U96</f>
        <v>410068.80000000005</v>
      </c>
      <c r="V97" s="41">
        <f t="shared" ref="V97" si="219">+U97+V96</f>
        <v>410068.80000000005</v>
      </c>
      <c r="W97" s="41">
        <f t="shared" ref="W97" si="220">+V97+W96</f>
        <v>410068.80000000005</v>
      </c>
      <c r="X97" s="41">
        <f t="shared" ref="X97" si="221">+W97+X96</f>
        <v>410068.80000000005</v>
      </c>
      <c r="Y97" s="41">
        <f t="shared" ref="Y97" si="222">+X97+Y96</f>
        <v>410068.80000000005</v>
      </c>
      <c r="Z97" s="41">
        <f t="shared" ref="Z97" si="223">+Y97+Z96</f>
        <v>410068.80000000005</v>
      </c>
    </row>
    <row r="98" spans="2:26" x14ac:dyDescent="0.2">
      <c r="B98" s="32" t="s">
        <v>301</v>
      </c>
      <c r="C98" s="32"/>
      <c r="D98" s="41"/>
      <c r="E98" s="41"/>
      <c r="F98" s="107">
        <f t="shared" ref="F98:Z98" si="224">+F97/SUM($F96:$Z96)</f>
        <v>0</v>
      </c>
      <c r="G98" s="107">
        <f t="shared" si="224"/>
        <v>0</v>
      </c>
      <c r="H98" s="107">
        <f t="shared" si="224"/>
        <v>0</v>
      </c>
      <c r="I98" s="107">
        <f t="shared" si="224"/>
        <v>0.5</v>
      </c>
      <c r="J98" s="107">
        <f t="shared" si="224"/>
        <v>1</v>
      </c>
      <c r="K98" s="107">
        <f t="shared" si="224"/>
        <v>1</v>
      </c>
      <c r="L98" s="107">
        <f t="shared" si="224"/>
        <v>1</v>
      </c>
      <c r="M98" s="107">
        <f t="shared" si="224"/>
        <v>1</v>
      </c>
      <c r="N98" s="107">
        <f t="shared" si="224"/>
        <v>1</v>
      </c>
      <c r="O98" s="107">
        <f t="shared" si="224"/>
        <v>1</v>
      </c>
      <c r="P98" s="107">
        <f t="shared" si="224"/>
        <v>1</v>
      </c>
      <c r="Q98" s="107">
        <f t="shared" si="224"/>
        <v>1</v>
      </c>
      <c r="R98" s="107">
        <f t="shared" si="224"/>
        <v>1</v>
      </c>
      <c r="S98" s="107">
        <f t="shared" si="224"/>
        <v>1</v>
      </c>
      <c r="T98" s="107">
        <f t="shared" si="224"/>
        <v>1</v>
      </c>
      <c r="U98" s="107">
        <f t="shared" si="224"/>
        <v>1</v>
      </c>
      <c r="V98" s="107">
        <f t="shared" si="224"/>
        <v>1</v>
      </c>
      <c r="W98" s="107">
        <f t="shared" si="224"/>
        <v>1</v>
      </c>
      <c r="X98" s="107">
        <f t="shared" si="224"/>
        <v>1</v>
      </c>
      <c r="Y98" s="107">
        <f t="shared" si="224"/>
        <v>1</v>
      </c>
      <c r="Z98" s="107">
        <f t="shared" si="224"/>
        <v>1</v>
      </c>
    </row>
    <row r="99" spans="2:26" x14ac:dyDescent="0.2">
      <c r="B99" s="32"/>
      <c r="C99" s="32"/>
      <c r="D99" s="39"/>
      <c r="E99" s="39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2:26" x14ac:dyDescent="0.2">
      <c r="B100" s="32" t="s">
        <v>251</v>
      </c>
      <c r="C100" s="32"/>
      <c r="D100" s="41"/>
      <c r="E100" s="41"/>
      <c r="F100" s="107">
        <v>1</v>
      </c>
      <c r="G100" s="107">
        <f>+IF(MOD(G$2,'Assumptions and Sensis'!$N$93)=('Assumptions and Sensis'!$N$93-1),F100*(1+'Assumptions and Sensis'!$N$92),'Phase I Pro Forma'!F100)</f>
        <v>1</v>
      </c>
      <c r="H100" s="107">
        <f>+IF(MOD(H$2,'Assumptions and Sensis'!$N$93)=('Assumptions and Sensis'!$N$93-1),G100*(1+'Assumptions and Sensis'!$N$92),'Phase I Pro Forma'!G100)</f>
        <v>1</v>
      </c>
      <c r="I100" s="107">
        <f>+IF(MOD(I$2,'Assumptions and Sensis'!$N$93)=('Assumptions and Sensis'!$N$93-1),H100*(1+'Assumptions and Sensis'!$N$92),'Phase I Pro Forma'!H100)</f>
        <v>1</v>
      </c>
      <c r="J100" s="107">
        <f>+IF(MOD(J$2,'Assumptions and Sensis'!$N$93)=('Assumptions and Sensis'!$N$93-1),I100*(1+'Assumptions and Sensis'!$N$92),'Phase I Pro Forma'!I100)</f>
        <v>1</v>
      </c>
      <c r="K100" s="107">
        <f>+IF(MOD(K$2,'Assumptions and Sensis'!$N$93)=('Assumptions and Sensis'!$N$93-1),J100*(1+'Assumptions and Sensis'!$N$92),'Phase I Pro Forma'!J100)</f>
        <v>1</v>
      </c>
      <c r="L100" s="107">
        <f>+IF(MOD(L$2,'Assumptions and Sensis'!$N$93)=('Assumptions and Sensis'!$N$93-1),K100*(1+'Assumptions and Sensis'!$N$92),'Phase I Pro Forma'!K100)</f>
        <v>1.1000000000000001</v>
      </c>
      <c r="M100" s="107">
        <f>+IF(MOD(M$2,'Assumptions and Sensis'!$N$93)=('Assumptions and Sensis'!$N$93-1),L100*(1+'Assumptions and Sensis'!$N$92),'Phase I Pro Forma'!L100)</f>
        <v>1.1000000000000001</v>
      </c>
      <c r="N100" s="107">
        <f>+IF(MOD(N$2,'Assumptions and Sensis'!$N$93)=('Assumptions and Sensis'!$N$93-1),M100*(1+'Assumptions and Sensis'!$N$92),'Phase I Pro Forma'!M100)</f>
        <v>1.1000000000000001</v>
      </c>
      <c r="O100" s="107">
        <f>+IF(MOD(O$2,'Assumptions and Sensis'!$N$93)=('Assumptions and Sensis'!$N$93-1),N100*(1+'Assumptions and Sensis'!$N$92),'Phase I Pro Forma'!N100)</f>
        <v>1.1000000000000001</v>
      </c>
      <c r="P100" s="107">
        <f>+IF(MOD(P$2,'Assumptions and Sensis'!$N$93)=('Assumptions and Sensis'!$N$93-1),O100*(1+'Assumptions and Sensis'!$N$92),'Phase I Pro Forma'!O100)</f>
        <v>1.1000000000000001</v>
      </c>
      <c r="Q100" s="107">
        <f>+IF(MOD(Q$2,'Assumptions and Sensis'!$N$93)=('Assumptions and Sensis'!$N$93-1),P100*(1+'Assumptions and Sensis'!$N$92),'Phase I Pro Forma'!P100)</f>
        <v>1.2100000000000002</v>
      </c>
      <c r="R100" s="107">
        <f>+IF(MOD(R$2,'Assumptions and Sensis'!$N$93)=('Assumptions and Sensis'!$N$93-1),Q100*(1+'Assumptions and Sensis'!$N$92),'Phase I Pro Forma'!Q100)</f>
        <v>1.2100000000000002</v>
      </c>
      <c r="S100" s="107">
        <f>+IF(MOD(S$2,'Assumptions and Sensis'!$N$93)=('Assumptions and Sensis'!$N$93-1),R100*(1+'Assumptions and Sensis'!$N$92),'Phase I Pro Forma'!R100)</f>
        <v>1.2100000000000002</v>
      </c>
      <c r="T100" s="107">
        <f>+IF(MOD(T$2,'Assumptions and Sensis'!$N$93)=('Assumptions and Sensis'!$N$93-1),S100*(1+'Assumptions and Sensis'!$N$92),'Phase I Pro Forma'!S100)</f>
        <v>1.2100000000000002</v>
      </c>
      <c r="U100" s="107">
        <f>+IF(MOD(U$2,'Assumptions and Sensis'!$N$93)=('Assumptions and Sensis'!$N$93-1),T100*(1+'Assumptions and Sensis'!$N$92),'Phase I Pro Forma'!T100)</f>
        <v>1.2100000000000002</v>
      </c>
      <c r="V100" s="107">
        <f>+IF(MOD(V$2,'Assumptions and Sensis'!$N$93)=('Assumptions and Sensis'!$N$93-1),U100*(1+'Assumptions and Sensis'!$N$92),'Phase I Pro Forma'!U100)</f>
        <v>1.3310000000000004</v>
      </c>
      <c r="W100" s="107">
        <f>+IF(MOD(W$2,'Assumptions and Sensis'!$N$93)=('Assumptions and Sensis'!$N$93-1),V100*(1+'Assumptions and Sensis'!$N$92),'Phase I Pro Forma'!V100)</f>
        <v>1.3310000000000004</v>
      </c>
      <c r="X100" s="107">
        <f>+IF(MOD(X$2,'Assumptions and Sensis'!$N$93)=('Assumptions and Sensis'!$N$93-1),W100*(1+'Assumptions and Sensis'!$N$92),'Phase I Pro Forma'!W100)</f>
        <v>1.3310000000000004</v>
      </c>
      <c r="Y100" s="107">
        <f>+IF(MOD(Y$2,'Assumptions and Sensis'!$N$93)=('Assumptions and Sensis'!$N$93-1),X100*(1+'Assumptions and Sensis'!$N$92),'Phase I Pro Forma'!X100)</f>
        <v>1.3310000000000004</v>
      </c>
      <c r="Z100" s="107">
        <f>+IF(MOD(Z$2,'Assumptions and Sensis'!$N$93)=('Assumptions and Sensis'!$N$93-1),Y100*(1+'Assumptions and Sensis'!$N$92),'Phase I Pro Forma'!Y100)</f>
        <v>1.3310000000000004</v>
      </c>
    </row>
    <row r="101" spans="2:26" x14ac:dyDescent="0.2">
      <c r="B101" s="32" t="s">
        <v>252</v>
      </c>
      <c r="C101" s="32"/>
      <c r="D101" s="41"/>
      <c r="E101" s="41"/>
      <c r="F101" s="107">
        <v>1</v>
      </c>
      <c r="G101" s="107">
        <f>+F101*(1+'Assumptions and Sensis'!$N$102)</f>
        <v>1.03</v>
      </c>
      <c r="H101" s="107">
        <f>+G101*(1+'Assumptions and Sensis'!$N$102)</f>
        <v>1.0609</v>
      </c>
      <c r="I101" s="107">
        <f>+H101*(1+'Assumptions and Sensis'!$N$102)</f>
        <v>1.092727</v>
      </c>
      <c r="J101" s="107">
        <f>+I101*(1+'Assumptions and Sensis'!$N$102)</f>
        <v>1.1255088100000001</v>
      </c>
      <c r="K101" s="107">
        <f>+J101*(1+'Assumptions and Sensis'!$N$102)</f>
        <v>1.1592740743000001</v>
      </c>
      <c r="L101" s="107">
        <f>+K101*(1+'Assumptions and Sensis'!$N$102)</f>
        <v>1.1940522965290001</v>
      </c>
      <c r="M101" s="107">
        <f>+L101*(1+'Assumptions and Sensis'!$N$102)</f>
        <v>1.2298738654248702</v>
      </c>
      <c r="N101" s="107">
        <f>+M101*(1+'Assumptions and Sensis'!$N$102)</f>
        <v>1.2667700813876164</v>
      </c>
      <c r="O101" s="107">
        <f>+N101*(1+'Assumptions and Sensis'!$N$102)</f>
        <v>1.3047731838292449</v>
      </c>
      <c r="P101" s="107">
        <f>+O101*(1+'Assumptions and Sensis'!$N$102)</f>
        <v>1.3439163793441222</v>
      </c>
      <c r="Q101" s="107">
        <f>+P101*(1+'Assumptions and Sensis'!$N$102)</f>
        <v>1.3842338707244459</v>
      </c>
      <c r="R101" s="107">
        <f>+Q101*(1+'Assumptions and Sensis'!$N$102)</f>
        <v>1.4257608868461793</v>
      </c>
      <c r="S101" s="107">
        <f>+R101*(1+'Assumptions and Sensis'!$N$102)</f>
        <v>1.4685337134515648</v>
      </c>
      <c r="T101" s="107">
        <f>+S101*(1+'Assumptions and Sensis'!$N$102)</f>
        <v>1.5125897248551119</v>
      </c>
      <c r="U101" s="107">
        <f>+T101*(1+'Assumptions and Sensis'!$N$102)</f>
        <v>1.5579674166007653</v>
      </c>
      <c r="V101" s="107">
        <f>+U101*(1+'Assumptions and Sensis'!$N$102)</f>
        <v>1.6047064390987884</v>
      </c>
      <c r="W101" s="107">
        <f>+V101*(1+'Assumptions and Sensis'!$N$102)</f>
        <v>1.652847632271752</v>
      </c>
      <c r="X101" s="107">
        <f>+W101*(1+'Assumptions and Sensis'!$N$102)</f>
        <v>1.7024330612399046</v>
      </c>
      <c r="Y101" s="107">
        <f>+X101*(1+'Assumptions and Sensis'!$N$102)</f>
        <v>1.7535060530771018</v>
      </c>
      <c r="Z101" s="107">
        <f>+Y101*(1+'Assumptions and Sensis'!$N$102)</f>
        <v>1.806111234669415</v>
      </c>
    </row>
    <row r="102" spans="2:26" x14ac:dyDescent="0.2">
      <c r="B102" s="32"/>
      <c r="C102" s="32"/>
      <c r="D102" s="39"/>
      <c r="E102" s="39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2:26" x14ac:dyDescent="0.2">
      <c r="B103" s="32" t="s">
        <v>243</v>
      </c>
      <c r="C103" s="32"/>
      <c r="D103" s="39"/>
      <c r="E103" s="39"/>
      <c r="F103" s="33">
        <f>+F98*'Assumptions and Sensis'!$F$201*F100</f>
        <v>0</v>
      </c>
      <c r="G103" s="33">
        <f>+G98*'Assumptions and Sensis'!$F$201*G100</f>
        <v>0</v>
      </c>
      <c r="H103" s="33">
        <f>+H98*'Assumptions and Sensis'!$F$201*H100</f>
        <v>0</v>
      </c>
      <c r="I103" s="33">
        <f>+I98*'Assumptions and Sensis'!$F$201*I100</f>
        <v>4920825.6000000006</v>
      </c>
      <c r="J103" s="33">
        <f>+J98*'Assumptions and Sensis'!$F$201*J100</f>
        <v>9841651.2000000011</v>
      </c>
      <c r="K103" s="33">
        <f>+K98*'Assumptions and Sensis'!$F$201*K100</f>
        <v>9841651.2000000011</v>
      </c>
      <c r="L103" s="33">
        <f>+L98*'Assumptions and Sensis'!$F$201*L100</f>
        <v>10825816.320000002</v>
      </c>
      <c r="M103" s="33">
        <f>+M98*'Assumptions and Sensis'!$F$201*M100</f>
        <v>10825816.320000002</v>
      </c>
      <c r="N103" s="33">
        <f>+N98*'Assumptions and Sensis'!$F$201*N100</f>
        <v>10825816.320000002</v>
      </c>
      <c r="O103" s="33">
        <f>+O98*'Assumptions and Sensis'!$F$201*O100</f>
        <v>10825816.320000002</v>
      </c>
      <c r="P103" s="33">
        <f>+P98*'Assumptions and Sensis'!$F$201*P100</f>
        <v>10825816.320000002</v>
      </c>
      <c r="Q103" s="33">
        <f>+Q98*'Assumptions and Sensis'!$F$201*Q100</f>
        <v>11908397.952000003</v>
      </c>
      <c r="R103" s="33">
        <f>+R98*'Assumptions and Sensis'!$F$201*R100</f>
        <v>11908397.952000003</v>
      </c>
      <c r="S103" s="33">
        <f>+S98*'Assumptions and Sensis'!$F$201*S100</f>
        <v>11908397.952000003</v>
      </c>
      <c r="T103" s="33">
        <f>+T98*'Assumptions and Sensis'!$F$201*T100</f>
        <v>11908397.952000003</v>
      </c>
      <c r="U103" s="33">
        <f>+U98*'Assumptions and Sensis'!$F$201*U100</f>
        <v>11908397.952000003</v>
      </c>
      <c r="V103" s="33">
        <f>+V98*'Assumptions and Sensis'!$F$201*V100</f>
        <v>13099237.747200005</v>
      </c>
      <c r="W103" s="33">
        <f>+W98*'Assumptions and Sensis'!$F$201*W100</f>
        <v>13099237.747200005</v>
      </c>
      <c r="X103" s="33">
        <f>+X98*'Assumptions and Sensis'!$F$201*X100</f>
        <v>13099237.747200005</v>
      </c>
      <c r="Y103" s="33">
        <f>+Y98*'Assumptions and Sensis'!$F$201*Y100</f>
        <v>13099237.747200005</v>
      </c>
      <c r="Z103" s="33">
        <f>+Z98*'Assumptions and Sensis'!$F$201*Z100</f>
        <v>13099237.747200005</v>
      </c>
    </row>
    <row r="104" spans="2:26" x14ac:dyDescent="0.2">
      <c r="B104" s="32" t="s">
        <v>244</v>
      </c>
      <c r="C104" s="32"/>
      <c r="D104" s="39"/>
      <c r="E104" s="39"/>
      <c r="F104" s="41">
        <f>-F103*'Assumptions and Sensis'!$N$79</f>
        <v>0</v>
      </c>
      <c r="G104" s="41">
        <f>-G103*'Assumptions and Sensis'!$N$79</f>
        <v>0</v>
      </c>
      <c r="H104" s="41">
        <f>-H103*'Assumptions and Sensis'!$N$79</f>
        <v>0</v>
      </c>
      <c r="I104" s="41">
        <f>-I103*'Assumptions and Sensis'!$N$79</f>
        <v>-492082.56000000006</v>
      </c>
      <c r="J104" s="41">
        <f>-J103*'Assumptions and Sensis'!$N$79</f>
        <v>-984165.12000000011</v>
      </c>
      <c r="K104" s="41">
        <f>-K103*'Assumptions and Sensis'!$N$79</f>
        <v>-984165.12000000011</v>
      </c>
      <c r="L104" s="41">
        <f>-L103*'Assumptions and Sensis'!$N$79</f>
        <v>-1082581.6320000002</v>
      </c>
      <c r="M104" s="41">
        <f>-M103*'Assumptions and Sensis'!$N$79</f>
        <v>-1082581.6320000002</v>
      </c>
      <c r="N104" s="41">
        <f>-N103*'Assumptions and Sensis'!$N$79</f>
        <v>-1082581.6320000002</v>
      </c>
      <c r="O104" s="41">
        <f>-O103*'Assumptions and Sensis'!$N$79</f>
        <v>-1082581.6320000002</v>
      </c>
      <c r="P104" s="41">
        <f>-P103*'Assumptions and Sensis'!$N$79</f>
        <v>-1082581.6320000002</v>
      </c>
      <c r="Q104" s="41">
        <f>-Q103*'Assumptions and Sensis'!$N$79</f>
        <v>-1190839.7952000003</v>
      </c>
      <c r="R104" s="41">
        <f>-R103*'Assumptions and Sensis'!$N$79</f>
        <v>-1190839.7952000003</v>
      </c>
      <c r="S104" s="41">
        <f>-S103*'Assumptions and Sensis'!$N$79</f>
        <v>-1190839.7952000003</v>
      </c>
      <c r="T104" s="41">
        <f>-T103*'Assumptions and Sensis'!$N$79</f>
        <v>-1190839.7952000003</v>
      </c>
      <c r="U104" s="41">
        <f>-U103*'Assumptions and Sensis'!$N$79</f>
        <v>-1190839.7952000003</v>
      </c>
      <c r="V104" s="41">
        <f>-V103*'Assumptions and Sensis'!$N$79</f>
        <v>-1309923.7747200006</v>
      </c>
      <c r="W104" s="41">
        <f>-W103*'Assumptions and Sensis'!$N$79</f>
        <v>-1309923.7747200006</v>
      </c>
      <c r="X104" s="41">
        <f>-X103*'Assumptions and Sensis'!$N$79</f>
        <v>-1309923.7747200006</v>
      </c>
      <c r="Y104" s="41">
        <f>-Y103*'Assumptions and Sensis'!$N$79</f>
        <v>-1309923.7747200006</v>
      </c>
      <c r="Z104" s="41">
        <f>-Z103*'Assumptions and Sensis'!$N$79</f>
        <v>-1309923.7747200006</v>
      </c>
    </row>
    <row r="105" spans="2:26" x14ac:dyDescent="0.2">
      <c r="B105" s="32" t="s">
        <v>259</v>
      </c>
      <c r="C105" s="32"/>
      <c r="D105" s="39"/>
      <c r="E105" s="39"/>
      <c r="F105" s="150">
        <f ca="1">+F110*'Assumptions and Sensis'!$N$113</f>
        <v>0</v>
      </c>
      <c r="G105" s="150">
        <f ca="1">+G110*'Assumptions and Sensis'!$N$113</f>
        <v>0</v>
      </c>
      <c r="H105" s="150">
        <f ca="1">+H110*'Assumptions and Sensis'!$N$113</f>
        <v>0</v>
      </c>
      <c r="I105" s="150">
        <f ca="1">+I110*'Assumptions and Sensis'!$N$113</f>
        <v>2824965.3967519626</v>
      </c>
      <c r="J105" s="150">
        <f ca="1">+J110*'Assumptions and Sensis'!$N$113</f>
        <v>5793175.7037231931</v>
      </c>
      <c r="K105" s="150">
        <f ca="1">+K110*'Assumptions and Sensis'!$N$113</f>
        <v>5886636.7532621836</v>
      </c>
      <c r="L105" s="150">
        <f ca="1">+L110*'Assumptions and Sensis'!$N$113</f>
        <v>5982901.6342873452</v>
      </c>
      <c r="M105" s="150">
        <f ca="1">+M110*'Assumptions and Sensis'!$N$113</f>
        <v>6135610.6094583971</v>
      </c>
      <c r="N105" s="150">
        <f ca="1">+N110*'Assumptions and Sensis'!$N$113</f>
        <v>6237738.02173799</v>
      </c>
      <c r="O105" s="150">
        <f ca="1">+O110*'Assumptions and Sensis'!$N$113</f>
        <v>6342929.2563859709</v>
      </c>
      <c r="P105" s="150">
        <f ca="1">+P110*'Assumptions and Sensis'!$N$113</f>
        <v>6505903.4987428309</v>
      </c>
      <c r="Q105" s="150">
        <f ca="1">+Q110*'Assumptions and Sensis'!$N$113</f>
        <v>6617500.879580874</v>
      </c>
      <c r="R105" s="150">
        <f ca="1">+R110*'Assumptions and Sensis'!$N$113</f>
        <v>6732446.1818440575</v>
      </c>
      <c r="S105" s="150">
        <f ca="1">+S110*'Assumptions and Sensis'!$N$113</f>
        <v>6906559.6592579661</v>
      </c>
      <c r="T105" s="150">
        <f ca="1">+T110*'Assumptions and Sensis'!$N$113</f>
        <v>7028505.1304289782</v>
      </c>
      <c r="U105" s="150">
        <f ca="1">+U110*'Assumptions and Sensis'!$N$113</f>
        <v>7154108.9657351207</v>
      </c>
      <c r="V105" s="150">
        <f ca="1">+V110*'Assumptions and Sensis'!$N$113</f>
        <v>7340315.1285049329</v>
      </c>
      <c r="W105" s="150">
        <f ca="1">+W110*'Assumptions and Sensis'!$N$113</f>
        <v>7473568.2373812189</v>
      </c>
      <c r="X105" s="150">
        <f ca="1">+X110*'Assumptions and Sensis'!$N$113</f>
        <v>7610818.9395237947</v>
      </c>
      <c r="Y105" s="150">
        <f ca="1">+Y110*'Assumptions and Sensis'!$N$113</f>
        <v>7810158.05938322</v>
      </c>
      <c r="Z105" s="150">
        <f ca="1">+Z110*'Assumptions and Sensis'!$N$113</f>
        <v>7955767.3292862792</v>
      </c>
    </row>
    <row r="106" spans="2:26" x14ac:dyDescent="0.2">
      <c r="B106" s="136" t="s">
        <v>253</v>
      </c>
      <c r="C106" s="136"/>
      <c r="D106" s="136"/>
      <c r="E106" s="136"/>
      <c r="F106" s="128">
        <f t="shared" ref="F106:Z106" ca="1" si="225">+SUM(F103:F105)</f>
        <v>0</v>
      </c>
      <c r="G106" s="128">
        <f t="shared" ca="1" si="225"/>
        <v>0</v>
      </c>
      <c r="H106" s="128">
        <f t="shared" ca="1" si="225"/>
        <v>0</v>
      </c>
      <c r="I106" s="128">
        <f t="shared" ca="1" si="225"/>
        <v>7253708.4367519636</v>
      </c>
      <c r="J106" s="128">
        <f t="shared" ca="1" si="225"/>
        <v>14650661.783723194</v>
      </c>
      <c r="K106" s="128">
        <f t="shared" ca="1" si="225"/>
        <v>14744122.833262186</v>
      </c>
      <c r="L106" s="128">
        <f t="shared" ca="1" si="225"/>
        <v>15726136.322287347</v>
      </c>
      <c r="M106" s="128">
        <f t="shared" ca="1" si="225"/>
        <v>15878845.297458399</v>
      </c>
      <c r="N106" s="128">
        <f t="shared" ca="1" si="225"/>
        <v>15980972.70973799</v>
      </c>
      <c r="O106" s="128">
        <f t="shared" ca="1" si="225"/>
        <v>16086163.944385972</v>
      </c>
      <c r="P106" s="128">
        <f t="shared" ca="1" si="225"/>
        <v>16249138.186742831</v>
      </c>
      <c r="Q106" s="128">
        <f t="shared" ca="1" si="225"/>
        <v>17335059.03638088</v>
      </c>
      <c r="R106" s="128">
        <f t="shared" ca="1" si="225"/>
        <v>17450004.338644061</v>
      </c>
      <c r="S106" s="128">
        <f t="shared" ca="1" si="225"/>
        <v>17624117.816057969</v>
      </c>
      <c r="T106" s="128">
        <f t="shared" ca="1" si="225"/>
        <v>17746063.287228983</v>
      </c>
      <c r="U106" s="128">
        <f t="shared" ca="1" si="225"/>
        <v>17871667.122535124</v>
      </c>
      <c r="V106" s="128">
        <f t="shared" ca="1" si="225"/>
        <v>19129629.100984938</v>
      </c>
      <c r="W106" s="128">
        <f t="shared" ca="1" si="225"/>
        <v>19262882.209861223</v>
      </c>
      <c r="X106" s="128">
        <f t="shared" ca="1" si="225"/>
        <v>19400132.9120038</v>
      </c>
      <c r="Y106" s="128">
        <f t="shared" ca="1" si="225"/>
        <v>19599472.031863224</v>
      </c>
      <c r="Z106" s="128">
        <f t="shared" ca="1" si="225"/>
        <v>19745081.301766284</v>
      </c>
    </row>
    <row r="108" spans="2:26" x14ac:dyDescent="0.2">
      <c r="B108" s="32" t="s">
        <v>389</v>
      </c>
      <c r="F108" s="33">
        <f>+F97*'Assumptions and Sensis'!$N$147*'Phase I Pro Forma'!F101</f>
        <v>0</v>
      </c>
      <c r="G108" s="33">
        <f>+G97*'Assumptions and Sensis'!$N$147*'Phase I Pro Forma'!G101</f>
        <v>0</v>
      </c>
      <c r="H108" s="33">
        <f>+H97*'Assumptions and Sensis'!$N$147*'Phase I Pro Forma'!H101</f>
        <v>0</v>
      </c>
      <c r="I108" s="33">
        <f>+I97*'Assumptions and Sensis'!$N$147*'Phase I Pro Forma'!I101</f>
        <v>1680349.6860660003</v>
      </c>
      <c r="J108" s="33">
        <f>+J97*'Assumptions and Sensis'!$N$147*'Phase I Pro Forma'!J101</f>
        <v>3461520.3532959609</v>
      </c>
      <c r="K108" s="33">
        <f>+K97*'Assumptions and Sensis'!$N$147*'Phase I Pro Forma'!K101</f>
        <v>3565365.9638948394</v>
      </c>
      <c r="L108" s="33">
        <f>+L97*'Assumptions and Sensis'!$N$147*'Phase I Pro Forma'!L101</f>
        <v>3672326.9428116851</v>
      </c>
      <c r="M108" s="33">
        <f>+M97*'Assumptions and Sensis'!$N$147*'Phase I Pro Forma'!M101</f>
        <v>3782496.7510960358</v>
      </c>
      <c r="N108" s="33">
        <f>+N97*'Assumptions and Sensis'!$N$147*'Phase I Pro Forma'!N101</f>
        <v>3895971.6536289169</v>
      </c>
      <c r="O108" s="33">
        <f>+O97*'Assumptions and Sensis'!$N$147*'Phase I Pro Forma'!O101</f>
        <v>4012850.8032377847</v>
      </c>
      <c r="P108" s="33">
        <f>+P97*'Assumptions and Sensis'!$N$147*'Phase I Pro Forma'!P101</f>
        <v>4133236.3273349181</v>
      </c>
      <c r="Q108" s="33">
        <f>+Q97*'Assumptions and Sensis'!$N$147*'Phase I Pro Forma'!Q101</f>
        <v>4257233.4171549659</v>
      </c>
      <c r="R108" s="33">
        <f>+R97*'Assumptions and Sensis'!$N$147*'Phase I Pro Forma'!R101</f>
        <v>4384950.4196696142</v>
      </c>
      <c r="S108" s="33">
        <f>+S97*'Assumptions and Sensis'!$N$147*'Phase I Pro Forma'!S101</f>
        <v>4516498.9322597031</v>
      </c>
      <c r="T108" s="33">
        <f>+T97*'Assumptions and Sensis'!$N$147*'Phase I Pro Forma'!T101</f>
        <v>4651993.9002274955</v>
      </c>
      <c r="U108" s="33">
        <f>+U97*'Assumptions and Sensis'!$N$147*'Phase I Pro Forma'!U101</f>
        <v>4791553.71723432</v>
      </c>
      <c r="V108" s="33">
        <f>+V97*'Assumptions and Sensis'!$N$147*'Phase I Pro Forma'!V101</f>
        <v>4935300.3287513498</v>
      </c>
      <c r="W108" s="33">
        <f>+W97*'Assumptions and Sensis'!$N$147*'Phase I Pro Forma'!W101</f>
        <v>5083359.3386138901</v>
      </c>
      <c r="X108" s="33">
        <f>+X97*'Assumptions and Sensis'!$N$147*'Phase I Pro Forma'!X101</f>
        <v>5235860.1187723074</v>
      </c>
      <c r="Y108" s="33">
        <f>+Y97*'Assumptions and Sensis'!$N$147*'Phase I Pro Forma'!Y101</f>
        <v>5392935.9223354766</v>
      </c>
      <c r="Z108" s="33">
        <f>+Z97*'Assumptions and Sensis'!$N$147*'Phase I Pro Forma'!Z101</f>
        <v>5554724.0000055414</v>
      </c>
    </row>
    <row r="109" spans="2:26" x14ac:dyDescent="0.2">
      <c r="B109" s="32" t="s">
        <v>325</v>
      </c>
      <c r="F109" s="150">
        <f ca="1">+IFERROR(INDEX('Taxes and TIF'!$M$11:$M$45,MATCH('Phase I Pro Forma'!F$7,'Taxes and TIF'!$B$11:$B$45,0)),0)*'Loan Sizing'!$I$21*F98</f>
        <v>0</v>
      </c>
      <c r="G109" s="150">
        <f ca="1">+IFERROR(INDEX('Taxes and TIF'!$M$11:$M$45,MATCH('Phase I Pro Forma'!G$7,'Taxes and TIF'!$B$11:$B$45,0)),0)*'Loan Sizing'!$I$21*G98</f>
        <v>0</v>
      </c>
      <c r="H109" s="150">
        <f ca="1">+IFERROR(INDEX('Taxes and TIF'!$M$11:$M$45,MATCH('Phase I Pro Forma'!H$7,'Taxes and TIF'!$B$11:$B$45,0)),0)*'Loan Sizing'!$I$21*H98</f>
        <v>0</v>
      </c>
      <c r="I109" s="150">
        <f ca="1">+IFERROR(INDEX('Taxes and TIF'!$M$11:$M$45,MATCH('Phase I Pro Forma'!I$7,'Taxes and TIF'!$B$11:$B$45,0)),0)*'Loan Sizing'!$I$21*I98</f>
        <v>1458500.7547695141</v>
      </c>
      <c r="J109" s="150">
        <f ca="1">+IFERROR(INDEX('Taxes and TIF'!$M$11:$M$45,MATCH('Phase I Pro Forma'!J$7,'Taxes and TIF'!$B$11:$B$45,0)),0)*'Loan Sizing'!$I$21*J98</f>
        <v>2975341.5397298089</v>
      </c>
      <c r="K109" s="150">
        <f ca="1">+IFERROR(INDEX('Taxes and TIF'!$M$11:$M$45,MATCH('Phase I Pro Forma'!K$7,'Taxes and TIF'!$B$11:$B$45,0)),0)*'Loan Sizing'!$I$21*K98</f>
        <v>2975341.5397298089</v>
      </c>
      <c r="L109" s="150">
        <f ca="1">+IFERROR(INDEX('Taxes and TIF'!$M$11:$M$45,MATCH('Phase I Pro Forma'!L$7,'Taxes and TIF'!$B$11:$B$45,0)),0)*'Loan Sizing'!$I$21*L98</f>
        <v>2975341.5397298089</v>
      </c>
      <c r="M109" s="150">
        <f ca="1">+IFERROR(INDEX('Taxes and TIF'!$M$11:$M$45,MATCH('Phase I Pro Forma'!M$7,'Taxes and TIF'!$B$11:$B$45,0)),0)*'Loan Sizing'!$I$21*M98</f>
        <v>3034848.3705244055</v>
      </c>
      <c r="N109" s="150">
        <f ca="1">+IFERROR(INDEX('Taxes and TIF'!$M$11:$M$45,MATCH('Phase I Pro Forma'!N$7,'Taxes and TIF'!$B$11:$B$45,0)),0)*'Loan Sizing'!$I$21*N98</f>
        <v>3034848.3705244055</v>
      </c>
      <c r="O109" s="150">
        <f ca="1">+IFERROR(INDEX('Taxes and TIF'!$M$11:$M$45,MATCH('Phase I Pro Forma'!O$7,'Taxes and TIF'!$B$11:$B$45,0)),0)*'Loan Sizing'!$I$21*O98</f>
        <v>3034848.3705244055</v>
      </c>
      <c r="P109" s="150">
        <f ca="1">+IFERROR(INDEX('Taxes and TIF'!$M$11:$M$45,MATCH('Phase I Pro Forma'!P$7,'Taxes and TIF'!$B$11:$B$45,0)),0)*'Loan Sizing'!$I$21*P98</f>
        <v>3095545.3379348936</v>
      </c>
      <c r="Q109" s="150">
        <f ca="1">+IFERROR(INDEX('Taxes and TIF'!$M$11:$M$45,MATCH('Phase I Pro Forma'!Q$7,'Taxes and TIF'!$B$11:$B$45,0)),0)*'Loan Sizing'!$I$21*Q98</f>
        <v>3095545.3379348936</v>
      </c>
      <c r="R109" s="150">
        <f ca="1">+IFERROR(INDEX('Taxes and TIF'!$M$11:$M$45,MATCH('Phase I Pro Forma'!R$7,'Taxes and TIF'!$B$11:$B$45,0)),0)*'Loan Sizing'!$I$21*R98</f>
        <v>3095545.3379348936</v>
      </c>
      <c r="S109" s="150">
        <f ca="1">+IFERROR(INDEX('Taxes and TIF'!$M$11:$M$45,MATCH('Phase I Pro Forma'!S$7,'Taxes and TIF'!$B$11:$B$45,0)),0)*'Loan Sizing'!$I$21*S98</f>
        <v>3157456.2446935917</v>
      </c>
      <c r="T109" s="150">
        <f ca="1">+IFERROR(INDEX('Taxes and TIF'!$M$11:$M$45,MATCH('Phase I Pro Forma'!T$7,'Taxes and TIF'!$B$11:$B$45,0)),0)*'Loan Sizing'!$I$21*T98</f>
        <v>3157456.2446935917</v>
      </c>
      <c r="U109" s="150">
        <f ca="1">+IFERROR(INDEX('Taxes and TIF'!$M$11:$M$45,MATCH('Phase I Pro Forma'!U$7,'Taxes and TIF'!$B$11:$B$45,0)),0)*'Loan Sizing'!$I$21*U98</f>
        <v>3157456.2446935917</v>
      </c>
      <c r="V109" s="150">
        <f ca="1">+IFERROR(INDEX('Taxes and TIF'!$M$11:$M$45,MATCH('Phase I Pro Forma'!V$7,'Taxes and TIF'!$B$11:$B$45,0)),0)*'Loan Sizing'!$I$21*V98</f>
        <v>3220605.3695874638</v>
      </c>
      <c r="W109" s="150">
        <f ca="1">+IFERROR(INDEX('Taxes and TIF'!$M$11:$M$45,MATCH('Phase I Pro Forma'!W$7,'Taxes and TIF'!$B$11:$B$45,0)),0)*'Loan Sizing'!$I$21*W98</f>
        <v>3220605.3695874638</v>
      </c>
      <c r="X109" s="150">
        <f ca="1">+IFERROR(INDEX('Taxes and TIF'!$M$11:$M$45,MATCH('Phase I Pro Forma'!X$7,'Taxes and TIF'!$B$11:$B$45,0)),0)*'Loan Sizing'!$I$21*X98</f>
        <v>3220605.3695874638</v>
      </c>
      <c r="Y109" s="150">
        <f ca="1">+IFERROR(INDEX('Taxes and TIF'!$M$11:$M$45,MATCH('Phase I Pro Forma'!Y$7,'Taxes and TIF'!$B$11:$B$45,0)),0)*'Loan Sizing'!$I$21*Y98</f>
        <v>3285017.4769792124</v>
      </c>
      <c r="Z109" s="150">
        <f ca="1">+IFERROR(INDEX('Taxes and TIF'!$M$11:$M$45,MATCH('Phase I Pro Forma'!Z$7,'Taxes and TIF'!$B$11:$B$45,0)),0)*'Loan Sizing'!$I$21*Z98</f>
        <v>3285017.4769792124</v>
      </c>
    </row>
    <row r="110" spans="2:26" x14ac:dyDescent="0.2">
      <c r="B110" s="136" t="s">
        <v>249</v>
      </c>
      <c r="C110" s="136"/>
      <c r="D110" s="136"/>
      <c r="E110" s="136"/>
      <c r="F110" s="128">
        <f ca="1">+SUM(F108:F109)</f>
        <v>0</v>
      </c>
      <c r="G110" s="128">
        <f t="shared" ref="G110" ca="1" si="226">+SUM(G108:G109)</f>
        <v>0</v>
      </c>
      <c r="H110" s="128">
        <f t="shared" ref="H110" ca="1" si="227">+SUM(H108:H109)</f>
        <v>0</v>
      </c>
      <c r="I110" s="128">
        <f t="shared" ref="I110" ca="1" si="228">+SUM(I108:I109)</f>
        <v>3138850.4408355141</v>
      </c>
      <c r="J110" s="128">
        <f t="shared" ref="J110" ca="1" si="229">+SUM(J108:J109)</f>
        <v>6436861.8930257699</v>
      </c>
      <c r="K110" s="128">
        <f t="shared" ref="K110" ca="1" si="230">+SUM(K108:K109)</f>
        <v>6540707.5036246479</v>
      </c>
      <c r="L110" s="128">
        <f t="shared" ref="L110" ca="1" si="231">+SUM(L108:L109)</f>
        <v>6647668.4825414941</v>
      </c>
      <c r="M110" s="128">
        <f t="shared" ref="M110" ca="1" si="232">+SUM(M108:M109)</f>
        <v>6817345.1216204409</v>
      </c>
      <c r="N110" s="128">
        <f t="shared" ref="N110" ca="1" si="233">+SUM(N108:N109)</f>
        <v>6930820.024153322</v>
      </c>
      <c r="O110" s="128">
        <f t="shared" ref="O110" ca="1" si="234">+SUM(O108:O109)</f>
        <v>7047699.1737621902</v>
      </c>
      <c r="P110" s="128">
        <f t="shared" ref="P110" ca="1" si="235">+SUM(P108:P109)</f>
        <v>7228781.6652698116</v>
      </c>
      <c r="Q110" s="128">
        <f t="shared" ref="Q110" ca="1" si="236">+SUM(Q108:Q109)</f>
        <v>7352778.7550898595</v>
      </c>
      <c r="R110" s="128">
        <f t="shared" ref="R110" ca="1" si="237">+SUM(R108:R109)</f>
        <v>7480495.7576045077</v>
      </c>
      <c r="S110" s="128">
        <f t="shared" ref="S110" ca="1" si="238">+SUM(S108:S109)</f>
        <v>7673955.1769532952</v>
      </c>
      <c r="T110" s="128">
        <f t="shared" ref="T110" ca="1" si="239">+SUM(T108:T109)</f>
        <v>7809450.1449210867</v>
      </c>
      <c r="U110" s="128">
        <f t="shared" ref="U110" ca="1" si="240">+SUM(U108:U109)</f>
        <v>7949009.9619279113</v>
      </c>
      <c r="V110" s="128">
        <f t="shared" ref="V110" ca="1" si="241">+SUM(V108:V109)</f>
        <v>8155905.6983388141</v>
      </c>
      <c r="W110" s="128">
        <f t="shared" ref="W110" ca="1" si="242">+SUM(W108:W109)</f>
        <v>8303964.7082013544</v>
      </c>
      <c r="X110" s="128">
        <f t="shared" ref="X110" ca="1" si="243">+SUM(X108:X109)</f>
        <v>8456465.4883597717</v>
      </c>
      <c r="Y110" s="128">
        <f t="shared" ref="Y110" ca="1" si="244">+SUM(Y108:Y109)</f>
        <v>8677953.3993146885</v>
      </c>
      <c r="Z110" s="128">
        <f t="shared" ref="Z110" ca="1" si="245">+SUM(Z108:Z109)</f>
        <v>8839741.4769847542</v>
      </c>
    </row>
    <row r="111" spans="2:26" x14ac:dyDescent="0.2">
      <c r="B111" s="32"/>
    </row>
    <row r="112" spans="2:26" x14ac:dyDescent="0.2">
      <c r="B112" s="137" t="s">
        <v>248</v>
      </c>
      <c r="C112" s="137"/>
      <c r="D112" s="137"/>
      <c r="E112" s="137"/>
      <c r="F112" s="138">
        <f ca="1">+F106-F110</f>
        <v>0</v>
      </c>
      <c r="G112" s="138">
        <f t="shared" ref="G112:Z112" ca="1" si="246">+G106-G110</f>
        <v>0</v>
      </c>
      <c r="H112" s="138">
        <f t="shared" ca="1" si="246"/>
        <v>0</v>
      </c>
      <c r="I112" s="138">
        <f t="shared" ca="1" si="246"/>
        <v>4114857.9959164495</v>
      </c>
      <c r="J112" s="138">
        <f t="shared" ca="1" si="246"/>
        <v>8213799.8906974243</v>
      </c>
      <c r="K112" s="138">
        <f t="shared" ca="1" si="246"/>
        <v>8203415.3296375386</v>
      </c>
      <c r="L112" s="138">
        <f t="shared" ca="1" si="246"/>
        <v>9078467.8397458531</v>
      </c>
      <c r="M112" s="138">
        <f t="shared" ca="1" si="246"/>
        <v>9061500.1758379582</v>
      </c>
      <c r="N112" s="138">
        <f t="shared" ca="1" si="246"/>
        <v>9050152.6855846681</v>
      </c>
      <c r="O112" s="138">
        <f t="shared" ca="1" si="246"/>
        <v>9038464.7706237808</v>
      </c>
      <c r="P112" s="138">
        <f t="shared" ca="1" si="246"/>
        <v>9020356.5214730203</v>
      </c>
      <c r="Q112" s="138">
        <f t="shared" ca="1" si="246"/>
        <v>9982280.2812910192</v>
      </c>
      <c r="R112" s="138">
        <f t="shared" ca="1" si="246"/>
        <v>9969508.5810395535</v>
      </c>
      <c r="S112" s="138">
        <f t="shared" ca="1" si="246"/>
        <v>9950162.6391046736</v>
      </c>
      <c r="T112" s="138">
        <f t="shared" ca="1" si="246"/>
        <v>9936613.1423078962</v>
      </c>
      <c r="U112" s="138">
        <f t="shared" ca="1" si="246"/>
        <v>9922657.1606072132</v>
      </c>
      <c r="V112" s="138">
        <f t="shared" ca="1" si="246"/>
        <v>10973723.402646124</v>
      </c>
      <c r="W112" s="138">
        <f t="shared" ca="1" si="246"/>
        <v>10958917.501659868</v>
      </c>
      <c r="X112" s="138">
        <f t="shared" ca="1" si="246"/>
        <v>10943667.423644029</v>
      </c>
      <c r="Y112" s="138">
        <f t="shared" ca="1" si="246"/>
        <v>10921518.632548535</v>
      </c>
      <c r="Z112" s="138">
        <f t="shared" ca="1" si="246"/>
        <v>10905339.82478153</v>
      </c>
    </row>
    <row r="113" spans="2:26" x14ac:dyDescent="0.2">
      <c r="B113" s="142" t="s">
        <v>254</v>
      </c>
      <c r="C113" s="140"/>
      <c r="D113" s="140"/>
      <c r="E113" s="140"/>
      <c r="F113" s="143" t="str">
        <f ca="1">+IFERROR(F112/F106,"")</f>
        <v/>
      </c>
      <c r="G113" s="143" t="str">
        <f t="shared" ref="G113" ca="1" si="247">+IFERROR(G112/G106,"")</f>
        <v/>
      </c>
      <c r="H113" s="143" t="str">
        <f t="shared" ref="H113" ca="1" si="248">+IFERROR(H112/H106,"")</f>
        <v/>
      </c>
      <c r="I113" s="144">
        <f t="shared" ref="I113" ca="1" si="249">+IFERROR(I112/I106,"")</f>
        <v>0.56727645338871435</v>
      </c>
      <c r="J113" s="144">
        <f t="shared" ref="J113" ca="1" si="250">+IFERROR(J112/J106,"")</f>
        <v>0.56064360859267881</v>
      </c>
      <c r="K113" s="144">
        <f t="shared" ref="K113" ca="1" si="251">+IFERROR(K112/K106,"")</f>
        <v>0.55638544404492762</v>
      </c>
      <c r="L113" s="144">
        <f t="shared" ref="L113" ca="1" si="252">+IFERROR(L112/L106,"")</f>
        <v>0.5772853327539641</v>
      </c>
      <c r="M113" s="144">
        <f t="shared" ref="M113" ca="1" si="253">+IFERROR(M112/M106,"")</f>
        <v>0.57066493224720571</v>
      </c>
      <c r="N113" s="144">
        <f t="shared" ref="N113" ca="1" si="254">+IFERROR(N112/N106,"")</f>
        <v>0.56630799951682331</v>
      </c>
      <c r="O113" s="144">
        <f t="shared" ref="O113" ca="1" si="255">+IFERROR(O112/O106,"")</f>
        <v>0.56187819556434282</v>
      </c>
      <c r="P113" s="144">
        <f t="shared" ref="P113" ca="1" si="256">+IFERROR(P112/P106,"")</f>
        <v>0.55512830390183088</v>
      </c>
      <c r="Q113" s="144">
        <f t="shared" ref="Q113" ca="1" si="257">+IFERROR(Q112/Q106,"")</f>
        <v>0.5758434546049902</v>
      </c>
      <c r="R113" s="144">
        <f t="shared" ref="R113" ca="1" si="258">+IFERROR(R112/R106,"")</f>
        <v>0.57131840127749944</v>
      </c>
      <c r="S113" s="144">
        <f t="shared" ref="S113" ca="1" si="259">+IFERROR(S112/S106,"")</f>
        <v>0.56457649358419071</v>
      </c>
      <c r="T113" s="144">
        <f t="shared" ref="T113" ca="1" si="260">+IFERROR(T112/T106,"")</f>
        <v>0.55993337685540745</v>
      </c>
      <c r="U113" s="144">
        <f t="shared" ref="U113" ca="1" si="261">+IFERROR(U112/U106,"")</f>
        <v>0.55521721015580716</v>
      </c>
      <c r="V113" s="144">
        <f t="shared" ref="V113" ca="1" si="262">+IFERROR(V112/V106,"")</f>
        <v>0.57365060998914574</v>
      </c>
      <c r="W113" s="144">
        <f t="shared" ref="W113" ca="1" si="263">+IFERROR(W112/W106,"")</f>
        <v>0.56891369537886094</v>
      </c>
      <c r="X113" s="144">
        <f t="shared" ref="X113" ca="1" si="264">+IFERROR(X112/X106,"")</f>
        <v>0.56410270348574021</v>
      </c>
      <c r="Y113" s="144">
        <f t="shared" ref="Y113" ca="1" si="265">+IFERROR(Y112/Y106,"")</f>
        <v>0.55723534872741576</v>
      </c>
      <c r="Z113" s="144">
        <f t="shared" ref="Z113" ca="1" si="266">+IFERROR(Z112/Z106,"")</f>
        <v>0.5523066559268105</v>
      </c>
    </row>
    <row r="114" spans="2:26" x14ac:dyDescent="0.2">
      <c r="B114" s="142" t="s">
        <v>188</v>
      </c>
      <c r="C114" s="140"/>
      <c r="D114" s="140"/>
      <c r="E114" s="140"/>
      <c r="F114" s="141">
        <f ca="1">+F112/'Assumptions and Sensis'!$N$158</f>
        <v>0</v>
      </c>
      <c r="G114" s="141">
        <f ca="1">+G112/'Assumptions and Sensis'!$N$158</f>
        <v>0</v>
      </c>
      <c r="H114" s="141">
        <f ca="1">+H112/'Assumptions and Sensis'!$N$158</f>
        <v>0</v>
      </c>
      <c r="I114" s="141">
        <f ca="1">+I112/'Assumptions and Sensis'!$N$158</f>
        <v>63305507.629483834</v>
      </c>
      <c r="J114" s="141">
        <f ca="1">+J112/'Assumptions and Sensis'!$N$158</f>
        <v>126366152.16457576</v>
      </c>
      <c r="K114" s="141">
        <f ca="1">+K112/'Assumptions and Sensis'!$N$158</f>
        <v>126206389.68673135</v>
      </c>
      <c r="L114" s="141">
        <f ca="1">+L112/'Assumptions and Sensis'!$N$158</f>
        <v>139668735.99609005</v>
      </c>
      <c r="M114" s="141">
        <f ca="1">+M112/'Assumptions and Sensis'!$N$158</f>
        <v>139407695.01289165</v>
      </c>
      <c r="N114" s="141">
        <f ca="1">+N112/'Assumptions and Sensis'!$N$158</f>
        <v>139233118.23976412</v>
      </c>
      <c r="O114" s="141">
        <f ca="1">+O112/'Assumptions and Sensis'!$N$158</f>
        <v>139053304.16344279</v>
      </c>
      <c r="P114" s="141">
        <f ca="1">+P112/'Assumptions and Sensis'!$N$158</f>
        <v>138774715.71496955</v>
      </c>
      <c r="Q114" s="141">
        <f ca="1">+Q112/'Assumptions and Sensis'!$N$158</f>
        <v>153573542.7890926</v>
      </c>
      <c r="R114" s="141">
        <f ca="1">+R112/'Assumptions and Sensis'!$N$158</f>
        <v>153377055.09291619</v>
      </c>
      <c r="S114" s="141">
        <f ca="1">+S112/'Assumptions and Sensis'!$N$158</f>
        <v>153079425.21699497</v>
      </c>
      <c r="T114" s="141">
        <f ca="1">+T112/'Assumptions and Sensis'!$N$158</f>
        <v>152870971.42012146</v>
      </c>
      <c r="U114" s="141">
        <f ca="1">+U112/'Assumptions and Sensis'!$N$158</f>
        <v>152656264.00934175</v>
      </c>
      <c r="V114" s="141">
        <f ca="1">+V112/'Assumptions and Sensis'!$N$158</f>
        <v>168826513.88686344</v>
      </c>
      <c r="W114" s="141">
        <f ca="1">+W112/'Assumptions and Sensis'!$N$158</f>
        <v>168598730.7947672</v>
      </c>
      <c r="X114" s="141">
        <f ca="1">+X112/'Assumptions and Sensis'!$N$158</f>
        <v>168364114.20990813</v>
      </c>
      <c r="Y114" s="141">
        <f ca="1">+Y112/'Assumptions and Sensis'!$N$158</f>
        <v>168023363.57766977</v>
      </c>
      <c r="Z114" s="141">
        <f ca="1">+Z112/'Assumptions and Sensis'!$N$158</f>
        <v>167774458.84279275</v>
      </c>
    </row>
    <row r="116" spans="2:26" x14ac:dyDescent="0.2">
      <c r="B116" s="147" t="s">
        <v>221</v>
      </c>
      <c r="C116" s="148"/>
      <c r="D116" s="148"/>
      <c r="E116" s="148"/>
      <c r="F116" s="149">
        <f>+'Assumptions and Sensis'!$F$43</f>
        <v>44196</v>
      </c>
      <c r="G116" s="149">
        <f>+EOMONTH(F116,12)</f>
        <v>44561</v>
      </c>
      <c r="H116" s="149">
        <f t="shared" ref="H116:Z116" si="267">+EOMONTH(G116,12)</f>
        <v>44926</v>
      </c>
      <c r="I116" s="149">
        <f t="shared" si="267"/>
        <v>45291</v>
      </c>
      <c r="J116" s="149">
        <f t="shared" si="267"/>
        <v>45657</v>
      </c>
      <c r="K116" s="149">
        <f t="shared" si="267"/>
        <v>46022</v>
      </c>
      <c r="L116" s="149">
        <f t="shared" si="267"/>
        <v>46387</v>
      </c>
      <c r="M116" s="149">
        <f t="shared" si="267"/>
        <v>46752</v>
      </c>
      <c r="N116" s="149">
        <f t="shared" si="267"/>
        <v>47118</v>
      </c>
      <c r="O116" s="149">
        <f t="shared" si="267"/>
        <v>47483</v>
      </c>
      <c r="P116" s="149">
        <f t="shared" si="267"/>
        <v>47848</v>
      </c>
      <c r="Q116" s="149">
        <f t="shared" si="267"/>
        <v>48213</v>
      </c>
      <c r="R116" s="149">
        <f t="shared" si="267"/>
        <v>48579</v>
      </c>
      <c r="S116" s="149">
        <f t="shared" si="267"/>
        <v>48944</v>
      </c>
      <c r="T116" s="149">
        <f t="shared" si="267"/>
        <v>49309</v>
      </c>
      <c r="U116" s="149">
        <f t="shared" si="267"/>
        <v>49674</v>
      </c>
      <c r="V116" s="149">
        <f t="shared" si="267"/>
        <v>50040</v>
      </c>
      <c r="W116" s="149">
        <f t="shared" si="267"/>
        <v>50405</v>
      </c>
      <c r="X116" s="149">
        <f t="shared" si="267"/>
        <v>50770</v>
      </c>
      <c r="Y116" s="149">
        <f t="shared" si="267"/>
        <v>51135</v>
      </c>
      <c r="Z116" s="149">
        <f t="shared" si="267"/>
        <v>51501</v>
      </c>
    </row>
    <row r="117" spans="2:26" x14ac:dyDescent="0.2">
      <c r="B117" s="32" t="s">
        <v>756</v>
      </c>
      <c r="C117" s="32"/>
      <c r="D117" s="39"/>
      <c r="E117" s="39"/>
      <c r="F117" s="41">
        <f>+IF(AND(F116&gt;='Assumptions and Sensis'!$F$47,F116&lt;'Assumptions and Sensis'!$F$49),SUM('Assumptions and Sensis'!$F$234:$F$235)/ROUNDUP(('Assumptions and Sensis'!$F$48/12),0),0)</f>
        <v>0</v>
      </c>
      <c r="G117" s="41">
        <f>+IF(AND(G116&gt;='Assumptions and Sensis'!$F$47,G116&lt;'Assumptions and Sensis'!$F$49),SUM('Assumptions and Sensis'!$F$234:$F$235)/ROUNDUP(('Assumptions and Sensis'!$F$48/12),0),0)</f>
        <v>0</v>
      </c>
      <c r="H117" s="41">
        <f>+IF(AND(H116&gt;='Assumptions and Sensis'!$F$47,H116&lt;'Assumptions and Sensis'!$F$49),SUM('Assumptions and Sensis'!$F$234:$F$235)/ROUNDUP(('Assumptions and Sensis'!$F$48/12),0),0)</f>
        <v>0</v>
      </c>
      <c r="I117" s="41">
        <f>+IF(AND(I116&gt;='Assumptions and Sensis'!$F$47,I116&lt;'Assumptions and Sensis'!$F$49),SUM('Assumptions and Sensis'!$F$234:$F$235)/ROUNDUP(('Assumptions and Sensis'!$F$48/12),0),0)</f>
        <v>41500</v>
      </c>
      <c r="J117" s="41">
        <f>+IF(AND(J116&gt;='Assumptions and Sensis'!$F$47,J116&lt;'Assumptions and Sensis'!$F$49),SUM('Assumptions and Sensis'!$F$234:$F$235)/ROUNDUP(('Assumptions and Sensis'!$F$48/12),0),0)</f>
        <v>41500</v>
      </c>
      <c r="K117" s="41">
        <f>+IF(AND(K116&gt;='Assumptions and Sensis'!$F$47,K116&lt;'Assumptions and Sensis'!$F$49),SUM('Assumptions and Sensis'!$F$234:$F$235)/ROUNDUP(('Assumptions and Sensis'!$F$48/12),0),0)</f>
        <v>0</v>
      </c>
      <c r="L117" s="41">
        <f>+IF(AND(L116&gt;='Assumptions and Sensis'!$F$47,L116&lt;'Assumptions and Sensis'!$F$49),SUM('Assumptions and Sensis'!$F$234:$F$235)/ROUNDUP(('Assumptions and Sensis'!$F$48/12),0),0)</f>
        <v>0</v>
      </c>
      <c r="M117" s="41">
        <f>+IF(AND(M116&gt;='Assumptions and Sensis'!$F$47,M116&lt;'Assumptions and Sensis'!$F$49),SUM('Assumptions and Sensis'!$F$234:$F$235)/ROUNDUP(('Assumptions and Sensis'!$F$48/12),0),0)</f>
        <v>0</v>
      </c>
      <c r="N117" s="41">
        <f>+IF(AND(N116&gt;='Assumptions and Sensis'!$F$47,N116&lt;'Assumptions and Sensis'!$F$49),SUM('Assumptions and Sensis'!$F$234:$F$235)/ROUNDUP(('Assumptions and Sensis'!$F$48/12),0),0)</f>
        <v>0</v>
      </c>
      <c r="O117" s="41">
        <f>+IF(AND(O116&gt;='Assumptions and Sensis'!$F$47,O116&lt;'Assumptions and Sensis'!$F$49),SUM('Assumptions and Sensis'!$F$234:$F$235)/ROUNDUP(('Assumptions and Sensis'!$F$48/12),0),0)</f>
        <v>0</v>
      </c>
      <c r="P117" s="41">
        <f>+IF(AND(P116&gt;='Assumptions and Sensis'!$F$47,P116&lt;'Assumptions and Sensis'!$F$49),SUM('Assumptions and Sensis'!$F$234:$F$235)/ROUNDUP(('Assumptions and Sensis'!$F$48/12),0),0)</f>
        <v>0</v>
      </c>
      <c r="Q117" s="41">
        <f>+IF(AND(Q116&gt;='Assumptions and Sensis'!$F$47,Q116&lt;'Assumptions and Sensis'!$F$49),SUM('Assumptions and Sensis'!$F$234:$F$235)/ROUNDUP(('Assumptions and Sensis'!$F$48/12),0),0)</f>
        <v>0</v>
      </c>
      <c r="R117" s="41">
        <f>+IF(AND(R116&gt;='Assumptions and Sensis'!$F$47,R116&lt;'Assumptions and Sensis'!$F$49),SUM('Assumptions and Sensis'!$F$234:$F$235)/ROUNDUP(('Assumptions and Sensis'!$F$48/12),0),0)</f>
        <v>0</v>
      </c>
      <c r="S117" s="41">
        <f>+IF(AND(S116&gt;='Assumptions and Sensis'!$F$47,S116&lt;'Assumptions and Sensis'!$F$49),SUM('Assumptions and Sensis'!$F$234:$F$235)/ROUNDUP(('Assumptions and Sensis'!$F$48/12),0),0)</f>
        <v>0</v>
      </c>
      <c r="T117" s="41">
        <f>+IF(AND(T116&gt;='Assumptions and Sensis'!$F$47,T116&lt;'Assumptions and Sensis'!$F$49),SUM('Assumptions and Sensis'!$F$234:$F$235)/ROUNDUP(('Assumptions and Sensis'!$F$48/12),0),0)</f>
        <v>0</v>
      </c>
      <c r="U117" s="41">
        <f>+IF(AND(U116&gt;='Assumptions and Sensis'!$F$47,U116&lt;'Assumptions and Sensis'!$F$49),SUM('Assumptions and Sensis'!$F$234:$F$235)/ROUNDUP(('Assumptions and Sensis'!$F$48/12),0),0)</f>
        <v>0</v>
      </c>
      <c r="V117" s="41">
        <f>+IF(AND(V116&gt;='Assumptions and Sensis'!$F$47,V116&lt;'Assumptions and Sensis'!$F$49),SUM('Assumptions and Sensis'!$F$234:$F$235)/ROUNDUP(('Assumptions and Sensis'!$F$48/12),0),0)</f>
        <v>0</v>
      </c>
      <c r="W117" s="41">
        <f>+IF(AND(W116&gt;='Assumptions and Sensis'!$F$47,W116&lt;'Assumptions and Sensis'!$F$49),SUM('Assumptions and Sensis'!$F$234:$F$235)/ROUNDUP(('Assumptions and Sensis'!$F$48/12),0),0)</f>
        <v>0</v>
      </c>
      <c r="X117" s="41">
        <f>+IF(AND(X116&gt;='Assumptions and Sensis'!$F$47,X116&lt;'Assumptions and Sensis'!$F$49),SUM('Assumptions and Sensis'!$F$234:$F$235)/ROUNDUP(('Assumptions and Sensis'!$F$48/12),0),0)</f>
        <v>0</v>
      </c>
      <c r="Y117" s="41">
        <f>+IF(AND(Y116&gt;='Assumptions and Sensis'!$F$47,Y116&lt;'Assumptions and Sensis'!$F$49),SUM('Assumptions and Sensis'!$F$234:$F$235)/ROUNDUP(('Assumptions and Sensis'!$F$48/12),0),0)</f>
        <v>0</v>
      </c>
      <c r="Z117" s="41">
        <f>+IF(AND(Z116&gt;='Assumptions and Sensis'!$F$47,Z116&lt;'Assumptions and Sensis'!$F$49),SUM('Assumptions and Sensis'!$F$234:$F$235)/ROUNDUP(('Assumptions and Sensis'!$F$48/12),0),0)</f>
        <v>0</v>
      </c>
    </row>
    <row r="118" spans="2:26" x14ac:dyDescent="0.2">
      <c r="B118" s="32" t="s">
        <v>490</v>
      </c>
      <c r="C118" s="32"/>
      <c r="D118" s="41"/>
      <c r="E118" s="41"/>
      <c r="F118" s="41">
        <f>+F119-E119</f>
        <v>0</v>
      </c>
      <c r="G118" s="41">
        <f t="shared" ref="G118" si="268">+G119-F119</f>
        <v>0</v>
      </c>
      <c r="H118" s="41">
        <f t="shared" ref="H118" si="269">+H119-G119</f>
        <v>0</v>
      </c>
      <c r="I118" s="41">
        <f t="shared" ref="I118" si="270">+I119-H119</f>
        <v>125.75757575757575</v>
      </c>
      <c r="J118" s="41">
        <f t="shared" ref="J118" si="271">+J119-I119</f>
        <v>125.75757575757575</v>
      </c>
      <c r="K118" s="41">
        <f t="shared" ref="K118" si="272">+K119-J119</f>
        <v>0</v>
      </c>
      <c r="L118" s="41">
        <f t="shared" ref="L118" si="273">+L119-K119</f>
        <v>0</v>
      </c>
      <c r="M118" s="41">
        <f t="shared" ref="M118" si="274">+M119-L119</f>
        <v>0</v>
      </c>
      <c r="N118" s="41">
        <f t="shared" ref="N118" si="275">+N119-M119</f>
        <v>0</v>
      </c>
      <c r="O118" s="41">
        <f t="shared" ref="O118" si="276">+O119-N119</f>
        <v>0</v>
      </c>
      <c r="P118" s="41">
        <f t="shared" ref="P118" si="277">+P119-O119</f>
        <v>0</v>
      </c>
      <c r="Q118" s="41">
        <f t="shared" ref="Q118" si="278">+Q119-P119</f>
        <v>0</v>
      </c>
      <c r="R118" s="41">
        <f t="shared" ref="R118" si="279">+R119-Q119</f>
        <v>0</v>
      </c>
      <c r="S118" s="41">
        <f t="shared" ref="S118" si="280">+S119-R119</f>
        <v>0</v>
      </c>
      <c r="T118" s="41">
        <f t="shared" ref="T118" si="281">+T119-S119</f>
        <v>0</v>
      </c>
      <c r="U118" s="41">
        <f t="shared" ref="U118" si="282">+U119-T119</f>
        <v>0</v>
      </c>
      <c r="V118" s="41">
        <f t="shared" ref="V118" si="283">+V119-U119</f>
        <v>0</v>
      </c>
      <c r="W118" s="41">
        <f t="shared" ref="W118" si="284">+W119-V119</f>
        <v>0</v>
      </c>
      <c r="X118" s="41">
        <f t="shared" ref="X118" si="285">+X119-W119</f>
        <v>0</v>
      </c>
      <c r="Y118" s="41">
        <f t="shared" ref="Y118" si="286">+Y119-X119</f>
        <v>0</v>
      </c>
      <c r="Z118" s="41">
        <f t="shared" ref="Z118" si="287">+Z119-Y119</f>
        <v>0</v>
      </c>
    </row>
    <row r="119" spans="2:26" x14ac:dyDescent="0.2">
      <c r="B119" s="32" t="s">
        <v>247</v>
      </c>
      <c r="C119" s="32"/>
      <c r="D119" s="39"/>
      <c r="E119" s="39"/>
      <c r="F119" s="41">
        <f>+F121*SUM('Assumptions and Sensis'!$N$70:$N$71)</f>
        <v>0</v>
      </c>
      <c r="G119" s="41">
        <f>+G121*SUM('Assumptions and Sensis'!$N$70:$N$71)</f>
        <v>0</v>
      </c>
      <c r="H119" s="41">
        <f>+H121*SUM('Assumptions and Sensis'!$N$70:$N$71)</f>
        <v>0</v>
      </c>
      <c r="I119" s="41">
        <f>+I121*SUM('Assumptions and Sensis'!$N$70:$N$71)</f>
        <v>125.75757575757575</v>
      </c>
      <c r="J119" s="41">
        <f>+J121*SUM('Assumptions and Sensis'!$N$70:$N$71)</f>
        <v>251.5151515151515</v>
      </c>
      <c r="K119" s="41">
        <f>+K121*SUM('Assumptions and Sensis'!$N$70:$N$71)</f>
        <v>251.5151515151515</v>
      </c>
      <c r="L119" s="41">
        <f>+L121*SUM('Assumptions and Sensis'!$N$70:$N$71)</f>
        <v>251.5151515151515</v>
      </c>
      <c r="M119" s="41">
        <f>+M121*SUM('Assumptions and Sensis'!$N$70:$N$71)</f>
        <v>251.5151515151515</v>
      </c>
      <c r="N119" s="41">
        <f>+N121*SUM('Assumptions and Sensis'!$N$70:$N$71)</f>
        <v>251.5151515151515</v>
      </c>
      <c r="O119" s="41">
        <f>+O121*SUM('Assumptions and Sensis'!$N$70:$N$71)</f>
        <v>251.5151515151515</v>
      </c>
      <c r="P119" s="41">
        <f>+P121*SUM('Assumptions and Sensis'!$N$70:$N$71)</f>
        <v>251.5151515151515</v>
      </c>
      <c r="Q119" s="41">
        <f>+Q121*SUM('Assumptions and Sensis'!$N$70:$N$71)</f>
        <v>251.5151515151515</v>
      </c>
      <c r="R119" s="41">
        <f>+R121*SUM('Assumptions and Sensis'!$N$70:$N$71)</f>
        <v>251.5151515151515</v>
      </c>
      <c r="S119" s="41">
        <f>+S121*SUM('Assumptions and Sensis'!$N$70:$N$71)</f>
        <v>251.5151515151515</v>
      </c>
      <c r="T119" s="41">
        <f>+T121*SUM('Assumptions and Sensis'!$N$70:$N$71)</f>
        <v>251.5151515151515</v>
      </c>
      <c r="U119" s="41">
        <f>+U121*SUM('Assumptions and Sensis'!$N$70:$N$71)</f>
        <v>251.5151515151515</v>
      </c>
      <c r="V119" s="41">
        <f>+V121*SUM('Assumptions and Sensis'!$N$70:$N$71)</f>
        <v>251.5151515151515</v>
      </c>
      <c r="W119" s="41">
        <f>+W121*SUM('Assumptions and Sensis'!$N$70:$N$71)</f>
        <v>251.5151515151515</v>
      </c>
      <c r="X119" s="41">
        <f>+X121*SUM('Assumptions and Sensis'!$N$70:$N$71)</f>
        <v>251.5151515151515</v>
      </c>
      <c r="Y119" s="41">
        <f>+Y121*SUM('Assumptions and Sensis'!$N$70:$N$71)</f>
        <v>251.5151515151515</v>
      </c>
      <c r="Z119" s="41">
        <f>+Z121*SUM('Assumptions and Sensis'!$N$70:$N$71)</f>
        <v>251.5151515151515</v>
      </c>
    </row>
    <row r="120" spans="2:26" x14ac:dyDescent="0.2">
      <c r="B120" s="32" t="s">
        <v>246</v>
      </c>
      <c r="C120" s="32"/>
      <c r="D120" s="41">
        <v>0</v>
      </c>
      <c r="E120" s="41"/>
      <c r="F120" s="41">
        <f>+D120+F117</f>
        <v>0</v>
      </c>
      <c r="G120" s="41">
        <f t="shared" ref="G120:Z120" si="288">+F120+G117</f>
        <v>0</v>
      </c>
      <c r="H120" s="41">
        <f t="shared" si="288"/>
        <v>0</v>
      </c>
      <c r="I120" s="41">
        <f t="shared" si="288"/>
        <v>41500</v>
      </c>
      <c r="J120" s="41">
        <f t="shared" si="288"/>
        <v>83000</v>
      </c>
      <c r="K120" s="41">
        <f t="shared" si="288"/>
        <v>83000</v>
      </c>
      <c r="L120" s="41">
        <f t="shared" si="288"/>
        <v>83000</v>
      </c>
      <c r="M120" s="41">
        <f t="shared" si="288"/>
        <v>83000</v>
      </c>
      <c r="N120" s="41">
        <f t="shared" si="288"/>
        <v>83000</v>
      </c>
      <c r="O120" s="41">
        <f t="shared" si="288"/>
        <v>83000</v>
      </c>
      <c r="P120" s="41">
        <f t="shared" si="288"/>
        <v>83000</v>
      </c>
      <c r="Q120" s="41">
        <f t="shared" si="288"/>
        <v>83000</v>
      </c>
      <c r="R120" s="41">
        <f t="shared" si="288"/>
        <v>83000</v>
      </c>
      <c r="S120" s="41">
        <f t="shared" si="288"/>
        <v>83000</v>
      </c>
      <c r="T120" s="41">
        <f t="shared" si="288"/>
        <v>83000</v>
      </c>
      <c r="U120" s="41">
        <f t="shared" si="288"/>
        <v>83000</v>
      </c>
      <c r="V120" s="41">
        <f t="shared" si="288"/>
        <v>83000</v>
      </c>
      <c r="W120" s="41">
        <f t="shared" si="288"/>
        <v>83000</v>
      </c>
      <c r="X120" s="41">
        <f t="shared" si="288"/>
        <v>83000</v>
      </c>
      <c r="Y120" s="41">
        <f t="shared" si="288"/>
        <v>83000</v>
      </c>
      <c r="Z120" s="41">
        <f t="shared" si="288"/>
        <v>83000</v>
      </c>
    </row>
    <row r="121" spans="2:26" x14ac:dyDescent="0.2">
      <c r="B121" s="32" t="s">
        <v>301</v>
      </c>
      <c r="C121" s="32"/>
      <c r="D121" s="41"/>
      <c r="E121" s="41"/>
      <c r="F121" s="107">
        <f t="shared" ref="F121:Z121" si="289">+F120/SUM($F117:$Z117)</f>
        <v>0</v>
      </c>
      <c r="G121" s="107">
        <f t="shared" si="289"/>
        <v>0</v>
      </c>
      <c r="H121" s="107">
        <f t="shared" si="289"/>
        <v>0</v>
      </c>
      <c r="I121" s="107">
        <f t="shared" si="289"/>
        <v>0.5</v>
      </c>
      <c r="J121" s="107">
        <f t="shared" si="289"/>
        <v>1</v>
      </c>
      <c r="K121" s="107">
        <f t="shared" si="289"/>
        <v>1</v>
      </c>
      <c r="L121" s="107">
        <f t="shared" si="289"/>
        <v>1</v>
      </c>
      <c r="M121" s="107">
        <f t="shared" si="289"/>
        <v>1</v>
      </c>
      <c r="N121" s="107">
        <f t="shared" si="289"/>
        <v>1</v>
      </c>
      <c r="O121" s="107">
        <f t="shared" si="289"/>
        <v>1</v>
      </c>
      <c r="P121" s="107">
        <f t="shared" si="289"/>
        <v>1</v>
      </c>
      <c r="Q121" s="107">
        <f t="shared" si="289"/>
        <v>1</v>
      </c>
      <c r="R121" s="107">
        <f t="shared" si="289"/>
        <v>1</v>
      </c>
      <c r="S121" s="107">
        <f t="shared" si="289"/>
        <v>1</v>
      </c>
      <c r="T121" s="107">
        <f t="shared" si="289"/>
        <v>1</v>
      </c>
      <c r="U121" s="107">
        <f t="shared" si="289"/>
        <v>1</v>
      </c>
      <c r="V121" s="107">
        <f t="shared" si="289"/>
        <v>1</v>
      </c>
      <c r="W121" s="107">
        <f t="shared" si="289"/>
        <v>1</v>
      </c>
      <c r="X121" s="107">
        <f t="shared" si="289"/>
        <v>1</v>
      </c>
      <c r="Y121" s="107">
        <f t="shared" si="289"/>
        <v>1</v>
      </c>
      <c r="Z121" s="107">
        <f t="shared" si="289"/>
        <v>1</v>
      </c>
    </row>
    <row r="122" spans="2:26" x14ac:dyDescent="0.2">
      <c r="B122" s="32"/>
      <c r="C122" s="32"/>
      <c r="D122" s="39"/>
      <c r="E122" s="39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2:26" x14ac:dyDescent="0.2">
      <c r="B123" s="32" t="s">
        <v>251</v>
      </c>
      <c r="C123" s="32"/>
      <c r="D123" s="41"/>
      <c r="E123" s="41"/>
      <c r="F123" s="107">
        <v>1</v>
      </c>
      <c r="G123" s="107">
        <f>+F123*(1+'Assumptions and Sensis'!$N$96)</f>
        <v>1.02</v>
      </c>
      <c r="H123" s="107">
        <f>+G123*(1+'Assumptions and Sensis'!$N$96)</f>
        <v>1.0404</v>
      </c>
      <c r="I123" s="107">
        <f>+H123*(1+'Assumptions and Sensis'!$N$96)</f>
        <v>1.0612079999999999</v>
      </c>
      <c r="J123" s="107">
        <f>+I123*(1+'Assumptions and Sensis'!$N$96)</f>
        <v>1.08243216</v>
      </c>
      <c r="K123" s="107">
        <f>+J123*(1+'Assumptions and Sensis'!$N$96)</f>
        <v>1.1040808032</v>
      </c>
      <c r="L123" s="107">
        <f>+K123*(1+'Assumptions and Sensis'!$N$96)</f>
        <v>1.1261624192640001</v>
      </c>
      <c r="M123" s="107">
        <f>+L123*(1+'Assumptions and Sensis'!$N$96)</f>
        <v>1.14868566764928</v>
      </c>
      <c r="N123" s="107">
        <f>+M123*(1+'Assumptions and Sensis'!$N$96)</f>
        <v>1.1716593810022657</v>
      </c>
      <c r="O123" s="107">
        <f>+N123*(1+'Assumptions and Sensis'!$N$96)</f>
        <v>1.1950925686223111</v>
      </c>
      <c r="P123" s="107">
        <f>+O123*(1+'Assumptions and Sensis'!$N$96)</f>
        <v>1.2189944199947573</v>
      </c>
      <c r="Q123" s="107">
        <f>+P123*(1+'Assumptions and Sensis'!$N$96)</f>
        <v>1.2433743083946525</v>
      </c>
      <c r="R123" s="107">
        <f>+Q123*(1+'Assumptions and Sensis'!$N$96)</f>
        <v>1.2682417945625455</v>
      </c>
      <c r="S123" s="107">
        <f>+R123*(1+'Assumptions and Sensis'!$N$96)</f>
        <v>1.2936066304537963</v>
      </c>
      <c r="T123" s="107">
        <f>+S123*(1+'Assumptions and Sensis'!$N$96)</f>
        <v>1.3194787630628724</v>
      </c>
      <c r="U123" s="107">
        <f>+T123*(1+'Assumptions and Sensis'!$N$96)</f>
        <v>1.3458683383241299</v>
      </c>
      <c r="V123" s="107">
        <f>+U123*(1+'Assumptions and Sensis'!$N$96)</f>
        <v>1.3727857050906125</v>
      </c>
      <c r="W123" s="107">
        <f>+V123*(1+'Assumptions and Sensis'!$N$96)</f>
        <v>1.4002414191924248</v>
      </c>
      <c r="X123" s="107">
        <f>+W123*(1+'Assumptions and Sensis'!$N$96)</f>
        <v>1.4282462475762734</v>
      </c>
      <c r="Y123" s="107">
        <f>+X123*(1+'Assumptions and Sensis'!$N$96)</f>
        <v>1.4568111725277988</v>
      </c>
      <c r="Z123" s="107">
        <f>+Y123*(1+'Assumptions and Sensis'!$N$96)</f>
        <v>1.4859473959783549</v>
      </c>
    </row>
    <row r="124" spans="2:26" x14ac:dyDescent="0.2">
      <c r="B124" s="32" t="s">
        <v>252</v>
      </c>
      <c r="C124" s="32"/>
      <c r="D124" s="41"/>
      <c r="E124" s="41"/>
      <c r="F124" s="107">
        <v>1</v>
      </c>
      <c r="G124" s="107">
        <f>+F124*(1+'Assumptions and Sensis'!$N$104)</f>
        <v>1.03</v>
      </c>
      <c r="H124" s="107">
        <f>+G124*(1+'Assumptions and Sensis'!$N$104)</f>
        <v>1.0609</v>
      </c>
      <c r="I124" s="107">
        <f>+H124*(1+'Assumptions and Sensis'!$N$104)</f>
        <v>1.092727</v>
      </c>
      <c r="J124" s="107">
        <f>+I124*(1+'Assumptions and Sensis'!$N$104)</f>
        <v>1.1255088100000001</v>
      </c>
      <c r="K124" s="107">
        <f>+J124*(1+'Assumptions and Sensis'!$N$104)</f>
        <v>1.1592740743000001</v>
      </c>
      <c r="L124" s="107">
        <f>+K124*(1+'Assumptions and Sensis'!$N$104)</f>
        <v>1.1940522965290001</v>
      </c>
      <c r="M124" s="107">
        <f>+L124*(1+'Assumptions and Sensis'!$N$104)</f>
        <v>1.2298738654248702</v>
      </c>
      <c r="N124" s="107">
        <f>+M124*(1+'Assumptions and Sensis'!$N$104)</f>
        <v>1.2667700813876164</v>
      </c>
      <c r="O124" s="107">
        <f>+N124*(1+'Assumptions and Sensis'!$N$104)</f>
        <v>1.3047731838292449</v>
      </c>
      <c r="P124" s="107">
        <f>+O124*(1+'Assumptions and Sensis'!$N$104)</f>
        <v>1.3439163793441222</v>
      </c>
      <c r="Q124" s="107">
        <f>+P124*(1+'Assumptions and Sensis'!$N$104)</f>
        <v>1.3842338707244459</v>
      </c>
      <c r="R124" s="107">
        <f>+Q124*(1+'Assumptions and Sensis'!$N$104)</f>
        <v>1.4257608868461793</v>
      </c>
      <c r="S124" s="107">
        <f>+R124*(1+'Assumptions and Sensis'!$N$104)</f>
        <v>1.4685337134515648</v>
      </c>
      <c r="T124" s="107">
        <f>+S124*(1+'Assumptions and Sensis'!$N$104)</f>
        <v>1.5125897248551119</v>
      </c>
      <c r="U124" s="107">
        <f>+T124*(1+'Assumptions and Sensis'!$N$104)</f>
        <v>1.5579674166007653</v>
      </c>
      <c r="V124" s="107">
        <f>+U124*(1+'Assumptions and Sensis'!$N$104)</f>
        <v>1.6047064390987884</v>
      </c>
      <c r="W124" s="107">
        <f>+V124*(1+'Assumptions and Sensis'!$N$104)</f>
        <v>1.652847632271752</v>
      </c>
      <c r="X124" s="107">
        <f>+W124*(1+'Assumptions and Sensis'!$N$104)</f>
        <v>1.7024330612399046</v>
      </c>
      <c r="Y124" s="107">
        <f>+X124*(1+'Assumptions and Sensis'!$N$104)</f>
        <v>1.7535060530771018</v>
      </c>
      <c r="Z124" s="107">
        <f>+Y124*(1+'Assumptions and Sensis'!$N$104)</f>
        <v>1.806111234669415</v>
      </c>
    </row>
    <row r="125" spans="2:26" x14ac:dyDescent="0.2">
      <c r="B125" s="32"/>
      <c r="C125" s="32"/>
      <c r="D125" s="39"/>
      <c r="E125" s="39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2:26" x14ac:dyDescent="0.2">
      <c r="B126" s="32" t="s">
        <v>243</v>
      </c>
      <c r="C126" s="32"/>
      <c r="D126" s="39"/>
      <c r="E126" s="39"/>
      <c r="F126" s="33">
        <f>+F121*'Assumptions and Sensis'!$F$233*F123</f>
        <v>0</v>
      </c>
      <c r="G126" s="33">
        <f>+G121*'Assumptions and Sensis'!$F$233*G123</f>
        <v>0</v>
      </c>
      <c r="H126" s="33">
        <f>+H121*'Assumptions and Sensis'!$F$233*H123</f>
        <v>0</v>
      </c>
      <c r="I126" s="33">
        <f>+I121*'Assumptions and Sensis'!$F$233*I123</f>
        <v>216197.01163636363</v>
      </c>
      <c r="J126" s="33">
        <f>+J121*'Assumptions and Sensis'!$F$233*J123</f>
        <v>441041.90373818181</v>
      </c>
      <c r="K126" s="33">
        <f>+K121*'Assumptions and Sensis'!$F$233*K123</f>
        <v>449862.74181294546</v>
      </c>
      <c r="L126" s="33">
        <f>+L121*'Assumptions and Sensis'!$F$233*L123</f>
        <v>458859.9966492044</v>
      </c>
      <c r="M126" s="33">
        <f>+M121*'Assumptions and Sensis'!$F$233*M123</f>
        <v>468037.19658218848</v>
      </c>
      <c r="N126" s="33">
        <f>+N121*'Assumptions and Sensis'!$F$233*N123</f>
        <v>477397.94051383232</v>
      </c>
      <c r="O126" s="33">
        <f>+O121*'Assumptions and Sensis'!$F$233*O123</f>
        <v>486945.89932410896</v>
      </c>
      <c r="P126" s="33">
        <f>+P121*'Assumptions and Sensis'!$F$233*P123</f>
        <v>496684.81731059117</v>
      </c>
      <c r="Q126" s="33">
        <f>+Q121*'Assumptions and Sensis'!$F$233*Q123</f>
        <v>506618.51365680294</v>
      </c>
      <c r="R126" s="33">
        <f>+R121*'Assumptions and Sensis'!$F$233*R123</f>
        <v>516750.88392993901</v>
      </c>
      <c r="S126" s="33">
        <f>+S121*'Assumptions and Sensis'!$F$233*S123</f>
        <v>527085.90160853777</v>
      </c>
      <c r="T126" s="33">
        <f>+T121*'Assumptions and Sensis'!$F$233*T123</f>
        <v>537627.61964070855</v>
      </c>
      <c r="U126" s="33">
        <f>+U121*'Assumptions and Sensis'!$F$233*U123</f>
        <v>548380.17203352274</v>
      </c>
      <c r="V126" s="33">
        <f>+V121*'Assumptions and Sensis'!$F$233*V123</f>
        <v>559347.77547419327</v>
      </c>
      <c r="W126" s="33">
        <f>+W121*'Assumptions and Sensis'!$F$233*W123</f>
        <v>570534.73098367709</v>
      </c>
      <c r="X126" s="33">
        <f>+X121*'Assumptions and Sensis'!$F$233*X123</f>
        <v>581945.42560335074</v>
      </c>
      <c r="Y126" s="33">
        <f>+Y121*'Assumptions and Sensis'!$F$233*Y123</f>
        <v>593584.33411541767</v>
      </c>
      <c r="Z126" s="33">
        <f>+Z121*'Assumptions and Sensis'!$F$233*Z123</f>
        <v>605456.02079772612</v>
      </c>
    </row>
    <row r="127" spans="2:26" x14ac:dyDescent="0.2">
      <c r="B127" s="32" t="s">
        <v>244</v>
      </c>
      <c r="C127" s="32"/>
      <c r="D127" s="39"/>
      <c r="E127" s="39"/>
      <c r="F127" s="41">
        <f>-F126*'Assumptions and Sensis'!$N$81</f>
        <v>0</v>
      </c>
      <c r="G127" s="41">
        <f>-G126*'Assumptions and Sensis'!$N$81</f>
        <v>0</v>
      </c>
      <c r="H127" s="41">
        <f>-H126*'Assumptions and Sensis'!$N$81</f>
        <v>0</v>
      </c>
      <c r="I127" s="41">
        <f>-I126*'Assumptions and Sensis'!$N$81</f>
        <v>-21619.701163636364</v>
      </c>
      <c r="J127" s="41">
        <f>-J126*'Assumptions and Sensis'!$N$81</f>
        <v>-44104.190373818186</v>
      </c>
      <c r="K127" s="41">
        <f>-K126*'Assumptions and Sensis'!$N$81</f>
        <v>-44986.274181294546</v>
      </c>
      <c r="L127" s="41">
        <f>-L126*'Assumptions and Sensis'!$N$81</f>
        <v>-45885.99966492044</v>
      </c>
      <c r="M127" s="41">
        <f>-M126*'Assumptions and Sensis'!$N$81</f>
        <v>-46803.719658218848</v>
      </c>
      <c r="N127" s="41">
        <f>-N126*'Assumptions and Sensis'!$N$81</f>
        <v>-47739.794051383236</v>
      </c>
      <c r="O127" s="41">
        <f>-O126*'Assumptions and Sensis'!$N$81</f>
        <v>-48694.589932410898</v>
      </c>
      <c r="P127" s="41">
        <f>-P126*'Assumptions and Sensis'!$N$81</f>
        <v>-49668.481731059117</v>
      </c>
      <c r="Q127" s="41">
        <f>-Q126*'Assumptions and Sensis'!$N$81</f>
        <v>-50661.851365680297</v>
      </c>
      <c r="R127" s="41">
        <f>-R126*'Assumptions and Sensis'!$N$81</f>
        <v>-51675.088392993901</v>
      </c>
      <c r="S127" s="41">
        <f>-S126*'Assumptions and Sensis'!$N$81</f>
        <v>-52708.590160853782</v>
      </c>
      <c r="T127" s="41">
        <f>-T126*'Assumptions and Sensis'!$N$81</f>
        <v>-53762.761964070858</v>
      </c>
      <c r="U127" s="41">
        <f>-U126*'Assumptions and Sensis'!$N$81</f>
        <v>-54838.017203352276</v>
      </c>
      <c r="V127" s="41">
        <f>-V126*'Assumptions and Sensis'!$N$81</f>
        <v>-55934.777547419333</v>
      </c>
      <c r="W127" s="41">
        <f>-W126*'Assumptions and Sensis'!$N$81</f>
        <v>-57053.473098367715</v>
      </c>
      <c r="X127" s="41">
        <f>-X126*'Assumptions and Sensis'!$N$81</f>
        <v>-58194.542560335074</v>
      </c>
      <c r="Y127" s="41">
        <f>-Y126*'Assumptions and Sensis'!$N$81</f>
        <v>-59358.433411541773</v>
      </c>
      <c r="Z127" s="41">
        <f>-Z126*'Assumptions and Sensis'!$N$81</f>
        <v>-60545.602079772616</v>
      </c>
    </row>
    <row r="128" spans="2:26" x14ac:dyDescent="0.2">
      <c r="B128" s="136" t="s">
        <v>253</v>
      </c>
      <c r="C128" s="136"/>
      <c r="D128" s="136"/>
      <c r="E128" s="136"/>
      <c r="F128" s="128">
        <f t="shared" ref="F128:Z128" si="290">+SUM(F126:F127)</f>
        <v>0</v>
      </c>
      <c r="G128" s="128">
        <f t="shared" si="290"/>
        <v>0</v>
      </c>
      <c r="H128" s="128">
        <f t="shared" si="290"/>
        <v>0</v>
      </c>
      <c r="I128" s="128">
        <f t="shared" si="290"/>
        <v>194577.31047272726</v>
      </c>
      <c r="J128" s="128">
        <f t="shared" si="290"/>
        <v>396937.71336436365</v>
      </c>
      <c r="K128" s="128">
        <f t="shared" si="290"/>
        <v>404876.46763165091</v>
      </c>
      <c r="L128" s="128">
        <f t="shared" si="290"/>
        <v>412973.99698428396</v>
      </c>
      <c r="M128" s="128">
        <f t="shared" si="290"/>
        <v>421233.47692396963</v>
      </c>
      <c r="N128" s="128">
        <f t="shared" si="290"/>
        <v>429658.14646244911</v>
      </c>
      <c r="O128" s="128">
        <f t="shared" si="290"/>
        <v>438251.30939169804</v>
      </c>
      <c r="P128" s="128">
        <f t="shared" si="290"/>
        <v>447016.33557953208</v>
      </c>
      <c r="Q128" s="128">
        <f t="shared" si="290"/>
        <v>455956.66229112266</v>
      </c>
      <c r="R128" s="128">
        <f t="shared" si="290"/>
        <v>465075.79553694511</v>
      </c>
      <c r="S128" s="128">
        <f t="shared" si="290"/>
        <v>474377.31144768395</v>
      </c>
      <c r="T128" s="128">
        <f t="shared" si="290"/>
        <v>483864.85767663771</v>
      </c>
      <c r="U128" s="128">
        <f t="shared" si="290"/>
        <v>493542.15483017045</v>
      </c>
      <c r="V128" s="128">
        <f t="shared" si="290"/>
        <v>503412.99792677397</v>
      </c>
      <c r="W128" s="128">
        <f t="shared" si="290"/>
        <v>513481.2578853094</v>
      </c>
      <c r="X128" s="128">
        <f t="shared" si="290"/>
        <v>523750.88304301567</v>
      </c>
      <c r="Y128" s="128">
        <f t="shared" si="290"/>
        <v>534225.90070387593</v>
      </c>
      <c r="Z128" s="128">
        <f t="shared" si="290"/>
        <v>544910.41871795349</v>
      </c>
    </row>
    <row r="130" spans="2:26" x14ac:dyDescent="0.2">
      <c r="B130" s="32" t="s">
        <v>389</v>
      </c>
      <c r="F130" s="33">
        <f>+F119*'Assumptions and Sensis'!$N$119*'Phase I Pro Forma'!F124</f>
        <v>0</v>
      </c>
      <c r="G130" s="33">
        <f>+G119*'Assumptions and Sensis'!$N$119*'Phase I Pro Forma'!G124</f>
        <v>0</v>
      </c>
      <c r="H130" s="33">
        <f>+H119*'Assumptions and Sensis'!$N$119*'Phase I Pro Forma'!H124</f>
        <v>0</v>
      </c>
      <c r="I130" s="33">
        <f>+I119*'Assumptions and Sensis'!$N$119*'Phase I Pro Forma'!I124</f>
        <v>68709.349242424243</v>
      </c>
      <c r="J130" s="33">
        <f>+J119*'Assumptions and Sensis'!$N$119*'Phase I Pro Forma'!J124</f>
        <v>141541.25943939394</v>
      </c>
      <c r="K130" s="33">
        <f>+K119*'Assumptions and Sensis'!$N$119*'Phase I Pro Forma'!K124</f>
        <v>145787.49722257574</v>
      </c>
      <c r="L130" s="33">
        <f>+L119*'Assumptions and Sensis'!$N$119*'Phase I Pro Forma'!L124</f>
        <v>150161.12213925304</v>
      </c>
      <c r="M130" s="33">
        <f>+M119*'Assumptions and Sensis'!$N$119*'Phase I Pro Forma'!M124</f>
        <v>154665.95580343064</v>
      </c>
      <c r="N130" s="33">
        <f>+N119*'Assumptions and Sensis'!$N$119*'Phase I Pro Forma'!N124</f>
        <v>159305.93447753356</v>
      </c>
      <c r="O130" s="33">
        <f>+O119*'Assumptions and Sensis'!$N$119*'Phase I Pro Forma'!O124</f>
        <v>164085.11251185957</v>
      </c>
      <c r="P130" s="33">
        <f>+P119*'Assumptions and Sensis'!$N$119*'Phase I Pro Forma'!P124</f>
        <v>169007.66588721535</v>
      </c>
      <c r="Q130" s="33">
        <f>+Q119*'Assumptions and Sensis'!$N$119*'Phase I Pro Forma'!Q124</f>
        <v>174077.89586383183</v>
      </c>
      <c r="R130" s="33">
        <f>+R119*'Assumptions and Sensis'!$N$119*'Phase I Pro Forma'!R124</f>
        <v>179300.23273974677</v>
      </c>
      <c r="S130" s="33">
        <f>+S119*'Assumptions and Sensis'!$N$119*'Phase I Pro Forma'!S124</f>
        <v>184679.2397219392</v>
      </c>
      <c r="T130" s="33">
        <f>+T119*'Assumptions and Sensis'!$N$119*'Phase I Pro Forma'!T124</f>
        <v>190219.61691359739</v>
      </c>
      <c r="U130" s="33">
        <f>+U119*'Assumptions and Sensis'!$N$119*'Phase I Pro Forma'!U124</f>
        <v>195926.20542100532</v>
      </c>
      <c r="V130" s="33">
        <f>+V119*'Assumptions and Sensis'!$N$119*'Phase I Pro Forma'!V124</f>
        <v>201803.99158363548</v>
      </c>
      <c r="W130" s="33">
        <f>+W119*'Assumptions and Sensis'!$N$119*'Phase I Pro Forma'!W124</f>
        <v>207858.11133114455</v>
      </c>
      <c r="X130" s="33">
        <f>+X119*'Assumptions and Sensis'!$N$119*'Phase I Pro Forma'!X124</f>
        <v>214093.85467107888</v>
      </c>
      <c r="Y130" s="33">
        <f>+Y119*'Assumptions and Sensis'!$N$119*'Phase I Pro Forma'!Y124</f>
        <v>220516.67031121126</v>
      </c>
      <c r="Z130" s="33">
        <f>+Z119*'Assumptions and Sensis'!$N$119*'Phase I Pro Forma'!Z124</f>
        <v>227132.17042054763</v>
      </c>
    </row>
    <row r="131" spans="2:26" x14ac:dyDescent="0.2">
      <c r="B131" s="32" t="s">
        <v>325</v>
      </c>
      <c r="F131" s="150">
        <f ca="1">+IFERROR(INDEX('Taxes and TIF'!$M$11:$M$45,MATCH('Phase I Pro Forma'!F$7,'Taxes and TIF'!$B$11:$B$45,0)),0)*'Loan Sizing'!$I$22*F121</f>
        <v>0</v>
      </c>
      <c r="G131" s="150">
        <f ca="1">+IFERROR(INDEX('Taxes and TIF'!$M$11:$M$45,MATCH('Phase I Pro Forma'!G$7,'Taxes and TIF'!$B$11:$B$45,0)),0)*'Loan Sizing'!$I$22*G121</f>
        <v>0</v>
      </c>
      <c r="H131" s="150">
        <f ca="1">+IFERROR(INDEX('Taxes and TIF'!$M$11:$M$45,MATCH('Phase I Pro Forma'!H$7,'Taxes and TIF'!$B$11:$B$45,0)),0)*'Loan Sizing'!$I$22*H121</f>
        <v>0</v>
      </c>
      <c r="I131" s="150">
        <f ca="1">+IFERROR(INDEX('Taxes and TIF'!$M$11:$M$45,MATCH('Phase I Pro Forma'!I$7,'Taxes and TIF'!$B$11:$B$45,0)),0)*'Loan Sizing'!$I$22*I121</f>
        <v>33803.531404246234</v>
      </c>
      <c r="J131" s="150">
        <f ca="1">+IFERROR(INDEX('Taxes and TIF'!$M$11:$M$45,MATCH('Phase I Pro Forma'!J$7,'Taxes and TIF'!$B$11:$B$45,0)),0)*'Loan Sizing'!$I$22*J121</f>
        <v>68959.204064662306</v>
      </c>
      <c r="K131" s="150">
        <f ca="1">+IFERROR(INDEX('Taxes and TIF'!$M$11:$M$45,MATCH('Phase I Pro Forma'!K$7,'Taxes and TIF'!$B$11:$B$45,0)),0)*'Loan Sizing'!$I$22*K121</f>
        <v>68959.204064662306</v>
      </c>
      <c r="L131" s="150">
        <f ca="1">+IFERROR(INDEX('Taxes and TIF'!$M$11:$M$45,MATCH('Phase I Pro Forma'!L$7,'Taxes and TIF'!$B$11:$B$45,0)),0)*'Loan Sizing'!$I$22*L121</f>
        <v>68959.204064662306</v>
      </c>
      <c r="M131" s="150">
        <f ca="1">+IFERROR(INDEX('Taxes and TIF'!$M$11:$M$45,MATCH('Phase I Pro Forma'!M$7,'Taxes and TIF'!$B$11:$B$45,0)),0)*'Loan Sizing'!$I$22*M121</f>
        <v>70338.388145955571</v>
      </c>
      <c r="N131" s="150">
        <f ca="1">+IFERROR(INDEX('Taxes and TIF'!$M$11:$M$45,MATCH('Phase I Pro Forma'!N$7,'Taxes and TIF'!$B$11:$B$45,0)),0)*'Loan Sizing'!$I$22*N121</f>
        <v>70338.388145955571</v>
      </c>
      <c r="O131" s="150">
        <f ca="1">+IFERROR(INDEX('Taxes and TIF'!$M$11:$M$45,MATCH('Phase I Pro Forma'!O$7,'Taxes and TIF'!$B$11:$B$45,0)),0)*'Loan Sizing'!$I$22*O121</f>
        <v>70338.388145955571</v>
      </c>
      <c r="P131" s="150">
        <f ca="1">+IFERROR(INDEX('Taxes and TIF'!$M$11:$M$45,MATCH('Phase I Pro Forma'!P$7,'Taxes and TIF'!$B$11:$B$45,0)),0)*'Loan Sizing'!$I$22*P121</f>
        <v>71745.155908874673</v>
      </c>
      <c r="Q131" s="150">
        <f ca="1">+IFERROR(INDEX('Taxes and TIF'!$M$11:$M$45,MATCH('Phase I Pro Forma'!Q$7,'Taxes and TIF'!$B$11:$B$45,0)),0)*'Loan Sizing'!$I$22*Q121</f>
        <v>71745.155908874673</v>
      </c>
      <c r="R131" s="150">
        <f ca="1">+IFERROR(INDEX('Taxes and TIF'!$M$11:$M$45,MATCH('Phase I Pro Forma'!R$7,'Taxes and TIF'!$B$11:$B$45,0)),0)*'Loan Sizing'!$I$22*R121</f>
        <v>71745.155908874673</v>
      </c>
      <c r="S131" s="150">
        <f ca="1">+IFERROR(INDEX('Taxes and TIF'!$M$11:$M$45,MATCH('Phase I Pro Forma'!S$7,'Taxes and TIF'!$B$11:$B$45,0)),0)*'Loan Sizing'!$I$22*S121</f>
        <v>73180.059027052179</v>
      </c>
      <c r="T131" s="150">
        <f ca="1">+IFERROR(INDEX('Taxes and TIF'!$M$11:$M$45,MATCH('Phase I Pro Forma'!T$7,'Taxes and TIF'!$B$11:$B$45,0)),0)*'Loan Sizing'!$I$22*T121</f>
        <v>73180.059027052179</v>
      </c>
      <c r="U131" s="150">
        <f ca="1">+IFERROR(INDEX('Taxes and TIF'!$M$11:$M$45,MATCH('Phase I Pro Forma'!U$7,'Taxes and TIF'!$B$11:$B$45,0)),0)*'Loan Sizing'!$I$22*U121</f>
        <v>73180.059027052179</v>
      </c>
      <c r="V131" s="150">
        <f ca="1">+IFERROR(INDEX('Taxes and TIF'!$M$11:$M$45,MATCH('Phase I Pro Forma'!V$7,'Taxes and TIF'!$B$11:$B$45,0)),0)*'Loan Sizing'!$I$22*V121</f>
        <v>74643.660207593231</v>
      </c>
      <c r="W131" s="150">
        <f ca="1">+IFERROR(INDEX('Taxes and TIF'!$M$11:$M$45,MATCH('Phase I Pro Forma'!W$7,'Taxes and TIF'!$B$11:$B$45,0)),0)*'Loan Sizing'!$I$22*W121</f>
        <v>74643.660207593231</v>
      </c>
      <c r="X131" s="150">
        <f ca="1">+IFERROR(INDEX('Taxes and TIF'!$M$11:$M$45,MATCH('Phase I Pro Forma'!X$7,'Taxes and TIF'!$B$11:$B$45,0)),0)*'Loan Sizing'!$I$22*X121</f>
        <v>74643.660207593231</v>
      </c>
      <c r="Y131" s="150">
        <f ca="1">+IFERROR(INDEX('Taxes and TIF'!$M$11:$M$45,MATCH('Phase I Pro Forma'!Y$7,'Taxes and TIF'!$B$11:$B$45,0)),0)*'Loan Sizing'!$I$22*Y121</f>
        <v>76136.533411745069</v>
      </c>
      <c r="Z131" s="150">
        <f ca="1">+IFERROR(INDEX('Taxes and TIF'!$M$11:$M$45,MATCH('Phase I Pro Forma'!Z$7,'Taxes and TIF'!$B$11:$B$45,0)),0)*'Loan Sizing'!$I$22*Z121</f>
        <v>76136.533411745069</v>
      </c>
    </row>
    <row r="132" spans="2:26" x14ac:dyDescent="0.2">
      <c r="B132" s="136" t="s">
        <v>249</v>
      </c>
      <c r="C132" s="136"/>
      <c r="D132" s="136"/>
      <c r="E132" s="136"/>
      <c r="F132" s="128">
        <f ca="1">+SUM(F130:F131)</f>
        <v>0</v>
      </c>
      <c r="G132" s="128">
        <f t="shared" ref="G132" ca="1" si="291">+SUM(G130:G131)</f>
        <v>0</v>
      </c>
      <c r="H132" s="128">
        <f t="shared" ref="H132" ca="1" si="292">+SUM(H130:H131)</f>
        <v>0</v>
      </c>
      <c r="I132" s="128">
        <f t="shared" ref="I132" ca="1" si="293">+SUM(I130:I131)</f>
        <v>102512.88064667047</v>
      </c>
      <c r="J132" s="128">
        <f t="shared" ref="J132" ca="1" si="294">+SUM(J130:J131)</f>
        <v>210500.46350405624</v>
      </c>
      <c r="K132" s="128">
        <f t="shared" ref="K132" ca="1" si="295">+SUM(K130:K131)</f>
        <v>214746.70128723804</v>
      </c>
      <c r="L132" s="128">
        <f t="shared" ref="L132" ca="1" si="296">+SUM(L130:L131)</f>
        <v>219120.32620391535</v>
      </c>
      <c r="M132" s="128">
        <f t="shared" ref="M132" ca="1" si="297">+SUM(M130:M131)</f>
        <v>225004.34394938621</v>
      </c>
      <c r="N132" s="128">
        <f t="shared" ref="N132" ca="1" si="298">+SUM(N130:N131)</f>
        <v>229644.32262348913</v>
      </c>
      <c r="O132" s="128">
        <f t="shared" ref="O132" ca="1" si="299">+SUM(O130:O131)</f>
        <v>234423.50065781514</v>
      </c>
      <c r="P132" s="128">
        <f t="shared" ref="P132" ca="1" si="300">+SUM(P130:P131)</f>
        <v>240752.82179609002</v>
      </c>
      <c r="Q132" s="128">
        <f t="shared" ref="Q132" ca="1" si="301">+SUM(Q130:Q131)</f>
        <v>245823.0517727065</v>
      </c>
      <c r="R132" s="128">
        <f t="shared" ref="R132" ca="1" si="302">+SUM(R130:R131)</f>
        <v>251045.38864862145</v>
      </c>
      <c r="S132" s="128">
        <f t="shared" ref="S132" ca="1" si="303">+SUM(S130:S131)</f>
        <v>257859.29874899139</v>
      </c>
      <c r="T132" s="128">
        <f t="shared" ref="T132" ca="1" si="304">+SUM(T130:T131)</f>
        <v>263399.67594064958</v>
      </c>
      <c r="U132" s="128">
        <f t="shared" ref="U132" ca="1" si="305">+SUM(U130:U131)</f>
        <v>269106.26444805751</v>
      </c>
      <c r="V132" s="128">
        <f t="shared" ref="V132" ca="1" si="306">+SUM(V130:V131)</f>
        <v>276447.65179122868</v>
      </c>
      <c r="W132" s="128">
        <f t="shared" ref="W132" ca="1" si="307">+SUM(W130:W131)</f>
        <v>282501.77153873781</v>
      </c>
      <c r="X132" s="128">
        <f t="shared" ref="X132" ca="1" si="308">+SUM(X130:X131)</f>
        <v>288737.51487867208</v>
      </c>
      <c r="Y132" s="128">
        <f t="shared" ref="Y132" ca="1" si="309">+SUM(Y130:Y131)</f>
        <v>296653.20372295636</v>
      </c>
      <c r="Z132" s="128">
        <f t="shared" ref="Z132" ca="1" si="310">+SUM(Z130:Z131)</f>
        <v>303268.7038322927</v>
      </c>
    </row>
    <row r="133" spans="2:26" x14ac:dyDescent="0.2">
      <c r="B133" s="32"/>
    </row>
    <row r="134" spans="2:26" x14ac:dyDescent="0.2">
      <c r="B134" s="137" t="s">
        <v>248</v>
      </c>
      <c r="C134" s="137"/>
      <c r="D134" s="137"/>
      <c r="E134" s="137"/>
      <c r="F134" s="138">
        <f ca="1">+F128-F132</f>
        <v>0</v>
      </c>
      <c r="G134" s="138">
        <f t="shared" ref="G134:Z134" ca="1" si="311">+G128-G132</f>
        <v>0</v>
      </c>
      <c r="H134" s="138">
        <f t="shared" ca="1" si="311"/>
        <v>0</v>
      </c>
      <c r="I134" s="138">
        <f t="shared" ca="1" si="311"/>
        <v>92064.429826056788</v>
      </c>
      <c r="J134" s="138">
        <f t="shared" ca="1" si="311"/>
        <v>186437.24986030741</v>
      </c>
      <c r="K134" s="138">
        <f t="shared" ca="1" si="311"/>
        <v>190129.76634441287</v>
      </c>
      <c r="L134" s="138">
        <f t="shared" ca="1" si="311"/>
        <v>193853.67078036861</v>
      </c>
      <c r="M134" s="138">
        <f t="shared" ca="1" si="311"/>
        <v>196229.13297458342</v>
      </c>
      <c r="N134" s="138">
        <f t="shared" ca="1" si="311"/>
        <v>200013.82383895997</v>
      </c>
      <c r="O134" s="138">
        <f t="shared" ca="1" si="311"/>
        <v>203827.80873388291</v>
      </c>
      <c r="P134" s="138">
        <f t="shared" ca="1" si="311"/>
        <v>206263.51378344206</v>
      </c>
      <c r="Q134" s="138">
        <f t="shared" ca="1" si="311"/>
        <v>210133.61051841616</v>
      </c>
      <c r="R134" s="138">
        <f t="shared" ca="1" si="311"/>
        <v>214030.40688832366</v>
      </c>
      <c r="S134" s="138">
        <f t="shared" ca="1" si="311"/>
        <v>216518.01269869256</v>
      </c>
      <c r="T134" s="138">
        <f t="shared" ca="1" si="311"/>
        <v>220465.18173598812</v>
      </c>
      <c r="U134" s="138">
        <f t="shared" ca="1" si="311"/>
        <v>224435.89038211294</v>
      </c>
      <c r="V134" s="138">
        <f t="shared" ca="1" si="311"/>
        <v>226965.34613554529</v>
      </c>
      <c r="W134" s="138">
        <f t="shared" ca="1" si="311"/>
        <v>230979.48634657159</v>
      </c>
      <c r="X134" s="138">
        <f t="shared" ca="1" si="311"/>
        <v>235013.36816434358</v>
      </c>
      <c r="Y134" s="138">
        <f t="shared" ca="1" si="311"/>
        <v>237572.69698091957</v>
      </c>
      <c r="Z134" s="138">
        <f t="shared" ca="1" si="311"/>
        <v>241641.7148856608</v>
      </c>
    </row>
    <row r="135" spans="2:26" x14ac:dyDescent="0.2">
      <c r="B135" s="142" t="s">
        <v>254</v>
      </c>
      <c r="C135" s="140"/>
      <c r="D135" s="140"/>
      <c r="E135" s="140"/>
      <c r="F135" s="143" t="str">
        <f ca="1">+IFERROR(F134/F128,"")</f>
        <v/>
      </c>
      <c r="G135" s="143" t="str">
        <f t="shared" ref="G135" ca="1" si="312">+IFERROR(G134/G128,"")</f>
        <v/>
      </c>
      <c r="H135" s="143" t="str">
        <f t="shared" ref="H135" ca="1" si="313">+IFERROR(H134/H128,"")</f>
        <v/>
      </c>
      <c r="I135" s="144">
        <f t="shared" ref="I135" ca="1" si="314">+IFERROR(I134/I128,"")</f>
        <v>0.47315090131724741</v>
      </c>
      <c r="J135" s="144">
        <f t="shared" ref="J135" ca="1" si="315">+IFERROR(J134/J128,"")</f>
        <v>0.4696889299837575</v>
      </c>
      <c r="K135" s="144">
        <f t="shared" ref="K135" ca="1" si="316">+IFERROR(K134/K128,"")</f>
        <v>0.4695994495718368</v>
      </c>
      <c r="L135" s="144">
        <f t="shared" ref="L135" ca="1" si="317">+IFERROR(L134/L128,"")</f>
        <v>0.4694089027298875</v>
      </c>
      <c r="M135" s="144">
        <f t="shared" ref="M135" ca="1" si="318">+IFERROR(M134/M128,"")</f>
        <v>0.46584410718619529</v>
      </c>
      <c r="N135" s="144">
        <f t="shared" ref="N135" ca="1" si="319">+IFERROR(N134/N128,"")</f>
        <v>0.46551851858449661</v>
      </c>
      <c r="O135" s="144">
        <f t="shared" ref="O135" ca="1" si="320">+IFERROR(O134/O128,"")</f>
        <v>0.46509343923421509</v>
      </c>
      <c r="P135" s="144">
        <f t="shared" ref="P135" ca="1" si="321">+IFERROR(P134/P128,"")</f>
        <v>0.46142276549252448</v>
      </c>
      <c r="Q135" s="144">
        <f t="shared" ref="Q135" ca="1" si="322">+IFERROR(Q134/Q128,"")</f>
        <v>0.46086312120656864</v>
      </c>
      <c r="R135" s="144">
        <f t="shared" ref="R135" ca="1" si="323">+IFERROR(R134/R128,"")</f>
        <v>0.46020543090448002</v>
      </c>
      <c r="S135" s="144">
        <f t="shared" ref="S135" ca="1" si="324">+IFERROR(S134/S128,"")</f>
        <v>0.45642573427032662</v>
      </c>
      <c r="T135" s="144">
        <f t="shared" ref="T135" ca="1" si="325">+IFERROR(T134/T128,"")</f>
        <v>0.45563379575567958</v>
      </c>
      <c r="U135" s="144">
        <f t="shared" ref="U135" ca="1" si="326">+IFERROR(U134/U128,"")</f>
        <v>0.45474512802121653</v>
      </c>
      <c r="V135" s="144">
        <f t="shared" ref="V135" ca="1" si="327">+IFERROR(V134/V128,"")</f>
        <v>0.45085317039938544</v>
      </c>
      <c r="W135" s="144">
        <f t="shared" ref="W135" ca="1" si="328">+IFERROR(W134/W128,"")</f>
        <v>0.44983041308620247</v>
      </c>
      <c r="X135" s="144">
        <f t="shared" ref="X135" ca="1" si="329">+IFERROR(X134/X128,"")</f>
        <v>0.44871211824771651</v>
      </c>
      <c r="Y135" s="144">
        <f t="shared" ref="Y135" ca="1" si="330">+IFERROR(Y134/Y128,"")</f>
        <v>0.44470456536813868</v>
      </c>
      <c r="Z135" s="144">
        <f t="shared" ref="Z135" ca="1" si="331">+IFERROR(Z134/Z128,"")</f>
        <v>0.44345218330416059</v>
      </c>
    </row>
    <row r="136" spans="2:26" x14ac:dyDescent="0.2">
      <c r="B136" s="142" t="s">
        <v>188</v>
      </c>
      <c r="C136" s="140"/>
      <c r="D136" s="140"/>
      <c r="E136" s="140"/>
      <c r="F136" s="141">
        <f ca="1">+F134/'Assumptions and Sensis'!$N$160</f>
        <v>0</v>
      </c>
      <c r="G136" s="141">
        <f ca="1">+G134/'Assumptions and Sensis'!$N$160</f>
        <v>0</v>
      </c>
      <c r="H136" s="141">
        <f ca="1">+H134/'Assumptions and Sensis'!$N$160</f>
        <v>0</v>
      </c>
      <c r="I136" s="141">
        <f ca="1">+I134/'Assumptions and Sensis'!$N$160</f>
        <v>1416375.8434777968</v>
      </c>
      <c r="J136" s="141">
        <f ca="1">+J134/'Assumptions and Sensis'!$N$160</f>
        <v>2868265.3824662678</v>
      </c>
      <c r="K136" s="141">
        <f ca="1">+K134/'Assumptions and Sensis'!$N$160</f>
        <v>2925073.3283755826</v>
      </c>
      <c r="L136" s="141">
        <f ca="1">+L134/'Assumptions and Sensis'!$N$160</f>
        <v>2982364.1658518249</v>
      </c>
      <c r="M136" s="141">
        <f ca="1">+M134/'Assumptions and Sensis'!$N$160</f>
        <v>3018909.7380705141</v>
      </c>
      <c r="N136" s="141">
        <f ca="1">+N134/'Assumptions and Sensis'!$N$160</f>
        <v>3077135.7513686148</v>
      </c>
      <c r="O136" s="141">
        <f ca="1">+O134/'Assumptions and Sensis'!$N$160</f>
        <v>3135812.4420597367</v>
      </c>
      <c r="P136" s="141">
        <f ca="1">+P134/'Assumptions and Sensis'!$N$160</f>
        <v>3173284.8274375699</v>
      </c>
      <c r="Q136" s="141">
        <f ca="1">+Q134/'Assumptions and Sensis'!$N$160</f>
        <v>3232824.7772064023</v>
      </c>
      <c r="R136" s="141">
        <f ca="1">+R134/'Assumptions and Sensis'!$N$160</f>
        <v>3292775.4905895945</v>
      </c>
      <c r="S136" s="141">
        <f ca="1">+S134/'Assumptions and Sensis'!$N$160</f>
        <v>3331046.3492106549</v>
      </c>
      <c r="T136" s="141">
        <f ca="1">+T134/'Assumptions and Sensis'!$N$160</f>
        <v>3391772.0267075095</v>
      </c>
      <c r="U136" s="141">
        <f ca="1">+U134/'Assumptions and Sensis'!$N$160</f>
        <v>3452859.8520325064</v>
      </c>
      <c r="V136" s="141">
        <f ca="1">+V134/'Assumptions and Sensis'!$N$160</f>
        <v>3491774.5559314657</v>
      </c>
      <c r="W136" s="141">
        <f ca="1">+W134/'Assumptions and Sensis'!$N$160</f>
        <v>3553530.5591780245</v>
      </c>
      <c r="X136" s="141">
        <f ca="1">+X134/'Assumptions and Sensis'!$N$160</f>
        <v>3615590.2794514396</v>
      </c>
      <c r="Y136" s="141">
        <f ca="1">+Y134/'Assumptions and Sensis'!$N$160</f>
        <v>3654964.5689372239</v>
      </c>
      <c r="Z136" s="141">
        <f ca="1">+Z134/'Assumptions and Sensis'!$N$160</f>
        <v>3717564.8443947812</v>
      </c>
    </row>
    <row r="138" spans="2:26" x14ac:dyDescent="0.2">
      <c r="B138" s="137" t="s">
        <v>770</v>
      </c>
      <c r="C138" s="137"/>
      <c r="D138" s="137"/>
      <c r="E138" s="137"/>
      <c r="F138" s="138">
        <f t="shared" ref="F138:Z138" ca="1" si="332">+F134+F112+F91+F70+F49+F26</f>
        <v>0</v>
      </c>
      <c r="G138" s="138">
        <f t="shared" ca="1" si="332"/>
        <v>0</v>
      </c>
      <c r="H138" s="138">
        <f t="shared" ca="1" si="332"/>
        <v>0</v>
      </c>
      <c r="I138" s="138">
        <f t="shared" ca="1" si="332"/>
        <v>9978980.3531097397</v>
      </c>
      <c r="J138" s="138">
        <f t="shared" ca="1" si="332"/>
        <v>20150048.491622239</v>
      </c>
      <c r="K138" s="138">
        <f t="shared" ca="1" si="332"/>
        <v>20415119.392887935</v>
      </c>
      <c r="L138" s="138">
        <f t="shared" ca="1" si="332"/>
        <v>22046666.44948281</v>
      </c>
      <c r="M138" s="138">
        <f t="shared" ca="1" si="332"/>
        <v>22260230.976380009</v>
      </c>
      <c r="N138" s="138">
        <f t="shared" ca="1" si="332"/>
        <v>22548752.86966075</v>
      </c>
      <c r="O138" s="138">
        <f t="shared" ca="1" si="332"/>
        <v>22845550.555339307</v>
      </c>
      <c r="P138" s="138">
        <f t="shared" ca="1" si="332"/>
        <v>23082611.017095</v>
      </c>
      <c r="Q138" s="138">
        <f t="shared" ca="1" si="332"/>
        <v>24891005.347919736</v>
      </c>
      <c r="R138" s="138">
        <f t="shared" ca="1" si="332"/>
        <v>25214102.952101879</v>
      </c>
      <c r="S138" s="138">
        <f t="shared" ca="1" si="332"/>
        <v>25476863.54030513</v>
      </c>
      <c r="T138" s="138">
        <f t="shared" ca="1" si="332"/>
        <v>25818794.874822486</v>
      </c>
      <c r="U138" s="138">
        <f t="shared" ca="1" si="332"/>
        <v>26170556.360362995</v>
      </c>
      <c r="V138" s="138">
        <f t="shared" ca="1" si="332"/>
        <v>28104693.832800679</v>
      </c>
      <c r="W138" s="138">
        <f t="shared" ca="1" si="332"/>
        <v>28476983.085985728</v>
      </c>
      <c r="X138" s="138">
        <f t="shared" ca="1" si="332"/>
        <v>28859987.0436441</v>
      </c>
      <c r="Y138" s="138">
        <f t="shared" ca="1" si="332"/>
        <v>29181586.70261373</v>
      </c>
      <c r="Z138" s="138">
        <f t="shared" ca="1" si="332"/>
        <v>29586966.343494888</v>
      </c>
    </row>
    <row r="140" spans="2:26" x14ac:dyDescent="0.2">
      <c r="B140" s="147" t="s">
        <v>31</v>
      </c>
      <c r="F140" s="149">
        <f>+'Assumptions and Sensis'!$F$43</f>
        <v>44196</v>
      </c>
      <c r="G140" s="149">
        <f>+EOMONTH(F140,12)</f>
        <v>44561</v>
      </c>
      <c r="H140" s="149">
        <f t="shared" ref="H140:Z140" si="333">+EOMONTH(G140,12)</f>
        <v>44926</v>
      </c>
      <c r="I140" s="149">
        <f t="shared" si="333"/>
        <v>45291</v>
      </c>
      <c r="J140" s="149">
        <f t="shared" si="333"/>
        <v>45657</v>
      </c>
      <c r="K140" s="149">
        <f t="shared" si="333"/>
        <v>46022</v>
      </c>
      <c r="L140" s="149">
        <f t="shared" si="333"/>
        <v>46387</v>
      </c>
      <c r="M140" s="149">
        <f t="shared" si="333"/>
        <v>46752</v>
      </c>
      <c r="N140" s="149">
        <f t="shared" si="333"/>
        <v>47118</v>
      </c>
      <c r="O140" s="149">
        <f t="shared" si="333"/>
        <v>47483</v>
      </c>
      <c r="P140" s="149">
        <f t="shared" si="333"/>
        <v>47848</v>
      </c>
      <c r="Q140" s="149">
        <f t="shared" si="333"/>
        <v>48213</v>
      </c>
      <c r="R140" s="149">
        <f t="shared" si="333"/>
        <v>48579</v>
      </c>
      <c r="S140" s="149">
        <f t="shared" si="333"/>
        <v>48944</v>
      </c>
      <c r="T140" s="149">
        <f t="shared" si="333"/>
        <v>49309</v>
      </c>
      <c r="U140" s="149">
        <f t="shared" si="333"/>
        <v>49674</v>
      </c>
      <c r="V140" s="149">
        <f t="shared" si="333"/>
        <v>50040</v>
      </c>
      <c r="W140" s="149">
        <f t="shared" si="333"/>
        <v>50405</v>
      </c>
      <c r="X140" s="149">
        <f t="shared" si="333"/>
        <v>50770</v>
      </c>
      <c r="Y140" s="149">
        <f t="shared" si="333"/>
        <v>51135</v>
      </c>
      <c r="Z140" s="149">
        <f t="shared" si="333"/>
        <v>51501</v>
      </c>
    </row>
    <row r="141" spans="2:26" x14ac:dyDescent="0.2">
      <c r="B141" s="32" t="s">
        <v>331</v>
      </c>
      <c r="F141" s="33">
        <v>0</v>
      </c>
      <c r="G141" s="33">
        <f t="shared" ref="G141:N141" ca="1" si="334">+F144</f>
        <v>0</v>
      </c>
      <c r="H141" s="33">
        <f t="shared" ca="1" si="334"/>
        <v>0</v>
      </c>
      <c r="I141" s="33">
        <f t="shared" ca="1" si="334"/>
        <v>0</v>
      </c>
      <c r="J141" s="33">
        <f t="shared" ca="1" si="334"/>
        <v>210806356.91512394</v>
      </c>
      <c r="K141" s="33">
        <f t="shared" ca="1" si="334"/>
        <v>208176674.60029665</v>
      </c>
      <c r="L141" s="33">
        <f t="shared" ca="1" si="334"/>
        <v>205376062.93500558</v>
      </c>
      <c r="M141" s="33">
        <f t="shared" ca="1" si="334"/>
        <v>202393411.51147059</v>
      </c>
      <c r="N141" s="33">
        <f t="shared" ca="1" si="334"/>
        <v>199216887.74540582</v>
      </c>
      <c r="O141" s="33">
        <f t="shared" ref="O141:Z141" ca="1" si="335">+N144</f>
        <v>195833889.93454686</v>
      </c>
      <c r="P141" s="33">
        <f t="shared" ca="1" si="335"/>
        <v>192230997.26598206</v>
      </c>
      <c r="Q141" s="33">
        <f t="shared" ca="1" si="335"/>
        <v>188393916.57396057</v>
      </c>
      <c r="R141" s="33">
        <f t="shared" ca="1" si="335"/>
        <v>184307425.63695768</v>
      </c>
      <c r="S141" s="33">
        <f t="shared" ca="1" si="335"/>
        <v>179955312.7890496</v>
      </c>
      <c r="T141" s="33">
        <f t="shared" ca="1" si="335"/>
        <v>175320312.60602748</v>
      </c>
      <c r="U141" s="33">
        <f t="shared" ca="1" si="335"/>
        <v>170384037.41110894</v>
      </c>
      <c r="V141" s="33">
        <f t="shared" ca="1" si="335"/>
        <v>165126904.32852069</v>
      </c>
      <c r="W141" s="33">
        <f t="shared" ca="1" si="335"/>
        <v>159528057.59556419</v>
      </c>
      <c r="X141" s="33">
        <f t="shared" ca="1" si="335"/>
        <v>153565285.82496551</v>
      </c>
      <c r="Y141" s="33">
        <f t="shared" ca="1" si="335"/>
        <v>147214933.88927794</v>
      </c>
      <c r="Z141" s="33">
        <f t="shared" ca="1" si="335"/>
        <v>140451809.07777065</v>
      </c>
    </row>
    <row r="142" spans="2:26" x14ac:dyDescent="0.2">
      <c r="B142" s="32" t="s">
        <v>342</v>
      </c>
      <c r="F142" s="150">
        <f>+IF(YEAR(F$140)=YEAR('Assumptions and Sensis'!$F$47),'S&amp;U'!$R$17,0)</f>
        <v>0</v>
      </c>
      <c r="G142" s="150">
        <f>+IF(YEAR(G$140)=YEAR('Assumptions and Sensis'!$F$47),'S&amp;U'!$R$17,0)</f>
        <v>0</v>
      </c>
      <c r="H142" s="150">
        <f>+IF(YEAR(H$140)=YEAR('Assumptions and Sensis'!$F$47),'S&amp;U'!$R$17,0)</f>
        <v>0</v>
      </c>
      <c r="I142" s="150">
        <f ca="1">+IF(YEAR(I$140)=YEAR('Assumptions and Sensis'!$F$47),'S&amp;U'!$R$17,0)</f>
        <v>213275542.18726224</v>
      </c>
      <c r="J142" s="150">
        <f>+IF(YEAR(J$140)=YEAR('Assumptions and Sensis'!$F$47),'S&amp;U'!$R$17,0)</f>
        <v>0</v>
      </c>
      <c r="K142" s="150">
        <f>+IF(YEAR(K$140)=YEAR('Assumptions and Sensis'!$F$47),'S&amp;U'!$R$17,0)</f>
        <v>0</v>
      </c>
      <c r="L142" s="150">
        <f>+IF(YEAR(L$140)=YEAR('Assumptions and Sensis'!$F$47),'S&amp;U'!$R$17,0)</f>
        <v>0</v>
      </c>
      <c r="M142" s="150">
        <f>+IF(YEAR(M$140)=YEAR('Assumptions and Sensis'!$F$47),'S&amp;U'!$R$17,0)</f>
        <v>0</v>
      </c>
      <c r="N142" s="150">
        <f>+IF(YEAR(N$140)=YEAR('Assumptions and Sensis'!$F$47),'S&amp;U'!$R$17,0)</f>
        <v>0</v>
      </c>
      <c r="O142" s="150">
        <f>+IF(YEAR(O$140)=YEAR('Assumptions and Sensis'!$F$47),'S&amp;U'!$R$17,0)</f>
        <v>0</v>
      </c>
      <c r="P142" s="150">
        <f>+IF(YEAR(P$140)=YEAR('Assumptions and Sensis'!$F$47),'S&amp;U'!$R$17,0)</f>
        <v>0</v>
      </c>
      <c r="Q142" s="150">
        <f>+IF(YEAR(Q$140)=YEAR('Assumptions and Sensis'!$F$47),'S&amp;U'!$R$17,0)</f>
        <v>0</v>
      </c>
      <c r="R142" s="150">
        <f>+IF(YEAR(R$140)=YEAR('Assumptions and Sensis'!$F$47),'S&amp;U'!$R$17,0)</f>
        <v>0</v>
      </c>
      <c r="S142" s="150">
        <f>+IF(YEAR(S$140)=YEAR('Assumptions and Sensis'!$F$47),'S&amp;U'!$R$17,0)</f>
        <v>0</v>
      </c>
      <c r="T142" s="150">
        <f>+IF(YEAR(T$140)=YEAR('Assumptions and Sensis'!$F$47),'S&amp;U'!$R$17,0)</f>
        <v>0</v>
      </c>
      <c r="U142" s="150">
        <f>+IF(YEAR(U$140)=YEAR('Assumptions and Sensis'!$F$47),'S&amp;U'!$R$17,0)</f>
        <v>0</v>
      </c>
      <c r="V142" s="150">
        <f>+IF(YEAR(V$140)=YEAR('Assumptions and Sensis'!$F$47),'S&amp;U'!$R$17,0)</f>
        <v>0</v>
      </c>
      <c r="W142" s="150">
        <f>+IF(YEAR(W$140)=YEAR('Assumptions and Sensis'!$F$47),'S&amp;U'!$R$17,0)</f>
        <v>0</v>
      </c>
      <c r="X142" s="150">
        <f>+IF(YEAR(X$140)=YEAR('Assumptions and Sensis'!$F$47),'S&amp;U'!$R$17,0)</f>
        <v>0</v>
      </c>
      <c r="Y142" s="150">
        <f>+IF(YEAR(Y$140)=YEAR('Assumptions and Sensis'!$F$47),'S&amp;U'!$R$17,0)</f>
        <v>0</v>
      </c>
      <c r="Z142" s="150">
        <f>+IF(YEAR(Z$140)=YEAR('Assumptions and Sensis'!$F$47),'S&amp;U'!$R$17,0)</f>
        <v>0</v>
      </c>
    </row>
    <row r="143" spans="2:26" x14ac:dyDescent="0.2">
      <c r="B143" s="32" t="s">
        <v>162</v>
      </c>
      <c r="F143" s="150">
        <f ca="1">+IFERROR(PPMT('Assumptions and Sensis'!$N$177,F2,'Assumptions and Sensis'!$N$179,'S&amp;U'!$R$17),0)</f>
        <v>0</v>
      </c>
      <c r="G143" s="150">
        <f ca="1">+IFERROR(PPMT('Assumptions and Sensis'!$N$177,G2,'Assumptions and Sensis'!$N$179,'S&amp;U'!$R$17),0)</f>
        <v>0</v>
      </c>
      <c r="H143" s="150">
        <f ca="1">+IFERROR(PPMT('Assumptions and Sensis'!$N$177,H2,'Assumptions and Sensis'!$N$179,'S&amp;U'!$R$17),0)</f>
        <v>0</v>
      </c>
      <c r="I143" s="150">
        <f ca="1">+IFERROR(PPMT('Assumptions and Sensis'!$N$177,I2,'Assumptions and Sensis'!$N$179,'S&amp;U'!$R$17),0)</f>
        <v>-2469185.2721382957</v>
      </c>
      <c r="J143" s="150">
        <f ca="1">+IFERROR(PPMT('Assumptions and Sensis'!$N$177,J2,'Assumptions and Sensis'!$N$179,'S&amp;U'!$R$17),0)</f>
        <v>-2629682.3148272848</v>
      </c>
      <c r="K143" s="150">
        <f ca="1">+IFERROR(PPMT('Assumptions and Sensis'!$N$177,K2,'Assumptions and Sensis'!$N$179,'S&amp;U'!$R$17),0)</f>
        <v>-2800611.6652910584</v>
      </c>
      <c r="L143" s="150">
        <f ca="1">+IFERROR(PPMT('Assumptions and Sensis'!$N$177,L2,'Assumptions and Sensis'!$N$179,'S&amp;U'!$R$17),0)</f>
        <v>-2982651.4235349768</v>
      </c>
      <c r="M143" s="150">
        <f ca="1">+IFERROR(PPMT('Assumptions and Sensis'!$N$177,M2,'Assumptions and Sensis'!$N$179,'S&amp;U'!$R$17),0)</f>
        <v>-3176523.766064751</v>
      </c>
      <c r="N143" s="150">
        <f ca="1">+IFERROR(PPMT('Assumptions and Sensis'!$N$177,N2,'Assumptions and Sensis'!$N$179,'S&amp;U'!$R$17),0)</f>
        <v>-3382997.8108589598</v>
      </c>
      <c r="O143" s="150">
        <f ca="1">+IFERROR(PPMT('Assumptions and Sensis'!$N$177,O2,'Assumptions and Sensis'!$N$179,'S&amp;U'!$R$17),0)</f>
        <v>-3602892.6685647918</v>
      </c>
      <c r="P143" s="150">
        <f ca="1">+IFERROR(PPMT('Assumptions and Sensis'!$N$177,P2,'Assumptions and Sensis'!$N$179,'S&amp;U'!$R$17),0)</f>
        <v>-3837080.6920215036</v>
      </c>
      <c r="Q143" s="150">
        <f ca="1">+IFERROR(PPMT('Assumptions and Sensis'!$N$177,Q2,'Assumptions and Sensis'!$N$179,'S&amp;U'!$R$17),0)</f>
        <v>-4086490.937002901</v>
      </c>
      <c r="R143" s="150">
        <f ca="1">+IFERROR(PPMT('Assumptions and Sensis'!$N$177,R2,'Assumptions and Sensis'!$N$179,'S&amp;U'!$R$17),0)</f>
        <v>-4352112.8479080899</v>
      </c>
      <c r="S143" s="150">
        <f ca="1">+IFERROR(PPMT('Assumptions and Sensis'!$N$177,S2,'Assumptions and Sensis'!$N$179,'S&amp;U'!$R$17),0)</f>
        <v>-4635000.1830221163</v>
      </c>
      <c r="T143" s="150">
        <f ca="1">+IFERROR(PPMT('Assumptions and Sensis'!$N$177,T2,'Assumptions and Sensis'!$N$179,'S&amp;U'!$R$17),0)</f>
        <v>-4936275.1949185533</v>
      </c>
      <c r="U143" s="150">
        <f ca="1">+IFERROR(PPMT('Assumptions and Sensis'!$N$177,U2,'Assumptions and Sensis'!$N$179,'S&amp;U'!$R$17),0)</f>
        <v>-5257133.0825882601</v>
      </c>
      <c r="V143" s="150">
        <f ca="1">+IFERROR(PPMT('Assumptions and Sensis'!$N$177,V2,'Assumptions and Sensis'!$N$179,'S&amp;U'!$R$17),0)</f>
        <v>-5598846.7329564961</v>
      </c>
      <c r="W143" s="150">
        <f ca="1">+IFERROR(PPMT('Assumptions and Sensis'!$N$177,W2,'Assumptions and Sensis'!$N$179,'S&amp;U'!$R$17),0)</f>
        <v>-5962771.7705986686</v>
      </c>
      <c r="X143" s="150">
        <f ca="1">+IFERROR(PPMT('Assumptions and Sensis'!$N$177,X2,'Assumptions and Sensis'!$N$179,'S&amp;U'!$R$17),0)</f>
        <v>-6350351.935687582</v>
      </c>
      <c r="Y143" s="150">
        <f ca="1">+IFERROR(PPMT('Assumptions and Sensis'!$N$177,Y2,'Assumptions and Sensis'!$N$179,'S&amp;U'!$R$17),0)</f>
        <v>-6763124.8115072744</v>
      </c>
      <c r="Z143" s="150">
        <f ca="1">+IFERROR(PPMT('Assumptions and Sensis'!$N$177,Z2,'Assumptions and Sensis'!$N$179,'S&amp;U'!$R$17),0)</f>
        <v>-7202727.9242552491</v>
      </c>
    </row>
    <row r="144" spans="2:26" x14ac:dyDescent="0.2">
      <c r="B144" s="32" t="s">
        <v>333</v>
      </c>
      <c r="F144" s="150">
        <f t="shared" ref="F144:N144" ca="1" si="336">+SUM(F141:F143)</f>
        <v>0</v>
      </c>
      <c r="G144" s="150">
        <f t="shared" ca="1" si="336"/>
        <v>0</v>
      </c>
      <c r="H144" s="150">
        <f t="shared" ca="1" si="336"/>
        <v>0</v>
      </c>
      <c r="I144" s="150">
        <f t="shared" ca="1" si="336"/>
        <v>210806356.91512394</v>
      </c>
      <c r="J144" s="150">
        <f t="shared" ca="1" si="336"/>
        <v>208176674.60029665</v>
      </c>
      <c r="K144" s="150">
        <f t="shared" ca="1" si="336"/>
        <v>205376062.93500558</v>
      </c>
      <c r="L144" s="150">
        <f t="shared" ca="1" si="336"/>
        <v>202393411.51147059</v>
      </c>
      <c r="M144" s="150">
        <f t="shared" ca="1" si="336"/>
        <v>199216887.74540582</v>
      </c>
      <c r="N144" s="150">
        <f t="shared" ca="1" si="336"/>
        <v>195833889.93454686</v>
      </c>
      <c r="O144" s="150">
        <f t="shared" ref="O144:Z144" ca="1" si="337">+SUM(O141:O143)</f>
        <v>192230997.26598206</v>
      </c>
      <c r="P144" s="150">
        <f t="shared" ca="1" si="337"/>
        <v>188393916.57396057</v>
      </c>
      <c r="Q144" s="150">
        <f t="shared" ca="1" si="337"/>
        <v>184307425.63695768</v>
      </c>
      <c r="R144" s="150">
        <f t="shared" ca="1" si="337"/>
        <v>179955312.7890496</v>
      </c>
      <c r="S144" s="150">
        <f t="shared" ca="1" si="337"/>
        <v>175320312.60602748</v>
      </c>
      <c r="T144" s="150">
        <f t="shared" ca="1" si="337"/>
        <v>170384037.41110894</v>
      </c>
      <c r="U144" s="150">
        <f t="shared" ca="1" si="337"/>
        <v>165126904.32852069</v>
      </c>
      <c r="V144" s="150">
        <f t="shared" ca="1" si="337"/>
        <v>159528057.59556419</v>
      </c>
      <c r="W144" s="150">
        <f t="shared" ca="1" si="337"/>
        <v>153565285.82496551</v>
      </c>
      <c r="X144" s="150">
        <f t="shared" ca="1" si="337"/>
        <v>147214933.88927794</v>
      </c>
      <c r="Y144" s="150">
        <f t="shared" ca="1" si="337"/>
        <v>140451809.07777065</v>
      </c>
      <c r="Z144" s="150">
        <f t="shared" ca="1" si="337"/>
        <v>133249081.1535154</v>
      </c>
    </row>
    <row r="146" spans="2:26" x14ac:dyDescent="0.2">
      <c r="B146" s="40" t="s">
        <v>332</v>
      </c>
      <c r="F146" s="33">
        <f ca="1">-IFERROR(IPMT('Assumptions and Sensis'!$N$177,F2,'Assumptions and Sensis'!$N$179,'S&amp;U'!$R$17),0)</f>
        <v>0</v>
      </c>
      <c r="G146" s="33">
        <f ca="1">-IFERROR(IPMT('Assumptions and Sensis'!$N$177,G2,'Assumptions and Sensis'!$N$179,'S&amp;U'!$R$17),0)</f>
        <v>0</v>
      </c>
      <c r="H146" s="33">
        <f ca="1">-IFERROR(IPMT('Assumptions and Sensis'!$N$177,H2,'Assumptions and Sensis'!$N$179,'S&amp;U'!$R$17),0)</f>
        <v>0</v>
      </c>
      <c r="I146" s="33">
        <f ca="1">-IFERROR(IPMT('Assumptions and Sensis'!$N$177,I2,'Assumptions and Sensis'!$N$179,'S&amp;U'!$R$17),0)</f>
        <v>13862910.242172046</v>
      </c>
      <c r="J146" s="33">
        <f ca="1">-IFERROR(IPMT('Assumptions and Sensis'!$N$177,J2,'Assumptions and Sensis'!$N$179,'S&amp;U'!$R$17),0)</f>
        <v>13702413.199483059</v>
      </c>
      <c r="K146" s="33">
        <f ca="1">-IFERROR(IPMT('Assumptions and Sensis'!$N$177,K2,'Assumptions and Sensis'!$N$179,'S&amp;U'!$R$17),0)</f>
        <v>13531483.849019285</v>
      </c>
      <c r="L146" s="33">
        <f ca="1">-IFERROR(IPMT('Assumptions and Sensis'!$N$177,L2,'Assumptions and Sensis'!$N$179,'S&amp;U'!$R$17),0)</f>
        <v>13349444.090775365</v>
      </c>
      <c r="M146" s="33">
        <f ca="1">-IFERROR(IPMT('Assumptions and Sensis'!$N$177,M2,'Assumptions and Sensis'!$N$179,'S&amp;U'!$R$17),0)</f>
        <v>13155571.748245591</v>
      </c>
      <c r="N146" s="33">
        <f ca="1">-IFERROR(IPMT('Assumptions and Sensis'!$N$177,N2,'Assumptions and Sensis'!$N$179,'S&amp;U'!$R$17),0)</f>
        <v>12949097.703451382</v>
      </c>
      <c r="O146" s="33">
        <f ca="1">-IFERROR(IPMT('Assumptions and Sensis'!$N$177,O2,'Assumptions and Sensis'!$N$179,'S&amp;U'!$R$17),0)</f>
        <v>12729202.84574555</v>
      </c>
      <c r="P146" s="33">
        <f ca="1">-IFERROR(IPMT('Assumptions and Sensis'!$N$177,P2,'Assumptions and Sensis'!$N$179,'S&amp;U'!$R$17),0)</f>
        <v>12495014.822288839</v>
      </c>
      <c r="Q146" s="33">
        <f ca="1">-IFERROR(IPMT('Assumptions and Sensis'!$N$177,Q2,'Assumptions and Sensis'!$N$179,'S&amp;U'!$R$17),0)</f>
        <v>12245604.577307442</v>
      </c>
      <c r="R146" s="33">
        <f ca="1">-IFERROR(IPMT('Assumptions and Sensis'!$N$177,R2,'Assumptions and Sensis'!$N$179,'S&amp;U'!$R$17),0)</f>
        <v>11979982.666402251</v>
      </c>
      <c r="S146" s="33">
        <f ca="1">-IFERROR(IPMT('Assumptions and Sensis'!$N$177,S2,'Assumptions and Sensis'!$N$179,'S&amp;U'!$R$17),0)</f>
        <v>11697095.331288226</v>
      </c>
      <c r="T146" s="33">
        <f ca="1">-IFERROR(IPMT('Assumptions and Sensis'!$N$177,T2,'Assumptions and Sensis'!$N$179,'S&amp;U'!$R$17),0)</f>
        <v>11395820.319391789</v>
      </c>
      <c r="U146" s="33">
        <f ca="1">-IFERROR(IPMT('Assumptions and Sensis'!$N$177,U2,'Assumptions and Sensis'!$N$179,'S&amp;U'!$R$17),0)</f>
        <v>11074962.431722084</v>
      </c>
      <c r="V146" s="33">
        <f ca="1">-IFERROR(IPMT('Assumptions and Sensis'!$N$177,V2,'Assumptions and Sensis'!$N$179,'S&amp;U'!$R$17),0)</f>
        <v>10733248.781353846</v>
      </c>
      <c r="W146" s="33">
        <f ca="1">-IFERROR(IPMT('Assumptions and Sensis'!$N$177,W2,'Assumptions and Sensis'!$N$179,'S&amp;U'!$R$17),0)</f>
        <v>10369323.743711675</v>
      </c>
      <c r="X146" s="33">
        <f ca="1">-IFERROR(IPMT('Assumptions and Sensis'!$N$177,X2,'Assumptions and Sensis'!$N$179,'S&amp;U'!$R$17),0)</f>
        <v>9981743.5786227584</v>
      </c>
      <c r="Y146" s="33">
        <f ca="1">-IFERROR(IPMT('Assumptions and Sensis'!$N$177,Y2,'Assumptions and Sensis'!$N$179,'S&amp;U'!$R$17),0)</f>
        <v>9568970.702803066</v>
      </c>
      <c r="Z146" s="33">
        <f ca="1">-IFERROR(IPMT('Assumptions and Sensis'!$N$177,Z2,'Assumptions and Sensis'!$N$179,'S&amp;U'!$R$17),0)</f>
        <v>9129367.590055095</v>
      </c>
    </row>
    <row r="147" spans="2:26" x14ac:dyDescent="0.2">
      <c r="B147" s="136" t="s">
        <v>341</v>
      </c>
      <c r="C147" s="136"/>
      <c r="D147" s="136"/>
      <c r="E147" s="136"/>
      <c r="F147" s="128">
        <f t="shared" ref="F147:K147" ca="1" si="338">+F146-F143</f>
        <v>0</v>
      </c>
      <c r="G147" s="128">
        <f t="shared" ca="1" si="338"/>
        <v>0</v>
      </c>
      <c r="H147" s="128">
        <f t="shared" ca="1" si="338"/>
        <v>0</v>
      </c>
      <c r="I147" s="128">
        <f t="shared" ca="1" si="338"/>
        <v>16332095.514310341</v>
      </c>
      <c r="J147" s="128">
        <f t="shared" ca="1" si="338"/>
        <v>16332095.514310345</v>
      </c>
      <c r="K147" s="128">
        <f t="shared" ca="1" si="338"/>
        <v>16332095.514310343</v>
      </c>
      <c r="L147" s="128">
        <f ca="1">+L146-L143</f>
        <v>16332095.514310341</v>
      </c>
      <c r="M147" s="128">
        <f t="shared" ref="M147:Z147" ca="1" si="339">+M146-M143</f>
        <v>16332095.514310341</v>
      </c>
      <c r="N147" s="128">
        <f t="shared" ca="1" si="339"/>
        <v>16332095.514310341</v>
      </c>
      <c r="O147" s="128">
        <f t="shared" ca="1" si="339"/>
        <v>16332095.514310341</v>
      </c>
      <c r="P147" s="128">
        <f t="shared" ca="1" si="339"/>
        <v>16332095.514310343</v>
      </c>
      <c r="Q147" s="128">
        <f t="shared" ca="1" si="339"/>
        <v>16332095.514310343</v>
      </c>
      <c r="R147" s="128">
        <f t="shared" ca="1" si="339"/>
        <v>16332095.514310341</v>
      </c>
      <c r="S147" s="128">
        <f t="shared" ca="1" si="339"/>
        <v>16332095.514310341</v>
      </c>
      <c r="T147" s="128">
        <f t="shared" ca="1" si="339"/>
        <v>16332095.514310341</v>
      </c>
      <c r="U147" s="128">
        <f t="shared" ca="1" si="339"/>
        <v>16332095.514310345</v>
      </c>
      <c r="V147" s="128">
        <f t="shared" ca="1" si="339"/>
        <v>16332095.514310341</v>
      </c>
      <c r="W147" s="128">
        <f t="shared" ca="1" si="339"/>
        <v>16332095.514310343</v>
      </c>
      <c r="X147" s="128">
        <f t="shared" ca="1" si="339"/>
        <v>16332095.514310341</v>
      </c>
      <c r="Y147" s="128">
        <f t="shared" ca="1" si="339"/>
        <v>16332095.514310341</v>
      </c>
      <c r="Z147" s="128">
        <f t="shared" ca="1" si="339"/>
        <v>16332095.514310345</v>
      </c>
    </row>
    <row r="148" spans="2:26" x14ac:dyDescent="0.2">
      <c r="B148" s="145" t="s">
        <v>181</v>
      </c>
      <c r="F148" s="178" t="str">
        <f ca="1">+IFERROR(F138/F147,"")</f>
        <v/>
      </c>
      <c r="G148" s="178" t="str">
        <f t="shared" ref="G148:Z148" ca="1" si="340">+IFERROR(G138/G147,"")</f>
        <v/>
      </c>
      <c r="H148" s="178" t="str">
        <f t="shared" ca="1" si="340"/>
        <v/>
      </c>
      <c r="I148" s="178">
        <f t="shared" ca="1" si="340"/>
        <v>0.61100428566353038</v>
      </c>
      <c r="J148" s="178">
        <f t="shared" ca="1" si="340"/>
        <v>1.2337699393177419</v>
      </c>
      <c r="K148" s="178">
        <f t="shared" ca="1" si="340"/>
        <v>1.2500000000000004</v>
      </c>
      <c r="L148" s="178">
        <f t="shared" ca="1" si="340"/>
        <v>1.3498982068874938</v>
      </c>
      <c r="M148" s="178">
        <f t="shared" ca="1" si="340"/>
        <v>1.3629745770758797</v>
      </c>
      <c r="N148" s="178">
        <f t="shared" ca="1" si="340"/>
        <v>1.3806405215976916</v>
      </c>
      <c r="O148" s="178">
        <f t="shared" ca="1" si="340"/>
        <v>1.3988131856883774</v>
      </c>
      <c r="P148" s="178">
        <f t="shared" ca="1" si="340"/>
        <v>1.4133281915275224</v>
      </c>
      <c r="Q148" s="178">
        <f t="shared" ca="1" si="340"/>
        <v>1.5240546031652822</v>
      </c>
      <c r="R148" s="178">
        <f t="shared" ca="1" si="340"/>
        <v>1.5438375883859505</v>
      </c>
      <c r="S148" s="178">
        <f t="shared" ca="1" si="340"/>
        <v>1.5599261906092854</v>
      </c>
      <c r="T148" s="178">
        <f t="shared" ca="1" si="340"/>
        <v>1.5808623487537043</v>
      </c>
      <c r="U148" s="178">
        <f t="shared" ca="1" si="340"/>
        <v>1.6024003984933894</v>
      </c>
      <c r="V148" s="178">
        <f t="shared" ca="1" si="340"/>
        <v>1.7208259533000572</v>
      </c>
      <c r="W148" s="178">
        <f t="shared" ca="1" si="340"/>
        <v>1.7436209003941909</v>
      </c>
      <c r="X148" s="178">
        <f t="shared" ca="1" si="340"/>
        <v>1.7670718995218158</v>
      </c>
      <c r="Y148" s="178">
        <f t="shared" ca="1" si="340"/>
        <v>1.7867631668602806</v>
      </c>
      <c r="Z148" s="178">
        <f t="shared" ca="1" si="340"/>
        <v>1.8115842096055887</v>
      </c>
    </row>
    <row r="150" spans="2:26" x14ac:dyDescent="0.2">
      <c r="B150" s="40" t="s">
        <v>156</v>
      </c>
      <c r="F150" s="33">
        <f>+F142*'Assumptions and Sensis'!$N$178</f>
        <v>0</v>
      </c>
      <c r="G150" s="33">
        <f>+G142*'Assumptions and Sensis'!$N$178</f>
        <v>0</v>
      </c>
      <c r="H150" s="33">
        <f>+H142*'Assumptions and Sensis'!$N$178</f>
        <v>0</v>
      </c>
      <c r="I150" s="33">
        <f ca="1">+I142*'Assumptions and Sensis'!$N$178</f>
        <v>1599566.5664044668</v>
      </c>
      <c r="J150" s="33">
        <f>+J142*'Assumptions and Sensis'!$N$178</f>
        <v>0</v>
      </c>
      <c r="K150" s="33">
        <f>+K142*'Assumptions and Sensis'!$N$178</f>
        <v>0</v>
      </c>
      <c r="L150" s="33">
        <f>+L142*'Assumptions and Sensis'!$N$178</f>
        <v>0</v>
      </c>
      <c r="M150" s="33">
        <f>+M142*'Assumptions and Sensis'!$N$178</f>
        <v>0</v>
      </c>
      <c r="N150" s="33">
        <f>+N142*'Assumptions and Sensis'!$N$178</f>
        <v>0</v>
      </c>
      <c r="O150" s="33">
        <f>+O142*'Assumptions and Sensis'!$N$178</f>
        <v>0</v>
      </c>
      <c r="P150" s="33">
        <f>+P142*'Assumptions and Sensis'!$N$178</f>
        <v>0</v>
      </c>
      <c r="Q150" s="33">
        <f>+Q142*'Assumptions and Sensis'!$N$178</f>
        <v>0</v>
      </c>
      <c r="R150" s="33">
        <f>+R142*'Assumptions and Sensis'!$N$178</f>
        <v>0</v>
      </c>
      <c r="S150" s="33">
        <f>+S142*'Assumptions and Sensis'!$N$178</f>
        <v>0</v>
      </c>
      <c r="T150" s="33">
        <f>+T142*'Assumptions and Sensis'!$N$178</f>
        <v>0</v>
      </c>
      <c r="U150" s="33">
        <f>+U142*'Assumptions and Sensis'!$N$178</f>
        <v>0</v>
      </c>
      <c r="V150" s="33">
        <f>+V142*'Assumptions and Sensis'!$N$178</f>
        <v>0</v>
      </c>
      <c r="W150" s="33">
        <f>+W142*'Assumptions and Sensis'!$N$178</f>
        <v>0</v>
      </c>
      <c r="X150" s="33">
        <f>+X142*'Assumptions and Sensis'!$N$178</f>
        <v>0</v>
      </c>
      <c r="Y150" s="33">
        <f>+Y142*'Assumptions and Sensis'!$N$178</f>
        <v>0</v>
      </c>
      <c r="Z150" s="33">
        <f>+Z142*'Assumptions and Sensis'!$N$178</f>
        <v>0</v>
      </c>
    </row>
    <row r="152" spans="2:26" s="156" customFormat="1" x14ac:dyDescent="0.2">
      <c r="B152" s="136" t="s">
        <v>334</v>
      </c>
      <c r="C152" s="136"/>
      <c r="D152" s="136"/>
      <c r="E152" s="136"/>
      <c r="F152" s="128">
        <f ca="1">+F138-F147-F150</f>
        <v>0</v>
      </c>
      <c r="G152" s="128">
        <f t="shared" ref="G152:Z152" ca="1" si="341">+G138-G147-G150</f>
        <v>0</v>
      </c>
      <c r="H152" s="128">
        <f t="shared" ca="1" si="341"/>
        <v>0</v>
      </c>
      <c r="I152" s="128">
        <f t="shared" ca="1" si="341"/>
        <v>-7952681.7276050681</v>
      </c>
      <c r="J152" s="128">
        <f t="shared" ca="1" si="341"/>
        <v>3817952.9773118943</v>
      </c>
      <c r="K152" s="128">
        <f t="shared" ca="1" si="341"/>
        <v>4083023.8785775919</v>
      </c>
      <c r="L152" s="128">
        <f t="shared" ca="1" si="341"/>
        <v>5714570.9351724684</v>
      </c>
      <c r="M152" s="128">
        <f t="shared" ca="1" si="341"/>
        <v>5928135.4620696679</v>
      </c>
      <c r="N152" s="128">
        <f t="shared" ca="1" si="341"/>
        <v>6216657.3553504087</v>
      </c>
      <c r="O152" s="128">
        <f t="shared" ca="1" si="341"/>
        <v>6513455.0410289653</v>
      </c>
      <c r="P152" s="128">
        <f t="shared" ca="1" si="341"/>
        <v>6750515.5027846564</v>
      </c>
      <c r="Q152" s="128">
        <f t="shared" ca="1" si="341"/>
        <v>8558909.8336093929</v>
      </c>
      <c r="R152" s="128">
        <f t="shared" ca="1" si="341"/>
        <v>8882007.4377915375</v>
      </c>
      <c r="S152" s="128">
        <f t="shared" ca="1" si="341"/>
        <v>9144768.0259947889</v>
      </c>
      <c r="T152" s="128">
        <f t="shared" ca="1" si="341"/>
        <v>9486699.3605121449</v>
      </c>
      <c r="U152" s="128">
        <f t="shared" ca="1" si="341"/>
        <v>9838460.8460526504</v>
      </c>
      <c r="V152" s="128">
        <f t="shared" ca="1" si="341"/>
        <v>11772598.318490338</v>
      </c>
      <c r="W152" s="128">
        <f t="shared" ca="1" si="341"/>
        <v>12144887.571675384</v>
      </c>
      <c r="X152" s="128">
        <f t="shared" ca="1" si="341"/>
        <v>12527891.529333759</v>
      </c>
      <c r="Y152" s="128">
        <f t="shared" ca="1" si="341"/>
        <v>12849491.188303389</v>
      </c>
      <c r="Z152" s="128">
        <f t="shared" ca="1" si="341"/>
        <v>13254870.829184543</v>
      </c>
    </row>
    <row r="154" spans="2:26" x14ac:dyDescent="0.2">
      <c r="B154" s="147" t="s">
        <v>335</v>
      </c>
    </row>
    <row r="155" spans="2:26" x14ac:dyDescent="0.2">
      <c r="B155" s="32" t="s">
        <v>336</v>
      </c>
      <c r="F155" s="33">
        <f>+IF(YEAR(F$140)=YEAR('Assumptions and Sensis'!$F$51),F136+F114+F93+F72+F51+F28,0)</f>
        <v>0</v>
      </c>
      <c r="G155" s="33">
        <f>+IF(YEAR(G$140)=YEAR('Assumptions and Sensis'!$F$51),G136+G114+G93+G72+G51+G28,0)</f>
        <v>0</v>
      </c>
      <c r="H155" s="33">
        <f>+IF(YEAR(H$140)=YEAR('Assumptions and Sensis'!$F$51),H136+H114+H93+H72+H51+H28,0)</f>
        <v>0</v>
      </c>
      <c r="I155" s="33">
        <f>+IF(YEAR(I$140)=YEAR('Assumptions and Sensis'!$F$51),I136+I114+I93+I72+I51+I28,0)</f>
        <v>0</v>
      </c>
      <c r="J155" s="33">
        <f>+IF(YEAR(J$140)=YEAR('Assumptions and Sensis'!$F$51),J136+J114+J93+J72+J51+J28,0)</f>
        <v>0</v>
      </c>
      <c r="K155" s="33">
        <f>+IF(YEAR(K$140)=YEAR('Assumptions and Sensis'!$F$51),K136+K114+K93+K72+K51+K28,0)</f>
        <v>0</v>
      </c>
      <c r="L155" s="33">
        <f>+IF(YEAR(L$140)=YEAR('Assumptions and Sensis'!$F$51),L136+L114+L93+L72+L51+L28,0)</f>
        <v>0</v>
      </c>
      <c r="M155" s="33">
        <f>+IF(YEAR(M$140)=YEAR('Assumptions and Sensis'!$F$51),M136+M114+M93+M72+M51+M28,0)</f>
        <v>0</v>
      </c>
      <c r="N155" s="33">
        <f>+IF(YEAR(N$140)=YEAR('Assumptions and Sensis'!$F$51),N136+N114+N93+N72+N51+N28,0)</f>
        <v>0</v>
      </c>
      <c r="O155" s="33">
        <f>+IF(YEAR(O$140)=YEAR('Assumptions and Sensis'!$F$51),O136+O114+O93+O72+O51+O28,0)</f>
        <v>0</v>
      </c>
      <c r="P155" s="33">
        <f ca="1">+IF(YEAR(P$140)=YEAR('Assumptions and Sensis'!$F$51),P136+P114+P93+P72+P51+P28,0)</f>
        <v>380601475.71208966</v>
      </c>
      <c r="Q155" s="33">
        <f>+IF(YEAR(Q$140)=YEAR('Assumptions and Sensis'!$F$51),Q136+Q114+Q93+Q72+Q51+Q28,0)</f>
        <v>0</v>
      </c>
      <c r="R155" s="33">
        <f>+IF(YEAR(R$140)=YEAR('Assumptions and Sensis'!$F$51),R136+R114+R93+R72+R51+R28,0)</f>
        <v>0</v>
      </c>
      <c r="S155" s="33">
        <f>+IF(YEAR(S$140)=YEAR('Assumptions and Sensis'!$F$51),S136+S114+S93+S72+S51+S28,0)</f>
        <v>0</v>
      </c>
      <c r="T155" s="33">
        <f>+IF(YEAR(T$140)=YEAR('Assumptions and Sensis'!$F$51),T136+T114+T93+T72+T51+T28,0)</f>
        <v>0</v>
      </c>
      <c r="U155" s="33">
        <f>+IF(YEAR(U$140)=YEAR('Assumptions and Sensis'!$F$51),U136+U114+U93+U72+U51+U28,0)</f>
        <v>0</v>
      </c>
      <c r="V155" s="33">
        <f>+IF(YEAR(V$140)=YEAR('Assumptions and Sensis'!$F$51),V136+V114+V93+V72+V51+V28,0)</f>
        <v>0</v>
      </c>
      <c r="W155" s="33">
        <f>+IF(YEAR(W$140)=YEAR('Assumptions and Sensis'!$F$51),W136+W114+W93+W72+W51+W28,0)</f>
        <v>0</v>
      </c>
      <c r="X155" s="33">
        <f>+IF(YEAR(X$140)=YEAR('Assumptions and Sensis'!$F$51),X136+X114+X93+X72+X51+X28,0)</f>
        <v>0</v>
      </c>
      <c r="Y155" s="33">
        <f>+IF(YEAR(Y$140)=YEAR('Assumptions and Sensis'!$F$51),Y136+Y114+Y93+Y72+Y51+Y28,0)</f>
        <v>0</v>
      </c>
      <c r="Z155" s="33">
        <f>+IF(YEAR(Z$140)=YEAR('Assumptions and Sensis'!$F$51),Z136+Z114+Z93+Z72+Z51+Z28,0)</f>
        <v>0</v>
      </c>
    </row>
    <row r="156" spans="2:26" ht="18" x14ac:dyDescent="0.2">
      <c r="B156" s="204" t="s">
        <v>369</v>
      </c>
      <c r="C156" s="204"/>
      <c r="D156" s="204"/>
      <c r="E156" s="204"/>
      <c r="F156" s="150">
        <f>+IF(YEAR(F$140)=YEAR('Assumptions and Sensis'!$F$47),('S&amp;U'!$H$23-'S&amp;U'!$R$25),0)</f>
        <v>0</v>
      </c>
      <c r="G156" s="150">
        <f>+IF(YEAR(G$140)=YEAR('Assumptions and Sensis'!$F$47),('S&amp;U'!$H$23-'S&amp;U'!$R$25),0)</f>
        <v>0</v>
      </c>
      <c r="H156" s="150">
        <f>+IF(YEAR(H$140)=YEAR('Assumptions and Sensis'!$F$47),('S&amp;U'!$H$23-'S&amp;U'!$R$25),0)</f>
        <v>0</v>
      </c>
      <c r="I156" s="150">
        <f ca="1">+IF(YEAR(I$140)=YEAR('Assumptions and Sensis'!$F$47),('S&amp;U'!$H$23-'S&amp;U'!$R$25),0)</f>
        <v>34971568.917374372</v>
      </c>
      <c r="J156" s="150">
        <f>+IF(YEAR(J$140)=YEAR('Assumptions and Sensis'!$F$47),('S&amp;U'!$H$23-'S&amp;U'!$R$25),0)</f>
        <v>0</v>
      </c>
      <c r="K156" s="150">
        <f>+IF(YEAR(K$140)=YEAR('Assumptions and Sensis'!$F$47),('S&amp;U'!$H$23-'S&amp;U'!$R$25),0)</f>
        <v>0</v>
      </c>
      <c r="L156" s="150">
        <f>+IF(YEAR(L$140)=YEAR('Assumptions and Sensis'!$F$47),('S&amp;U'!$H$23-'S&amp;U'!$R$25),0)</f>
        <v>0</v>
      </c>
      <c r="M156" s="150">
        <f>+IF(YEAR(M$140)=YEAR('Assumptions and Sensis'!$F$47),('S&amp;U'!$H$23-'S&amp;U'!$R$25),0)</f>
        <v>0</v>
      </c>
      <c r="N156" s="150">
        <f>+IF(YEAR(N$140)=YEAR('Assumptions and Sensis'!$F$47),('S&amp;U'!$H$23-'S&amp;U'!$R$25),0)</f>
        <v>0</v>
      </c>
      <c r="O156" s="150">
        <f>+IF(YEAR(O$140)=YEAR('Assumptions and Sensis'!$F$47),('S&amp;U'!$H$23-'S&amp;U'!$R$25),0)</f>
        <v>0</v>
      </c>
      <c r="P156" s="150">
        <f>+IF(YEAR(P$140)=YEAR('Assumptions and Sensis'!$F$47),('S&amp;U'!$H$23-'S&amp;U'!$R$25),0)</f>
        <v>0</v>
      </c>
      <c r="Q156" s="150">
        <f>+IF(YEAR(Q$140)=YEAR('Assumptions and Sensis'!$F$47),('S&amp;U'!$H$23-'S&amp;U'!$R$25),0)</f>
        <v>0</v>
      </c>
      <c r="R156" s="150">
        <f>+IF(YEAR(R$140)=YEAR('Assumptions and Sensis'!$F$47),('S&amp;U'!$H$23-'S&amp;U'!$R$25),0)</f>
        <v>0</v>
      </c>
      <c r="S156" s="150">
        <f>+IF(YEAR(S$140)=YEAR('Assumptions and Sensis'!$F$47),('S&amp;U'!$H$23-'S&amp;U'!$R$25),0)</f>
        <v>0</v>
      </c>
      <c r="T156" s="150">
        <f>+IF(YEAR(T$140)=YEAR('Assumptions and Sensis'!$F$47),('S&amp;U'!$H$23-'S&amp;U'!$R$25),0)</f>
        <v>0</v>
      </c>
      <c r="U156" s="150">
        <f>+IF(YEAR(U$140)=YEAR('Assumptions and Sensis'!$F$47),('S&amp;U'!$H$23-'S&amp;U'!$R$25),0)</f>
        <v>0</v>
      </c>
      <c r="V156" s="150">
        <f>+IF(YEAR(V$140)=YEAR('Assumptions and Sensis'!$F$47),('S&amp;U'!$H$23-'S&amp;U'!$R$25),0)</f>
        <v>0</v>
      </c>
      <c r="W156" s="150">
        <f>+IF(YEAR(W$140)=YEAR('Assumptions and Sensis'!$F$47),('S&amp;U'!$H$23-'S&amp;U'!$R$25),0)</f>
        <v>0</v>
      </c>
      <c r="X156" s="150">
        <f>+IF(YEAR(X$140)=YEAR('Assumptions and Sensis'!$F$47),('S&amp;U'!$H$23-'S&amp;U'!$R$25),0)</f>
        <v>0</v>
      </c>
      <c r="Y156" s="150">
        <f>+IF(YEAR(Y$140)=YEAR('Assumptions and Sensis'!$F$47),('S&amp;U'!$H$23-'S&amp;U'!$R$25),0)</f>
        <v>0</v>
      </c>
      <c r="Z156" s="150">
        <f>+IF(YEAR(Z$140)=YEAR('Assumptions and Sensis'!$F$47),('S&amp;U'!$H$23-'S&amp;U'!$R$25),0)</f>
        <v>0</v>
      </c>
    </row>
    <row r="157" spans="2:26" x14ac:dyDescent="0.2">
      <c r="B157" s="32" t="s">
        <v>337</v>
      </c>
      <c r="F157" s="150">
        <f>-F155*'Assumptions and Sensis'!$N$161</f>
        <v>0</v>
      </c>
      <c r="G157" s="150">
        <f>-G155*'Assumptions and Sensis'!$N$161</f>
        <v>0</v>
      </c>
      <c r="H157" s="150">
        <f>-H155*'Assumptions and Sensis'!$N$161</f>
        <v>0</v>
      </c>
      <c r="I157" s="150">
        <f>-I155*'Assumptions and Sensis'!$N$161</f>
        <v>0</v>
      </c>
      <c r="J157" s="150">
        <f>-J155*'Assumptions and Sensis'!$N$161</f>
        <v>0</v>
      </c>
      <c r="K157" s="150">
        <f>-K155*'Assumptions and Sensis'!$N$161</f>
        <v>0</v>
      </c>
      <c r="L157" s="150">
        <f>-L155*'Assumptions and Sensis'!$N$161</f>
        <v>0</v>
      </c>
      <c r="M157" s="150">
        <f>-M155*'Assumptions and Sensis'!$N$161</f>
        <v>0</v>
      </c>
      <c r="N157" s="150">
        <f>-N155*'Assumptions and Sensis'!$N$161</f>
        <v>0</v>
      </c>
      <c r="O157" s="150">
        <f>-O155*'Assumptions and Sensis'!$N$161</f>
        <v>0</v>
      </c>
      <c r="P157" s="150">
        <f ca="1">-P155*'Assumptions and Sensis'!$N$161</f>
        <v>-7612029.5142417932</v>
      </c>
      <c r="Q157" s="150">
        <f>-Q155*'Assumptions and Sensis'!$N$161</f>
        <v>0</v>
      </c>
      <c r="R157" s="150">
        <f>-R155*'Assumptions and Sensis'!$N$161</f>
        <v>0</v>
      </c>
      <c r="S157" s="150">
        <f>-S155*'Assumptions and Sensis'!$N$161</f>
        <v>0</v>
      </c>
      <c r="T157" s="150">
        <f>-T155*'Assumptions and Sensis'!$N$161</f>
        <v>0</v>
      </c>
      <c r="U157" s="150">
        <f>-U155*'Assumptions and Sensis'!$N$161</f>
        <v>0</v>
      </c>
      <c r="V157" s="150">
        <f>-V155*'Assumptions and Sensis'!$N$161</f>
        <v>0</v>
      </c>
      <c r="W157" s="150">
        <f>-W155*'Assumptions and Sensis'!$N$161</f>
        <v>0</v>
      </c>
      <c r="X157" s="150">
        <f>-X155*'Assumptions and Sensis'!$N$161</f>
        <v>0</v>
      </c>
      <c r="Y157" s="150">
        <f>-Y155*'Assumptions and Sensis'!$N$161</f>
        <v>0</v>
      </c>
      <c r="Z157" s="150">
        <f>-Z155*'Assumptions and Sensis'!$N$161</f>
        <v>0</v>
      </c>
    </row>
    <row r="158" spans="2:26" x14ac:dyDescent="0.2">
      <c r="B158" s="32" t="s">
        <v>338</v>
      </c>
      <c r="F158" s="150">
        <f>+IF(YEAR(F$140)=YEAR('Assumptions and Sensis'!$F$51),-F144,0)</f>
        <v>0</v>
      </c>
      <c r="G158" s="150">
        <f>+IF(YEAR(G$140)=YEAR('Assumptions and Sensis'!$F$51),-G144,0)</f>
        <v>0</v>
      </c>
      <c r="H158" s="150">
        <f>+IF(YEAR(H$140)=YEAR('Assumptions and Sensis'!$F$51),-H144,0)</f>
        <v>0</v>
      </c>
      <c r="I158" s="150">
        <f>+IF(YEAR(I$140)=YEAR('Assumptions and Sensis'!$F$51),-I144,0)</f>
        <v>0</v>
      </c>
      <c r="J158" s="150">
        <f>+IF(YEAR(J$140)=YEAR('Assumptions and Sensis'!$F$51),-J144,0)</f>
        <v>0</v>
      </c>
      <c r="K158" s="150">
        <f>+IF(YEAR(K$140)=YEAR('Assumptions and Sensis'!$F$51),-K144,0)</f>
        <v>0</v>
      </c>
      <c r="L158" s="150">
        <f>+IF(YEAR(L$140)=YEAR('Assumptions and Sensis'!$F$51),-L144,0)</f>
        <v>0</v>
      </c>
      <c r="M158" s="150">
        <f>+IF(YEAR(M$140)=YEAR('Assumptions and Sensis'!$F$51),-M144,0)</f>
        <v>0</v>
      </c>
      <c r="N158" s="150">
        <f>+IF(YEAR(N$140)=YEAR('Assumptions and Sensis'!$F$51),-N144,0)</f>
        <v>0</v>
      </c>
      <c r="O158" s="150">
        <f>+IF(YEAR(O$140)=YEAR('Assumptions and Sensis'!$F$51),-O144,0)</f>
        <v>0</v>
      </c>
      <c r="P158" s="150">
        <f ca="1">+IF(YEAR(P$140)=YEAR('Assumptions and Sensis'!$F$51),-P144,0)</f>
        <v>-188393916.57396057</v>
      </c>
      <c r="Q158" s="150">
        <f>+IF(YEAR(Q$140)=YEAR('Assumptions and Sensis'!$F$51),-Q144,0)</f>
        <v>0</v>
      </c>
      <c r="R158" s="150">
        <f>+IF(YEAR(R$140)=YEAR('Assumptions and Sensis'!$F$51),-R144,0)</f>
        <v>0</v>
      </c>
      <c r="S158" s="150">
        <f>+IF(YEAR(S$140)=YEAR('Assumptions and Sensis'!$F$51),-S144,0)</f>
        <v>0</v>
      </c>
      <c r="T158" s="150">
        <f>+IF(YEAR(T$140)=YEAR('Assumptions and Sensis'!$F$51),-T144,0)</f>
        <v>0</v>
      </c>
      <c r="U158" s="150">
        <f>+IF(YEAR(U$140)=YEAR('Assumptions and Sensis'!$F$51),-U144,0)</f>
        <v>0</v>
      </c>
      <c r="V158" s="150">
        <f>+IF(YEAR(V$140)=YEAR('Assumptions and Sensis'!$F$51),-V144,0)</f>
        <v>0</v>
      </c>
      <c r="W158" s="150">
        <f>+IF(YEAR(W$140)=YEAR('Assumptions and Sensis'!$F$51),-W144,0)</f>
        <v>0</v>
      </c>
      <c r="X158" s="150">
        <f>+IF(YEAR(X$140)=YEAR('Assumptions and Sensis'!$F$51),-X144,0)</f>
        <v>0</v>
      </c>
      <c r="Y158" s="150">
        <f>+IF(YEAR(Y$140)=YEAR('Assumptions and Sensis'!$F$51),-Y144,0)</f>
        <v>0</v>
      </c>
      <c r="Z158" s="150">
        <f>+IF(YEAR(Z$140)=YEAR('Assumptions and Sensis'!$F$51),-Z144,0)</f>
        <v>0</v>
      </c>
    </row>
    <row r="159" spans="2:26" x14ac:dyDescent="0.2">
      <c r="B159" s="136" t="s">
        <v>339</v>
      </c>
      <c r="C159" s="136"/>
      <c r="D159" s="136"/>
      <c r="E159" s="136"/>
      <c r="F159" s="128">
        <f>+SUM(F155:F158)</f>
        <v>0</v>
      </c>
      <c r="G159" s="128">
        <f t="shared" ref="G159:Z159" si="342">+SUM(G155:G158)</f>
        <v>0</v>
      </c>
      <c r="H159" s="128">
        <f t="shared" si="342"/>
        <v>0</v>
      </c>
      <c r="I159" s="128">
        <f t="shared" ca="1" si="342"/>
        <v>34971568.917374372</v>
      </c>
      <c r="J159" s="128">
        <f t="shared" si="342"/>
        <v>0</v>
      </c>
      <c r="K159" s="128">
        <f t="shared" si="342"/>
        <v>0</v>
      </c>
      <c r="L159" s="128">
        <f t="shared" si="342"/>
        <v>0</v>
      </c>
      <c r="M159" s="128">
        <f t="shared" si="342"/>
        <v>0</v>
      </c>
      <c r="N159" s="128">
        <f t="shared" si="342"/>
        <v>0</v>
      </c>
      <c r="O159" s="128">
        <f t="shared" si="342"/>
        <v>0</v>
      </c>
      <c r="P159" s="128">
        <f t="shared" ca="1" si="342"/>
        <v>184595529.62388727</v>
      </c>
      <c r="Q159" s="128">
        <f t="shared" si="342"/>
        <v>0</v>
      </c>
      <c r="R159" s="128">
        <f t="shared" si="342"/>
        <v>0</v>
      </c>
      <c r="S159" s="128">
        <f t="shared" si="342"/>
        <v>0</v>
      </c>
      <c r="T159" s="128">
        <f t="shared" si="342"/>
        <v>0</v>
      </c>
      <c r="U159" s="128">
        <f t="shared" si="342"/>
        <v>0</v>
      </c>
      <c r="V159" s="128">
        <f t="shared" si="342"/>
        <v>0</v>
      </c>
      <c r="W159" s="128">
        <f t="shared" si="342"/>
        <v>0</v>
      </c>
      <c r="X159" s="128">
        <f t="shared" si="342"/>
        <v>0</v>
      </c>
      <c r="Y159" s="128">
        <f t="shared" si="342"/>
        <v>0</v>
      </c>
      <c r="Z159" s="128">
        <f t="shared" si="342"/>
        <v>0</v>
      </c>
    </row>
    <row r="160" spans="2:26" x14ac:dyDescent="0.2">
      <c r="B160" s="205" t="s">
        <v>771</v>
      </c>
    </row>
    <row r="162" spans="2:26" x14ac:dyDescent="0.2">
      <c r="B162" s="137" t="s">
        <v>340</v>
      </c>
      <c r="C162" s="137"/>
      <c r="D162" s="137"/>
      <c r="E162" s="137"/>
      <c r="F162" s="138">
        <f ca="1">+IF(YEAR(F$140)&lt;=YEAR('Assumptions and Sensis'!$F$51),'Phase I Pro Forma'!F159+'Phase I Pro Forma'!F152,0)</f>
        <v>0</v>
      </c>
      <c r="G162" s="138">
        <f ca="1">+IF(YEAR(G$140)&lt;=YEAR('Assumptions and Sensis'!$F$51),'Phase I Pro Forma'!G159+'Phase I Pro Forma'!G152,0)</f>
        <v>0</v>
      </c>
      <c r="H162" s="138">
        <f ca="1">+IF(YEAR(H$140)&lt;=YEAR('Assumptions and Sensis'!$F$51),'Phase I Pro Forma'!H159+'Phase I Pro Forma'!H152,0)</f>
        <v>0</v>
      </c>
      <c r="I162" s="138">
        <f ca="1">+IF(YEAR(I$140)&lt;=YEAR('Assumptions and Sensis'!$F$51),'Phase I Pro Forma'!I159+'Phase I Pro Forma'!I152,0)</f>
        <v>27018887.189769305</v>
      </c>
      <c r="J162" s="138">
        <f ca="1">+IF(YEAR(J$140)&lt;=YEAR('Assumptions and Sensis'!$F$51),'Phase I Pro Forma'!J159+'Phase I Pro Forma'!J152,0)</f>
        <v>3817952.9773118943</v>
      </c>
      <c r="K162" s="138">
        <f ca="1">+IF(YEAR(K$140)&lt;=YEAR('Assumptions and Sensis'!$F$51),'Phase I Pro Forma'!K159+'Phase I Pro Forma'!K152,0)</f>
        <v>4083023.8785775919</v>
      </c>
      <c r="L162" s="138">
        <f ca="1">+IF(YEAR(L$140)&lt;=YEAR('Assumptions and Sensis'!$F$51),'Phase I Pro Forma'!L159+'Phase I Pro Forma'!L152,0)</f>
        <v>5714570.9351724684</v>
      </c>
      <c r="M162" s="138">
        <f ca="1">+IF(YEAR(M$140)&lt;=YEAR('Assumptions and Sensis'!$F$51),'Phase I Pro Forma'!M159+'Phase I Pro Forma'!M152,0)</f>
        <v>5928135.4620696679</v>
      </c>
      <c r="N162" s="138">
        <f ca="1">+IF(YEAR(N$140)&lt;=YEAR('Assumptions and Sensis'!$F$51),'Phase I Pro Forma'!N159+'Phase I Pro Forma'!N152,0)</f>
        <v>6216657.3553504087</v>
      </c>
      <c r="O162" s="138">
        <f ca="1">+IF(YEAR(O$140)&lt;=YEAR('Assumptions and Sensis'!$F$51),'Phase I Pro Forma'!O159+'Phase I Pro Forma'!O152,0)</f>
        <v>6513455.0410289653</v>
      </c>
      <c r="P162" s="138">
        <f ca="1">+IF(YEAR(P$140)&lt;=YEAR('Assumptions and Sensis'!$F$51),'Phase I Pro Forma'!P159+'Phase I Pro Forma'!P152,0)</f>
        <v>191346045.12667194</v>
      </c>
      <c r="Q162" s="138">
        <f>+IF(YEAR(Q$140)&lt;=YEAR('Assumptions and Sensis'!$F$51),'Phase I Pro Forma'!Q159+'Phase I Pro Forma'!Q152,0)</f>
        <v>0</v>
      </c>
      <c r="R162" s="138">
        <f>+IF(YEAR(R$140)&lt;=YEAR('Assumptions and Sensis'!$F$51),'Phase I Pro Forma'!R159+'Phase I Pro Forma'!R152,0)</f>
        <v>0</v>
      </c>
      <c r="S162" s="138">
        <f>+IF(YEAR(S$140)&lt;=YEAR('Assumptions and Sensis'!$F$51),'Phase I Pro Forma'!S159+'Phase I Pro Forma'!S152,0)</f>
        <v>0</v>
      </c>
      <c r="T162" s="138">
        <f>+IF(YEAR(T$140)&lt;=YEAR('Assumptions and Sensis'!$F$51),'Phase I Pro Forma'!T159+'Phase I Pro Forma'!T152,0)</f>
        <v>0</v>
      </c>
      <c r="U162" s="138">
        <f>+IF(YEAR(U$140)&lt;=YEAR('Assumptions and Sensis'!$F$51),'Phase I Pro Forma'!U159+'Phase I Pro Forma'!U152,0)</f>
        <v>0</v>
      </c>
      <c r="V162" s="138">
        <f>+IF(YEAR(V$140)&lt;=YEAR('Assumptions and Sensis'!$F$51),'Phase I Pro Forma'!V159+'Phase I Pro Forma'!V152,0)</f>
        <v>0</v>
      </c>
      <c r="W162" s="138">
        <f>+IF(YEAR(W$140)&lt;=YEAR('Assumptions and Sensis'!$F$51),'Phase I Pro Forma'!W159+'Phase I Pro Forma'!W152,0)</f>
        <v>0</v>
      </c>
      <c r="X162" s="138">
        <f>+IF(YEAR(X$140)&lt;=YEAR('Assumptions and Sensis'!$F$51),'Phase I Pro Forma'!X159+'Phase I Pro Forma'!X152,0)</f>
        <v>0</v>
      </c>
      <c r="Y162" s="138">
        <f>+IF(YEAR(Y$140)&lt;=YEAR('Assumptions and Sensis'!$F$51),'Phase I Pro Forma'!Y159+'Phase I Pro Forma'!Y152,0)</f>
        <v>0</v>
      </c>
      <c r="Z162" s="138">
        <f>+IF(YEAR(Z$140)&lt;=YEAR('Assumptions and Sensis'!$F$51),'Phase I Pro Forma'!Z159+'Phase I Pro Forma'!Z152,0)</f>
        <v>0</v>
      </c>
    </row>
    <row r="164" spans="2:26" x14ac:dyDescent="0.2">
      <c r="B164" s="36" t="s">
        <v>768</v>
      </c>
      <c r="C164" s="37"/>
      <c r="D164" s="37"/>
      <c r="E164" s="37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6" spans="2:26" x14ac:dyDescent="0.2">
      <c r="B166" s="147" t="s">
        <v>26</v>
      </c>
      <c r="C166" s="148"/>
      <c r="D166" s="148"/>
      <c r="E166" s="148"/>
      <c r="F166" s="149">
        <f>+'Assumptions and Sensis'!$F$43</f>
        <v>44196</v>
      </c>
      <c r="G166" s="149">
        <f>+EOMONTH(F166,12)</f>
        <v>44561</v>
      </c>
      <c r="H166" s="149">
        <f t="shared" ref="H166:Z166" si="343">+EOMONTH(G166,12)</f>
        <v>44926</v>
      </c>
      <c r="I166" s="149">
        <f t="shared" si="343"/>
        <v>45291</v>
      </c>
      <c r="J166" s="149">
        <f t="shared" si="343"/>
        <v>45657</v>
      </c>
      <c r="K166" s="149">
        <f t="shared" si="343"/>
        <v>46022</v>
      </c>
      <c r="L166" s="149">
        <f t="shared" si="343"/>
        <v>46387</v>
      </c>
      <c r="M166" s="149">
        <f t="shared" si="343"/>
        <v>46752</v>
      </c>
      <c r="N166" s="149">
        <f t="shared" si="343"/>
        <v>47118</v>
      </c>
      <c r="O166" s="149">
        <f t="shared" si="343"/>
        <v>47483</v>
      </c>
      <c r="P166" s="149">
        <f t="shared" si="343"/>
        <v>47848</v>
      </c>
      <c r="Q166" s="149">
        <f t="shared" si="343"/>
        <v>48213</v>
      </c>
      <c r="R166" s="149">
        <f t="shared" si="343"/>
        <v>48579</v>
      </c>
      <c r="S166" s="149">
        <f t="shared" si="343"/>
        <v>48944</v>
      </c>
      <c r="T166" s="149">
        <f t="shared" si="343"/>
        <v>49309</v>
      </c>
      <c r="U166" s="149">
        <f t="shared" si="343"/>
        <v>49674</v>
      </c>
      <c r="V166" s="149">
        <f t="shared" si="343"/>
        <v>50040</v>
      </c>
      <c r="W166" s="149">
        <f t="shared" si="343"/>
        <v>50405</v>
      </c>
      <c r="X166" s="149">
        <f t="shared" si="343"/>
        <v>50770</v>
      </c>
      <c r="Y166" s="149">
        <f t="shared" si="343"/>
        <v>51135</v>
      </c>
      <c r="Z166" s="149">
        <f t="shared" si="343"/>
        <v>51501</v>
      </c>
    </row>
    <row r="167" spans="2:26" x14ac:dyDescent="0.2">
      <c r="B167" s="32" t="s">
        <v>757</v>
      </c>
      <c r="C167" s="32"/>
      <c r="D167" s="39"/>
      <c r="E167" s="39"/>
      <c r="F167" s="41">
        <f>+IF(AND(F166&gt;='Assumptions and Sensis'!$F$47,F166&lt;'Assumptions and Sensis'!$F$49),'Assumptions and Sensis'!$F$122/ROUNDUP(('Assumptions and Sensis'!$F$48/12),0),0)</f>
        <v>0</v>
      </c>
      <c r="G167" s="41">
        <f>+IF(AND(G166&gt;='Assumptions and Sensis'!$F$47,G166&lt;'Assumptions and Sensis'!$F$49),'Assumptions and Sensis'!$F$122/ROUNDUP(('Assumptions and Sensis'!$F$48/12),0),0)</f>
        <v>0</v>
      </c>
      <c r="H167" s="41">
        <f>+IF(AND(H166&gt;='Assumptions and Sensis'!$F$47,H166&lt;'Assumptions and Sensis'!$F$49),'Assumptions and Sensis'!$F$122/ROUNDUP(('Assumptions and Sensis'!$F$48/12),0),0)</f>
        <v>0</v>
      </c>
      <c r="I167" s="41">
        <f>+IF(AND(I166&gt;='Assumptions and Sensis'!$F$47,I166&lt;'Assumptions and Sensis'!$F$49),'Assumptions and Sensis'!$F$122/ROUNDUP(('Assumptions and Sensis'!$F$48/12),0),0)</f>
        <v>173.40350000000004</v>
      </c>
      <c r="J167" s="41">
        <f>+IF(AND(J166&gt;='Assumptions and Sensis'!$F$47,J166&lt;'Assumptions and Sensis'!$F$49),'Assumptions and Sensis'!$F$122/ROUNDUP(('Assumptions and Sensis'!$F$48/12),0),0)</f>
        <v>173.40350000000004</v>
      </c>
      <c r="K167" s="41">
        <f>+IF(AND(K166&gt;='Assumptions and Sensis'!$F$47,K166&lt;'Assumptions and Sensis'!$F$49),'Assumptions and Sensis'!$F$122/ROUNDUP(('Assumptions and Sensis'!$F$48/12),0),0)</f>
        <v>0</v>
      </c>
      <c r="L167" s="41">
        <f>+IF(AND(L166&gt;='Assumptions and Sensis'!$F$47,L166&lt;'Assumptions and Sensis'!$F$49),'Assumptions and Sensis'!$F$122/ROUNDUP(('Assumptions and Sensis'!$F$48/12),0),0)</f>
        <v>0</v>
      </c>
      <c r="M167" s="41">
        <f>+IF(AND(M166&gt;='Assumptions and Sensis'!$F$47,M166&lt;'Assumptions and Sensis'!$F$49),'Assumptions and Sensis'!$F$122/ROUNDUP(('Assumptions and Sensis'!$F$48/12),0),0)</f>
        <v>0</v>
      </c>
      <c r="N167" s="41">
        <f>+IF(AND(N166&gt;='Assumptions and Sensis'!$F$47,N166&lt;'Assumptions and Sensis'!$F$49),'Assumptions and Sensis'!$F$122/ROUNDUP(('Assumptions and Sensis'!$F$48/12),0),0)</f>
        <v>0</v>
      </c>
      <c r="O167" s="41">
        <f>+IF(AND(O166&gt;='Assumptions and Sensis'!$F$47,O166&lt;'Assumptions and Sensis'!$F$49),'Assumptions and Sensis'!$F$122/ROUNDUP(('Assumptions and Sensis'!$F$48/12),0),0)</f>
        <v>0</v>
      </c>
      <c r="P167" s="41">
        <f>+IF(AND(P166&gt;='Assumptions and Sensis'!$F$47,P166&lt;'Assumptions and Sensis'!$F$49),'Assumptions and Sensis'!$F$122/ROUNDUP(('Assumptions and Sensis'!$F$48/12),0),0)</f>
        <v>0</v>
      </c>
      <c r="Q167" s="41">
        <f>+IF(AND(Q166&gt;='Assumptions and Sensis'!$F$47,Q166&lt;'Assumptions and Sensis'!$F$49),'Assumptions and Sensis'!$F$122/ROUNDUP(('Assumptions and Sensis'!$F$48/12),0),0)</f>
        <v>0</v>
      </c>
      <c r="R167" s="41">
        <f>+IF(AND(R166&gt;='Assumptions and Sensis'!$F$47,R166&lt;'Assumptions and Sensis'!$F$49),'Assumptions and Sensis'!$F$122/ROUNDUP(('Assumptions and Sensis'!$F$48/12),0),0)</f>
        <v>0</v>
      </c>
      <c r="S167" s="41">
        <f>+IF(AND(S166&gt;='Assumptions and Sensis'!$F$47,S166&lt;'Assumptions and Sensis'!$F$49),'Assumptions and Sensis'!$F$122/ROUNDUP(('Assumptions and Sensis'!$F$48/12),0),0)</f>
        <v>0</v>
      </c>
      <c r="T167" s="41">
        <f>+IF(AND(T166&gt;='Assumptions and Sensis'!$F$47,T166&lt;'Assumptions and Sensis'!$F$49),'Assumptions and Sensis'!$F$122/ROUNDUP(('Assumptions and Sensis'!$F$48/12),0),0)</f>
        <v>0</v>
      </c>
      <c r="U167" s="41">
        <f>+IF(AND(U166&gt;='Assumptions and Sensis'!$F$47,U166&lt;'Assumptions and Sensis'!$F$49),'Assumptions and Sensis'!$F$122/ROUNDUP(('Assumptions and Sensis'!$F$48/12),0),0)</f>
        <v>0</v>
      </c>
      <c r="V167" s="41">
        <f>+IF(AND(V166&gt;='Assumptions and Sensis'!$F$47,V166&lt;'Assumptions and Sensis'!$F$49),'Assumptions and Sensis'!$F$122/ROUNDUP(('Assumptions and Sensis'!$F$48/12),0),0)</f>
        <v>0</v>
      </c>
      <c r="W167" s="41">
        <f>+IF(AND(W166&gt;='Assumptions and Sensis'!$F$47,W166&lt;'Assumptions and Sensis'!$F$49),'Assumptions and Sensis'!$F$122/ROUNDUP(('Assumptions and Sensis'!$F$48/12),0),0)</f>
        <v>0</v>
      </c>
      <c r="X167" s="41">
        <f>+IF(AND(X166&gt;='Assumptions and Sensis'!$F$47,X166&lt;'Assumptions and Sensis'!$F$49),'Assumptions and Sensis'!$F$122/ROUNDUP(('Assumptions and Sensis'!$F$48/12),0),0)</f>
        <v>0</v>
      </c>
      <c r="Y167" s="41">
        <f>+IF(AND(Y166&gt;='Assumptions and Sensis'!$F$47,Y166&lt;'Assumptions and Sensis'!$F$49),'Assumptions and Sensis'!$F$122/ROUNDUP(('Assumptions and Sensis'!$F$48/12),0),0)</f>
        <v>0</v>
      </c>
      <c r="Z167" s="41">
        <f>+IF(AND(Z166&gt;='Assumptions and Sensis'!$F$47,Z166&lt;'Assumptions and Sensis'!$F$49),'Assumptions and Sensis'!$F$122/ROUNDUP(('Assumptions and Sensis'!$F$48/12),0),0)</f>
        <v>0</v>
      </c>
    </row>
    <row r="168" spans="2:26" x14ac:dyDescent="0.2">
      <c r="B168" s="32" t="s">
        <v>306</v>
      </c>
      <c r="C168" s="32"/>
      <c r="D168" s="39"/>
      <c r="E168" s="39"/>
      <c r="F168" s="41">
        <f>+D168+F167</f>
        <v>0</v>
      </c>
      <c r="G168" s="41">
        <f t="shared" ref="G168:Z168" si="344">+F168+G167</f>
        <v>0</v>
      </c>
      <c r="H168" s="41">
        <f t="shared" si="344"/>
        <v>0</v>
      </c>
      <c r="I168" s="41">
        <f t="shared" si="344"/>
        <v>173.40350000000004</v>
      </c>
      <c r="J168" s="41">
        <f t="shared" si="344"/>
        <v>346.80700000000007</v>
      </c>
      <c r="K168" s="41">
        <f t="shared" si="344"/>
        <v>346.80700000000007</v>
      </c>
      <c r="L168" s="41">
        <f t="shared" si="344"/>
        <v>346.80700000000007</v>
      </c>
      <c r="M168" s="41">
        <f t="shared" si="344"/>
        <v>346.80700000000007</v>
      </c>
      <c r="N168" s="41">
        <f t="shared" si="344"/>
        <v>346.80700000000007</v>
      </c>
      <c r="O168" s="41">
        <f t="shared" si="344"/>
        <v>346.80700000000007</v>
      </c>
      <c r="P168" s="41">
        <f t="shared" si="344"/>
        <v>346.80700000000007</v>
      </c>
      <c r="Q168" s="41">
        <f t="shared" si="344"/>
        <v>346.80700000000007</v>
      </c>
      <c r="R168" s="41">
        <f t="shared" si="344"/>
        <v>346.80700000000007</v>
      </c>
      <c r="S168" s="41">
        <f t="shared" si="344"/>
        <v>346.80700000000007</v>
      </c>
      <c r="T168" s="41">
        <f t="shared" si="344"/>
        <v>346.80700000000007</v>
      </c>
      <c r="U168" s="41">
        <f t="shared" si="344"/>
        <v>346.80700000000007</v>
      </c>
      <c r="V168" s="41">
        <f t="shared" si="344"/>
        <v>346.80700000000007</v>
      </c>
      <c r="W168" s="41">
        <f t="shared" si="344"/>
        <v>346.80700000000007</v>
      </c>
      <c r="X168" s="41">
        <f t="shared" si="344"/>
        <v>346.80700000000007</v>
      </c>
      <c r="Y168" s="41">
        <f t="shared" si="344"/>
        <v>346.80700000000007</v>
      </c>
      <c r="Z168" s="41">
        <f t="shared" si="344"/>
        <v>346.80700000000007</v>
      </c>
    </row>
    <row r="169" spans="2:26" x14ac:dyDescent="0.2">
      <c r="B169" s="32" t="s">
        <v>300</v>
      </c>
      <c r="C169" s="32"/>
      <c r="D169" s="41"/>
      <c r="E169" s="41"/>
      <c r="F169" s="107">
        <f t="shared" ref="F169:J169" si="345">+F168/SUM($F167:$Z167)</f>
        <v>0</v>
      </c>
      <c r="G169" s="107">
        <f t="shared" si="345"/>
        <v>0</v>
      </c>
      <c r="H169" s="107">
        <f t="shared" si="345"/>
        <v>0</v>
      </c>
      <c r="I169" s="107">
        <f t="shared" si="345"/>
        <v>0.5</v>
      </c>
      <c r="J169" s="107">
        <f t="shared" si="345"/>
        <v>1</v>
      </c>
      <c r="K169" s="107">
        <f>+K168/SUM($F167:$Z167)</f>
        <v>1</v>
      </c>
      <c r="L169" s="107">
        <f t="shared" ref="L169:Z169" si="346">+L168/SUM($F167:$Z167)</f>
        <v>1</v>
      </c>
      <c r="M169" s="107">
        <f t="shared" si="346"/>
        <v>1</v>
      </c>
      <c r="N169" s="107">
        <f t="shared" si="346"/>
        <v>1</v>
      </c>
      <c r="O169" s="107">
        <f t="shared" si="346"/>
        <v>1</v>
      </c>
      <c r="P169" s="107">
        <f t="shared" si="346"/>
        <v>1</v>
      </c>
      <c r="Q169" s="107">
        <f t="shared" si="346"/>
        <v>1</v>
      </c>
      <c r="R169" s="107">
        <f t="shared" si="346"/>
        <v>1</v>
      </c>
      <c r="S169" s="107">
        <f t="shared" si="346"/>
        <v>1</v>
      </c>
      <c r="T169" s="107">
        <f t="shared" si="346"/>
        <v>1</v>
      </c>
      <c r="U169" s="107">
        <f t="shared" si="346"/>
        <v>1</v>
      </c>
      <c r="V169" s="107">
        <f t="shared" si="346"/>
        <v>1</v>
      </c>
      <c r="W169" s="107">
        <f t="shared" si="346"/>
        <v>1</v>
      </c>
      <c r="X169" s="107">
        <f t="shared" si="346"/>
        <v>1</v>
      </c>
      <c r="Y169" s="107">
        <f t="shared" si="346"/>
        <v>1</v>
      </c>
      <c r="Z169" s="107">
        <f t="shared" si="346"/>
        <v>1</v>
      </c>
    </row>
    <row r="170" spans="2:26" x14ac:dyDescent="0.2">
      <c r="B170" s="32"/>
      <c r="C170" s="32"/>
      <c r="D170" s="41"/>
      <c r="E170" s="41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2:26" x14ac:dyDescent="0.2">
      <c r="B171" s="32" t="s">
        <v>303</v>
      </c>
      <c r="F171" s="33">
        <f>+IF(F2=1,'Assumptions and Sensis'!$F$147,IF(F2=2,'Assumptions and Sensis'!$F$149,IF(F2&gt;2,'Assumptions and Sensis'!$F$126,0)))</f>
        <v>0</v>
      </c>
      <c r="G171" s="33">
        <f>+IF(G2=1,'Assumptions and Sensis'!$F$147,IF(G2=2,'Assumptions and Sensis'!$F$149,IF(G2&gt;2,'Assumptions and Sensis'!$F$126,0)))</f>
        <v>0</v>
      </c>
      <c r="H171" s="33">
        <f>+IF(H2=1,'Assumptions and Sensis'!$F$147,IF(H2=2,'Assumptions and Sensis'!$F$149,IF(H2&gt;2,'Assumptions and Sensis'!$F$126,0)))</f>
        <v>0</v>
      </c>
      <c r="I171" s="33">
        <f>+IF(I2=1,'Assumptions and Sensis'!$F$147,IF(I2=2,'Assumptions and Sensis'!$F$149,IF(I2&gt;2,'Assumptions and Sensis'!$F$126,0)))</f>
        <v>170</v>
      </c>
      <c r="J171" s="33">
        <f>+IF(J2=1,'Assumptions and Sensis'!$F$147,IF(J2=2,'Assumptions and Sensis'!$F$149,IF(J2&gt;2,'Assumptions and Sensis'!$F$126,0)))</f>
        <v>175</v>
      </c>
      <c r="K171" s="33">
        <f>+IF(K2=1,'Assumptions and Sensis'!$F$147,IF(K2=2,'Assumptions and Sensis'!$F$149,IF(K2&gt;2,'Assumptions and Sensis'!$F$126,0)))</f>
        <v>180</v>
      </c>
      <c r="L171" s="33">
        <f>+IF(L2=1,'Assumptions and Sensis'!$F$147,IF(L2=2,'Assumptions and Sensis'!$F$149,IF(L2&gt;2,'Assumptions and Sensis'!$F$126,0)))</f>
        <v>180</v>
      </c>
      <c r="M171" s="33">
        <f>+IF(M2=1,'Assumptions and Sensis'!$F$147,IF(M2=2,'Assumptions and Sensis'!$F$149,IF(M2&gt;2,'Assumptions and Sensis'!$F$126,0)))</f>
        <v>180</v>
      </c>
      <c r="N171" s="33">
        <f>+IF(N2=1,'Assumptions and Sensis'!$F$147,IF(N2=2,'Assumptions and Sensis'!$F$149,IF(N2&gt;2,'Assumptions and Sensis'!$F$126,0)))</f>
        <v>180</v>
      </c>
      <c r="O171" s="33">
        <f>+IF(O2=1,'Assumptions and Sensis'!$F$147,IF(O2=2,'Assumptions and Sensis'!$F$149,IF(O2&gt;2,'Assumptions and Sensis'!$F$126,0)))</f>
        <v>180</v>
      </c>
      <c r="P171" s="33">
        <f>+IF(P2=1,'Assumptions and Sensis'!$F$147,IF(P2=2,'Assumptions and Sensis'!$F$149,IF(P2&gt;2,'Assumptions and Sensis'!$F$126,0)))</f>
        <v>180</v>
      </c>
      <c r="Q171" s="33">
        <f>+IF(Q2=1,'Assumptions and Sensis'!$F$147,IF(Q2=2,'Assumptions and Sensis'!$F$149,IF(Q2&gt;2,'Assumptions and Sensis'!$F$126,0)))</f>
        <v>180</v>
      </c>
      <c r="R171" s="33">
        <f>+IF(R2=1,'Assumptions and Sensis'!$F$147,IF(R2=2,'Assumptions and Sensis'!$F$149,IF(R2&gt;2,'Assumptions and Sensis'!$F$126,0)))</f>
        <v>180</v>
      </c>
      <c r="S171" s="33">
        <f>+IF(S2=1,'Assumptions and Sensis'!$F$147,IF(S2=2,'Assumptions and Sensis'!$F$149,IF(S2&gt;2,'Assumptions and Sensis'!$F$126,0)))</f>
        <v>180</v>
      </c>
      <c r="T171" s="33">
        <f>+IF(T2=1,'Assumptions and Sensis'!$F$147,IF(T2=2,'Assumptions and Sensis'!$F$149,IF(T2&gt;2,'Assumptions and Sensis'!$F$126,0)))</f>
        <v>180</v>
      </c>
      <c r="U171" s="33">
        <f>+IF(U2=1,'Assumptions and Sensis'!$F$147,IF(U2=2,'Assumptions and Sensis'!$F$149,IF(U2&gt;2,'Assumptions and Sensis'!$F$126,0)))</f>
        <v>180</v>
      </c>
      <c r="V171" s="33">
        <f>+IF(V2=1,'Assumptions and Sensis'!$F$147,IF(V2=2,'Assumptions and Sensis'!$F$149,IF(V2&gt;2,'Assumptions and Sensis'!$F$126,0)))</f>
        <v>180</v>
      </c>
      <c r="W171" s="33">
        <f>+IF(W2=1,'Assumptions and Sensis'!$F$147,IF(W2=2,'Assumptions and Sensis'!$F$149,IF(W2&gt;2,'Assumptions and Sensis'!$F$126,0)))</f>
        <v>180</v>
      </c>
      <c r="X171" s="33">
        <f>+IF(X2=1,'Assumptions and Sensis'!$F$147,IF(X2=2,'Assumptions and Sensis'!$F$149,IF(X2&gt;2,'Assumptions and Sensis'!$F$126,0)))</f>
        <v>180</v>
      </c>
      <c r="Y171" s="33">
        <f>+IF(Y2=1,'Assumptions and Sensis'!$F$147,IF(Y2=2,'Assumptions and Sensis'!$F$149,IF(Y2&gt;2,'Assumptions and Sensis'!$F$126,0)))</f>
        <v>180</v>
      </c>
      <c r="Z171" s="33">
        <f>+IF(Z2=1,'Assumptions and Sensis'!$F$147,IF(Z2=2,'Assumptions and Sensis'!$F$149,IF(Z2&gt;2,'Assumptions and Sensis'!$F$126,0)))</f>
        <v>180</v>
      </c>
    </row>
    <row r="172" spans="2:26" x14ac:dyDescent="0.2">
      <c r="B172" s="32" t="s">
        <v>310</v>
      </c>
      <c r="C172" s="32"/>
      <c r="D172" s="41"/>
      <c r="E172" s="41"/>
      <c r="F172" s="107">
        <v>1</v>
      </c>
      <c r="G172" s="107">
        <f>+F172*(1+'Assumptions and Sensis'!$N$89)</f>
        <v>1.02</v>
      </c>
      <c r="H172" s="107">
        <f>+G172*(1+'Assumptions and Sensis'!$N$89)</f>
        <v>1.0404</v>
      </c>
      <c r="I172" s="107">
        <f>+H172*(1+'Assumptions and Sensis'!$N$89)</f>
        <v>1.0612079999999999</v>
      </c>
      <c r="J172" s="107">
        <f>+I172*(1+'Assumptions and Sensis'!$N$89)</f>
        <v>1.08243216</v>
      </c>
      <c r="K172" s="107">
        <f>+J172*(1+'Assumptions and Sensis'!$N$89)</f>
        <v>1.1040808032</v>
      </c>
      <c r="L172" s="107">
        <f>+K172*(1+'Assumptions and Sensis'!$N$89)</f>
        <v>1.1261624192640001</v>
      </c>
      <c r="M172" s="107">
        <f>+L172*(1+'Assumptions and Sensis'!$N$89)</f>
        <v>1.14868566764928</v>
      </c>
      <c r="N172" s="107">
        <f>+M172*(1+'Assumptions and Sensis'!$N$89)</f>
        <v>1.1716593810022657</v>
      </c>
      <c r="O172" s="107">
        <f>+N172*(1+'Assumptions and Sensis'!$N$89)</f>
        <v>1.1950925686223111</v>
      </c>
      <c r="P172" s="107">
        <f>+O172*(1+'Assumptions and Sensis'!$N$89)</f>
        <v>1.2189944199947573</v>
      </c>
      <c r="Q172" s="107">
        <f>+P172*(1+'Assumptions and Sensis'!$N$89)</f>
        <v>1.2433743083946525</v>
      </c>
      <c r="R172" s="107">
        <f>+Q172*(1+'Assumptions and Sensis'!$N$89)</f>
        <v>1.2682417945625455</v>
      </c>
      <c r="S172" s="107">
        <f>+R172*(1+'Assumptions and Sensis'!$N$89)</f>
        <v>1.2936066304537963</v>
      </c>
      <c r="T172" s="107">
        <f>+S172*(1+'Assumptions and Sensis'!$N$89)</f>
        <v>1.3194787630628724</v>
      </c>
      <c r="U172" s="107">
        <f>+T172*(1+'Assumptions and Sensis'!$N$89)</f>
        <v>1.3458683383241299</v>
      </c>
      <c r="V172" s="107">
        <f>+U172*(1+'Assumptions and Sensis'!$N$89)</f>
        <v>1.3727857050906125</v>
      </c>
      <c r="W172" s="107">
        <f>+V172*(1+'Assumptions and Sensis'!$N$89)</f>
        <v>1.4002414191924248</v>
      </c>
      <c r="X172" s="107">
        <f>+W172*(1+'Assumptions and Sensis'!$N$89)</f>
        <v>1.4282462475762734</v>
      </c>
      <c r="Y172" s="107">
        <f>+X172*(1+'Assumptions and Sensis'!$N$89)</f>
        <v>1.4568111725277988</v>
      </c>
      <c r="Z172" s="107">
        <f>+Y172*(1+'Assumptions and Sensis'!$N$89)</f>
        <v>1.4859473959783549</v>
      </c>
    </row>
    <row r="173" spans="2:26" x14ac:dyDescent="0.2">
      <c r="B173" s="32" t="s">
        <v>304</v>
      </c>
      <c r="C173" s="32"/>
      <c r="D173" s="41"/>
      <c r="E173" s="41"/>
      <c r="F173" s="33">
        <f>+F171*F172</f>
        <v>0</v>
      </c>
      <c r="G173" s="33">
        <f t="shared" ref="G173:Z173" si="347">+G171*G172</f>
        <v>0</v>
      </c>
      <c r="H173" s="33">
        <f t="shared" si="347"/>
        <v>0</v>
      </c>
      <c r="I173" s="33">
        <f t="shared" si="347"/>
        <v>180.40536</v>
      </c>
      <c r="J173" s="33">
        <f t="shared" si="347"/>
        <v>189.42562799999999</v>
      </c>
      <c r="K173" s="33">
        <f t="shared" si="347"/>
        <v>198.73454457599999</v>
      </c>
      <c r="L173" s="33">
        <f t="shared" si="347"/>
        <v>202.70923546752002</v>
      </c>
      <c r="M173" s="33">
        <f t="shared" si="347"/>
        <v>206.7634201768704</v>
      </c>
      <c r="N173" s="33">
        <f t="shared" si="347"/>
        <v>210.89868858040782</v>
      </c>
      <c r="O173" s="33">
        <f t="shared" si="347"/>
        <v>215.11666235201599</v>
      </c>
      <c r="P173" s="33">
        <f t="shared" si="347"/>
        <v>219.41899559905633</v>
      </c>
      <c r="Q173" s="33">
        <f t="shared" si="347"/>
        <v>223.80737551103743</v>
      </c>
      <c r="R173" s="33">
        <f t="shared" si="347"/>
        <v>228.28352302125819</v>
      </c>
      <c r="S173" s="33">
        <f t="shared" si="347"/>
        <v>232.84919348168333</v>
      </c>
      <c r="T173" s="33">
        <f t="shared" si="347"/>
        <v>237.50617735131704</v>
      </c>
      <c r="U173" s="33">
        <f t="shared" si="347"/>
        <v>242.25630089834337</v>
      </c>
      <c r="V173" s="33">
        <f t="shared" si="347"/>
        <v>247.10142691631026</v>
      </c>
      <c r="W173" s="33">
        <f t="shared" si="347"/>
        <v>252.04345545463647</v>
      </c>
      <c r="X173" s="33">
        <f t="shared" si="347"/>
        <v>257.08432456372918</v>
      </c>
      <c r="Y173" s="33">
        <f t="shared" si="347"/>
        <v>262.22601105500377</v>
      </c>
      <c r="Z173" s="33">
        <f t="shared" si="347"/>
        <v>267.47053127610388</v>
      </c>
    </row>
    <row r="174" spans="2:26" x14ac:dyDescent="0.2">
      <c r="B174" s="32"/>
    </row>
    <row r="175" spans="2:26" x14ac:dyDescent="0.2">
      <c r="B175" s="32" t="s">
        <v>153</v>
      </c>
      <c r="F175" s="107">
        <f>+IF(F2=1,'Assumptions and Sensis'!$F$146,IF(F2=2,'Assumptions and Sensis'!$F$148,IF(F2&gt;2,'Assumptions and Sensis'!$F$125,0)))</f>
        <v>0</v>
      </c>
      <c r="G175" s="107">
        <f>+IF(G2=1,'Assumptions and Sensis'!$F$146,IF(G2=2,'Assumptions and Sensis'!$F$148,IF(G2&gt;2,'Assumptions and Sensis'!$F$125,0)))</f>
        <v>0</v>
      </c>
      <c r="H175" s="107">
        <f>+IF(H2=1,'Assumptions and Sensis'!$F$146,IF(H2=2,'Assumptions and Sensis'!$F$148,IF(H2&gt;2,'Assumptions and Sensis'!$F$125,0)))</f>
        <v>0</v>
      </c>
      <c r="I175" s="107">
        <f>+IF(I2=1,'Assumptions and Sensis'!$F$146,IF(I2=2,'Assumptions and Sensis'!$F$148,IF(I2&gt;2,'Assumptions and Sensis'!$F$125,0)))</f>
        <v>0.65</v>
      </c>
      <c r="J175" s="107">
        <f>+IF(J2=1,'Assumptions and Sensis'!$F$146,IF(J2=2,'Assumptions and Sensis'!$F$148,IF(J2&gt;2,'Assumptions and Sensis'!$F$125,0)))</f>
        <v>0.7</v>
      </c>
      <c r="K175" s="107">
        <f>+IF(K2=1,'Assumptions and Sensis'!$F$146,IF(K2=2,'Assumptions and Sensis'!$F$148,IF(K2&gt;2,'Assumptions and Sensis'!$F$125,0)))</f>
        <v>0.7</v>
      </c>
      <c r="L175" s="107">
        <f>+IF(L2=1,'Assumptions and Sensis'!$F$146,IF(L2=2,'Assumptions and Sensis'!$F$148,IF(L2&gt;2,'Assumptions and Sensis'!$F$125,0)))</f>
        <v>0.7</v>
      </c>
      <c r="M175" s="107">
        <f>+IF(M2=1,'Assumptions and Sensis'!$F$146,IF(M2=2,'Assumptions and Sensis'!$F$148,IF(M2&gt;2,'Assumptions and Sensis'!$F$125,0)))</f>
        <v>0.7</v>
      </c>
      <c r="N175" s="107">
        <f>+IF(N2=1,'Assumptions and Sensis'!$F$146,IF(N2=2,'Assumptions and Sensis'!$F$148,IF(N2&gt;2,'Assumptions and Sensis'!$F$125,0)))</f>
        <v>0.7</v>
      </c>
      <c r="O175" s="107">
        <f>+IF(O2=1,'Assumptions and Sensis'!$F$146,IF(O2=2,'Assumptions and Sensis'!$F$148,IF(O2&gt;2,'Assumptions and Sensis'!$F$125,0)))</f>
        <v>0.7</v>
      </c>
      <c r="P175" s="107">
        <f>+IF(P2=1,'Assumptions and Sensis'!$F$146,IF(P2=2,'Assumptions and Sensis'!$F$148,IF(P2&gt;2,'Assumptions and Sensis'!$F$125,0)))</f>
        <v>0.7</v>
      </c>
      <c r="Q175" s="107">
        <f>+IF(Q2=1,'Assumptions and Sensis'!$F$146,IF(Q2=2,'Assumptions and Sensis'!$F$148,IF(Q2&gt;2,'Assumptions and Sensis'!$F$125,0)))</f>
        <v>0.7</v>
      </c>
      <c r="R175" s="107">
        <f>+IF(R2=1,'Assumptions and Sensis'!$F$146,IF(R2=2,'Assumptions and Sensis'!$F$148,IF(R2&gt;2,'Assumptions and Sensis'!$F$125,0)))</f>
        <v>0.7</v>
      </c>
      <c r="S175" s="107">
        <f>+IF(S2=1,'Assumptions and Sensis'!$F$146,IF(S2=2,'Assumptions and Sensis'!$F$148,IF(S2&gt;2,'Assumptions and Sensis'!$F$125,0)))</f>
        <v>0.7</v>
      </c>
      <c r="T175" s="107">
        <f>+IF(T2=1,'Assumptions and Sensis'!$F$146,IF(T2=2,'Assumptions and Sensis'!$F$148,IF(T2&gt;2,'Assumptions and Sensis'!$F$125,0)))</f>
        <v>0.7</v>
      </c>
      <c r="U175" s="107">
        <f>+IF(U2=1,'Assumptions and Sensis'!$F$146,IF(U2=2,'Assumptions and Sensis'!$F$148,IF(U2&gt;2,'Assumptions and Sensis'!$F$125,0)))</f>
        <v>0.7</v>
      </c>
      <c r="V175" s="107">
        <f>+IF(V2=1,'Assumptions and Sensis'!$F$146,IF(V2=2,'Assumptions and Sensis'!$F$148,IF(V2&gt;2,'Assumptions and Sensis'!$F$125,0)))</f>
        <v>0.7</v>
      </c>
      <c r="W175" s="107">
        <f>+IF(W2=1,'Assumptions and Sensis'!$F$146,IF(W2=2,'Assumptions and Sensis'!$F$148,IF(W2&gt;2,'Assumptions and Sensis'!$F$125,0)))</f>
        <v>0.7</v>
      </c>
      <c r="X175" s="107">
        <f>+IF(X2=1,'Assumptions and Sensis'!$F$146,IF(X2=2,'Assumptions and Sensis'!$F$148,IF(X2&gt;2,'Assumptions and Sensis'!$F$125,0)))</f>
        <v>0.7</v>
      </c>
      <c r="Y175" s="107">
        <f>+IF(Y2=1,'Assumptions and Sensis'!$F$146,IF(Y2=2,'Assumptions and Sensis'!$F$148,IF(Y2&gt;2,'Assumptions and Sensis'!$F$125,0)))</f>
        <v>0.7</v>
      </c>
      <c r="Z175" s="107">
        <f>+IF(Z2=1,'Assumptions and Sensis'!$F$146,IF(Z2=2,'Assumptions and Sensis'!$F$148,IF(Z2&gt;2,'Assumptions and Sensis'!$F$125,0)))</f>
        <v>0.7</v>
      </c>
    </row>
    <row r="176" spans="2:26" x14ac:dyDescent="0.2">
      <c r="B176" s="32" t="s">
        <v>152</v>
      </c>
      <c r="F176" s="33">
        <f>+F173*F175</f>
        <v>0</v>
      </c>
      <c r="G176" s="33">
        <f t="shared" ref="G176:Z176" si="348">+G173*G175</f>
        <v>0</v>
      </c>
      <c r="H176" s="33">
        <f t="shared" si="348"/>
        <v>0</v>
      </c>
      <c r="I176" s="33">
        <f t="shared" si="348"/>
        <v>117.26348400000001</v>
      </c>
      <c r="J176" s="33">
        <f t="shared" si="348"/>
        <v>132.59793959999999</v>
      </c>
      <c r="K176" s="33">
        <f t="shared" si="348"/>
        <v>139.11418120319999</v>
      </c>
      <c r="L176" s="33">
        <f t="shared" si="348"/>
        <v>141.896464827264</v>
      </c>
      <c r="M176" s="33">
        <f t="shared" si="348"/>
        <v>144.73439412380927</v>
      </c>
      <c r="N176" s="33">
        <f t="shared" si="348"/>
        <v>147.62908200628547</v>
      </c>
      <c r="O176" s="33">
        <f t="shared" si="348"/>
        <v>150.58166364641119</v>
      </c>
      <c r="P176" s="33">
        <f t="shared" si="348"/>
        <v>153.59329691933942</v>
      </c>
      <c r="Q176" s="33">
        <f t="shared" si="348"/>
        <v>156.66516285772619</v>
      </c>
      <c r="R176" s="33">
        <f t="shared" si="348"/>
        <v>159.79846611488071</v>
      </c>
      <c r="S176" s="33">
        <f t="shared" si="348"/>
        <v>162.99443543717831</v>
      </c>
      <c r="T176" s="33">
        <f t="shared" si="348"/>
        <v>166.25432414592191</v>
      </c>
      <c r="U176" s="33">
        <f t="shared" si="348"/>
        <v>169.57941062884035</v>
      </c>
      <c r="V176" s="33">
        <f t="shared" si="348"/>
        <v>172.97099884141718</v>
      </c>
      <c r="W176" s="33">
        <f t="shared" si="348"/>
        <v>176.43041881824553</v>
      </c>
      <c r="X176" s="33">
        <f t="shared" si="348"/>
        <v>179.95902719461043</v>
      </c>
      <c r="Y176" s="33">
        <f t="shared" si="348"/>
        <v>183.55820773850263</v>
      </c>
      <c r="Z176" s="33">
        <f t="shared" si="348"/>
        <v>187.22937189327271</v>
      </c>
    </row>
    <row r="177" spans="2:26" x14ac:dyDescent="0.2">
      <c r="B177" s="136" t="s">
        <v>302</v>
      </c>
      <c r="C177" s="136"/>
      <c r="D177" s="136"/>
      <c r="E177" s="136"/>
      <c r="F177" s="128">
        <f>+F176*365.25*F168</f>
        <v>0</v>
      </c>
      <c r="G177" s="128">
        <f t="shared" ref="G177:Z177" si="349">+G176*365.25*G168</f>
        <v>0</v>
      </c>
      <c r="H177" s="128">
        <f t="shared" si="349"/>
        <v>0</v>
      </c>
      <c r="I177" s="128">
        <f t="shared" si="349"/>
        <v>7426956.4445817601</v>
      </c>
      <c r="J177" s="128">
        <f t="shared" si="349"/>
        <v>16796347.651592597</v>
      </c>
      <c r="K177" s="128">
        <f t="shared" si="349"/>
        <v>17621768.164756574</v>
      </c>
      <c r="L177" s="128">
        <f t="shared" si="349"/>
        <v>17974203.528051708</v>
      </c>
      <c r="M177" s="128">
        <f t="shared" si="349"/>
        <v>18333687.598612737</v>
      </c>
      <c r="N177" s="128">
        <f t="shared" si="349"/>
        <v>18700361.350584999</v>
      </c>
      <c r="O177" s="128">
        <f t="shared" si="349"/>
        <v>19074368.577596698</v>
      </c>
      <c r="P177" s="128">
        <f t="shared" si="349"/>
        <v>19455855.949148633</v>
      </c>
      <c r="Q177" s="128">
        <f t="shared" si="349"/>
        <v>19844973.068131603</v>
      </c>
      <c r="R177" s="128">
        <f t="shared" si="349"/>
        <v>20241872.529494233</v>
      </c>
      <c r="S177" s="128">
        <f t="shared" si="349"/>
        <v>20646709.980084114</v>
      </c>
      <c r="T177" s="128">
        <f t="shared" si="349"/>
        <v>21059644.179685805</v>
      </c>
      <c r="U177" s="128">
        <f t="shared" si="349"/>
        <v>21480837.063279521</v>
      </c>
      <c r="V177" s="128">
        <f t="shared" si="349"/>
        <v>21910453.804545112</v>
      </c>
      <c r="W177" s="128">
        <f t="shared" si="349"/>
        <v>22348662.880636014</v>
      </c>
      <c r="X177" s="128">
        <f t="shared" si="349"/>
        <v>22795636.138248738</v>
      </c>
      <c r="Y177" s="128">
        <f t="shared" si="349"/>
        <v>23251548.86101371</v>
      </c>
      <c r="Z177" s="128">
        <f t="shared" si="349"/>
        <v>23716579.838233989</v>
      </c>
    </row>
    <row r="179" spans="2:26" x14ac:dyDescent="0.2">
      <c r="B179" s="32" t="s">
        <v>308</v>
      </c>
      <c r="F179" s="33">
        <f>+'Assumptions and Sensis'!$F$137*'Phase I Pro Forma'!F172*'Phase I Pro Forma'!F169</f>
        <v>0</v>
      </c>
      <c r="G179" s="33">
        <f>+'Assumptions and Sensis'!$F$137*'Phase I Pro Forma'!G172*'Phase I Pro Forma'!G169</f>
        <v>0</v>
      </c>
      <c r="H179" s="33">
        <f>+'Assumptions and Sensis'!$F$137*'Phase I Pro Forma'!H172*'Phase I Pro Forma'!H169</f>
        <v>0</v>
      </c>
      <c r="I179" s="33">
        <f>+'Assumptions and Sensis'!$F$137*'Phase I Pro Forma'!I172*'Phase I Pro Forma'!I169</f>
        <v>1881621.6843966572</v>
      </c>
      <c r="J179" s="33">
        <f>+'Assumptions and Sensis'!$F$137*'Phase I Pro Forma'!J172*'Phase I Pro Forma'!J169</f>
        <v>3838508.2361691808</v>
      </c>
      <c r="K179" s="33">
        <f>+'Assumptions and Sensis'!$F$137*'Phase I Pro Forma'!K172*'Phase I Pro Forma'!K169</f>
        <v>3915278.4008925646</v>
      </c>
      <c r="L179" s="33">
        <f>+'Assumptions and Sensis'!$F$137*'Phase I Pro Forma'!L172*'Phase I Pro Forma'!L169</f>
        <v>3993583.9689104161</v>
      </c>
      <c r="M179" s="33">
        <f>+'Assumptions and Sensis'!$F$137*'Phase I Pro Forma'!M172*'Phase I Pro Forma'!M169</f>
        <v>4073455.6482886244</v>
      </c>
      <c r="N179" s="33">
        <f>+'Assumptions and Sensis'!$F$137*'Phase I Pro Forma'!N172*'Phase I Pro Forma'!N169</f>
        <v>4154924.7612543972</v>
      </c>
      <c r="O179" s="33">
        <f>+'Assumptions and Sensis'!$F$137*'Phase I Pro Forma'!O172*'Phase I Pro Forma'!O169</f>
        <v>4238023.256479485</v>
      </c>
      <c r="P179" s="33">
        <f>+'Assumptions and Sensis'!$F$137*'Phase I Pro Forma'!P172*'Phase I Pro Forma'!P169</f>
        <v>4322783.7216090746</v>
      </c>
      <c r="Q179" s="33">
        <f>+'Assumptions and Sensis'!$F$137*'Phase I Pro Forma'!Q172*'Phase I Pro Forma'!Q169</f>
        <v>4409239.3960412564</v>
      </c>
      <c r="R179" s="33">
        <f>+'Assumptions and Sensis'!$F$137*'Phase I Pro Forma'!R172*'Phase I Pro Forma'!R169</f>
        <v>4497424.1839620816</v>
      </c>
      <c r="S179" s="33">
        <f>+'Assumptions and Sensis'!$F$137*'Phase I Pro Forma'!S172*'Phase I Pro Forma'!S169</f>
        <v>4587372.6676413231</v>
      </c>
      <c r="T179" s="33">
        <f>+'Assumptions and Sensis'!$F$137*'Phase I Pro Forma'!T172*'Phase I Pro Forma'!T169</f>
        <v>4679120.1209941497</v>
      </c>
      <c r="U179" s="33">
        <f>+'Assumptions and Sensis'!$F$137*'Phase I Pro Forma'!U172*'Phase I Pro Forma'!U169</f>
        <v>4772702.5234140335</v>
      </c>
      <c r="V179" s="33">
        <f>+'Assumptions and Sensis'!$F$137*'Phase I Pro Forma'!V172*'Phase I Pro Forma'!V169</f>
        <v>4868156.5738823134</v>
      </c>
      <c r="W179" s="33">
        <f>+'Assumptions and Sensis'!$F$137*'Phase I Pro Forma'!W172*'Phase I Pro Forma'!W169</f>
        <v>4965519.70535996</v>
      </c>
      <c r="X179" s="33">
        <f>+'Assumptions and Sensis'!$F$137*'Phase I Pro Forma'!X172*'Phase I Pro Forma'!X169</f>
        <v>5064830.0994671602</v>
      </c>
      <c r="Y179" s="33">
        <f>+'Assumptions and Sensis'!$F$137*'Phase I Pro Forma'!Y172*'Phase I Pro Forma'!Y169</f>
        <v>5166126.701456503</v>
      </c>
      <c r="Z179" s="33">
        <f>+'Assumptions and Sensis'!$F$137*'Phase I Pro Forma'!Z172*'Phase I Pro Forma'!Z169</f>
        <v>5269449.2354856329</v>
      </c>
    </row>
    <row r="180" spans="2:26" x14ac:dyDescent="0.2">
      <c r="B180" s="136" t="s">
        <v>311</v>
      </c>
      <c r="C180" s="136"/>
      <c r="D180" s="136"/>
      <c r="E180" s="136"/>
      <c r="F180" s="128">
        <f>+F177+F179</f>
        <v>0</v>
      </c>
      <c r="G180" s="128">
        <f t="shared" ref="G180:Z180" si="350">+G177+G179</f>
        <v>0</v>
      </c>
      <c r="H180" s="128">
        <f t="shared" si="350"/>
        <v>0</v>
      </c>
      <c r="I180" s="128">
        <f t="shared" si="350"/>
        <v>9308578.1289784163</v>
      </c>
      <c r="J180" s="128">
        <f t="shared" si="350"/>
        <v>20634855.887761779</v>
      </c>
      <c r="K180" s="128">
        <f t="shared" si="350"/>
        <v>21537046.565649137</v>
      </c>
      <c r="L180" s="128">
        <f t="shared" si="350"/>
        <v>21967787.496962123</v>
      </c>
      <c r="M180" s="128">
        <f t="shared" si="350"/>
        <v>22407143.246901363</v>
      </c>
      <c r="N180" s="128">
        <f t="shared" si="350"/>
        <v>22855286.111839395</v>
      </c>
      <c r="O180" s="128">
        <f t="shared" si="350"/>
        <v>23312391.834076181</v>
      </c>
      <c r="P180" s="128">
        <f t="shared" si="350"/>
        <v>23778639.670757707</v>
      </c>
      <c r="Q180" s="128">
        <f t="shared" si="350"/>
        <v>24254212.464172859</v>
      </c>
      <c r="R180" s="128">
        <f t="shared" si="350"/>
        <v>24739296.713456314</v>
      </c>
      <c r="S180" s="128">
        <f t="shared" si="350"/>
        <v>25234082.647725437</v>
      </c>
      <c r="T180" s="128">
        <f t="shared" si="350"/>
        <v>25738764.300679956</v>
      </c>
      <c r="U180" s="128">
        <f t="shared" si="350"/>
        <v>26253539.586693555</v>
      </c>
      <c r="V180" s="128">
        <f t="shared" si="350"/>
        <v>26778610.378427424</v>
      </c>
      <c r="W180" s="128">
        <f t="shared" si="350"/>
        <v>27314182.585995972</v>
      </c>
      <c r="X180" s="128">
        <f t="shared" si="350"/>
        <v>27860466.2377159</v>
      </c>
      <c r="Y180" s="128">
        <f t="shared" si="350"/>
        <v>28417675.562470213</v>
      </c>
      <c r="Z180" s="128">
        <f t="shared" si="350"/>
        <v>28986029.073719621</v>
      </c>
    </row>
    <row r="181" spans="2:26" x14ac:dyDescent="0.2">
      <c r="B181" s="32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2:26" x14ac:dyDescent="0.2">
      <c r="B182" s="32" t="s">
        <v>309</v>
      </c>
      <c r="F182" s="41">
        <f>+'Assumptions and Sensis'!$F$144*'Phase I Pro Forma'!F172*'Phase I Pro Forma'!F169</f>
        <v>0</v>
      </c>
      <c r="G182" s="41">
        <f>+'Assumptions and Sensis'!$F$144*'Phase I Pro Forma'!G172*'Phase I Pro Forma'!G169</f>
        <v>0</v>
      </c>
      <c r="H182" s="41">
        <f>+'Assumptions and Sensis'!$F$144*'Phase I Pro Forma'!H172*'Phase I Pro Forma'!H169</f>
        <v>0</v>
      </c>
      <c r="I182" s="41">
        <f>+'Assumptions and Sensis'!$F$144*'Phase I Pro Forma'!I172*'Phase I Pro Forma'!I169</f>
        <v>0</v>
      </c>
      <c r="J182" s="41">
        <f>+'Assumptions and Sensis'!$F$144*'Phase I Pro Forma'!J172*'Phase I Pro Forma'!J169</f>
        <v>0</v>
      </c>
      <c r="K182" s="41">
        <f>+'Assumptions and Sensis'!$F$144*'Phase I Pro Forma'!K172*'Phase I Pro Forma'!K169</f>
        <v>0</v>
      </c>
      <c r="L182" s="41">
        <f>+'Assumptions and Sensis'!$F$144*'Phase I Pro Forma'!L172*'Phase I Pro Forma'!L169</f>
        <v>0</v>
      </c>
      <c r="M182" s="41">
        <f>+'Assumptions and Sensis'!$F$144*'Phase I Pro Forma'!M172*'Phase I Pro Forma'!M169</f>
        <v>0</v>
      </c>
      <c r="N182" s="41">
        <f>+'Assumptions and Sensis'!$F$144*'Phase I Pro Forma'!N172*'Phase I Pro Forma'!N169</f>
        <v>0</v>
      </c>
      <c r="O182" s="41">
        <f>+'Assumptions and Sensis'!$F$144*'Phase I Pro Forma'!O172*'Phase I Pro Forma'!O169</f>
        <v>0</v>
      </c>
      <c r="P182" s="41">
        <f>+'Assumptions and Sensis'!$F$144*'Phase I Pro Forma'!P172*'Phase I Pro Forma'!P169</f>
        <v>0</v>
      </c>
      <c r="Q182" s="41">
        <f>+'Assumptions and Sensis'!$F$144*'Phase I Pro Forma'!Q172*'Phase I Pro Forma'!Q169</f>
        <v>0</v>
      </c>
      <c r="R182" s="41">
        <f>+'Assumptions and Sensis'!$F$144*'Phase I Pro Forma'!R172*'Phase I Pro Forma'!R169</f>
        <v>0</v>
      </c>
      <c r="S182" s="41">
        <f>+'Assumptions and Sensis'!$F$144*'Phase I Pro Forma'!S172*'Phase I Pro Forma'!S169</f>
        <v>0</v>
      </c>
      <c r="T182" s="41">
        <f>+'Assumptions and Sensis'!$F$144*'Phase I Pro Forma'!T172*'Phase I Pro Forma'!T169</f>
        <v>0</v>
      </c>
      <c r="U182" s="41">
        <f>+'Assumptions and Sensis'!$F$144*'Phase I Pro Forma'!U172*'Phase I Pro Forma'!U169</f>
        <v>0</v>
      </c>
      <c r="V182" s="41">
        <f>+'Assumptions and Sensis'!$F$144*'Phase I Pro Forma'!V172*'Phase I Pro Forma'!V169</f>
        <v>0</v>
      </c>
      <c r="W182" s="41">
        <f>+'Assumptions and Sensis'!$F$144*'Phase I Pro Forma'!W172*'Phase I Pro Forma'!W169</f>
        <v>0</v>
      </c>
      <c r="X182" s="41">
        <f>+'Assumptions and Sensis'!$F$144*'Phase I Pro Forma'!X172*'Phase I Pro Forma'!X169</f>
        <v>0</v>
      </c>
      <c r="Y182" s="41">
        <f>+'Assumptions and Sensis'!$F$144*'Phase I Pro Forma'!Y172*'Phase I Pro Forma'!Y169</f>
        <v>0</v>
      </c>
      <c r="Z182" s="41">
        <f>+'Assumptions and Sensis'!$F$144*'Phase I Pro Forma'!Z172*'Phase I Pro Forma'!Z169</f>
        <v>0</v>
      </c>
    </row>
    <row r="183" spans="2:26" s="156" customFormat="1" x14ac:dyDescent="0.2">
      <c r="B183" s="136" t="s">
        <v>772</v>
      </c>
      <c r="C183" s="136"/>
      <c r="D183" s="136"/>
      <c r="E183" s="136"/>
      <c r="F183" s="128">
        <f>+F180+F182</f>
        <v>0</v>
      </c>
      <c r="G183" s="128">
        <f t="shared" ref="G183:Z183" si="351">+G180+G182</f>
        <v>0</v>
      </c>
      <c r="H183" s="128">
        <f t="shared" si="351"/>
        <v>0</v>
      </c>
      <c r="I183" s="128">
        <f t="shared" si="351"/>
        <v>9308578.1289784163</v>
      </c>
      <c r="J183" s="128">
        <f t="shared" si="351"/>
        <v>20634855.887761779</v>
      </c>
      <c r="K183" s="128">
        <f t="shared" si="351"/>
        <v>21537046.565649137</v>
      </c>
      <c r="L183" s="128">
        <f t="shared" si="351"/>
        <v>21967787.496962123</v>
      </c>
      <c r="M183" s="128">
        <f t="shared" si="351"/>
        <v>22407143.246901363</v>
      </c>
      <c r="N183" s="128">
        <f t="shared" si="351"/>
        <v>22855286.111839395</v>
      </c>
      <c r="O183" s="128">
        <f t="shared" si="351"/>
        <v>23312391.834076181</v>
      </c>
      <c r="P183" s="128">
        <f t="shared" si="351"/>
        <v>23778639.670757707</v>
      </c>
      <c r="Q183" s="128">
        <f t="shared" si="351"/>
        <v>24254212.464172859</v>
      </c>
      <c r="R183" s="128">
        <f t="shared" si="351"/>
        <v>24739296.713456314</v>
      </c>
      <c r="S183" s="128">
        <f t="shared" si="351"/>
        <v>25234082.647725437</v>
      </c>
      <c r="T183" s="128">
        <f t="shared" si="351"/>
        <v>25738764.300679956</v>
      </c>
      <c r="U183" s="128">
        <f t="shared" si="351"/>
        <v>26253539.586693555</v>
      </c>
      <c r="V183" s="128">
        <f t="shared" si="351"/>
        <v>26778610.378427424</v>
      </c>
      <c r="W183" s="128">
        <f t="shared" si="351"/>
        <v>27314182.585995972</v>
      </c>
      <c r="X183" s="128">
        <f t="shared" si="351"/>
        <v>27860466.2377159</v>
      </c>
      <c r="Y183" s="128">
        <f t="shared" si="351"/>
        <v>28417675.562470213</v>
      </c>
      <c r="Z183" s="128">
        <f t="shared" si="351"/>
        <v>28986029.073719621</v>
      </c>
    </row>
    <row r="185" spans="2:26" x14ac:dyDescent="0.2">
      <c r="B185" s="154" t="s">
        <v>144</v>
      </c>
    </row>
    <row r="186" spans="2:26" x14ac:dyDescent="0.2">
      <c r="B186" s="63" t="s">
        <v>280</v>
      </c>
      <c r="D186" s="114">
        <f>+'Assumptions and Sensis'!M125</f>
        <v>0.25</v>
      </c>
      <c r="E186" s="114"/>
      <c r="F186" s="33">
        <f>F$177*$D186</f>
        <v>0</v>
      </c>
      <c r="G186" s="33">
        <f t="shared" ref="G186:Z186" si="352">G$177*$D186</f>
        <v>0</v>
      </c>
      <c r="H186" s="33">
        <f t="shared" si="352"/>
        <v>0</v>
      </c>
      <c r="I186" s="33">
        <f t="shared" si="352"/>
        <v>1856739.11114544</v>
      </c>
      <c r="J186" s="33">
        <f t="shared" si="352"/>
        <v>4199086.9128981493</v>
      </c>
      <c r="K186" s="33">
        <f t="shared" si="352"/>
        <v>4405442.0411891434</v>
      </c>
      <c r="L186" s="33">
        <f t="shared" si="352"/>
        <v>4493550.882012927</v>
      </c>
      <c r="M186" s="33">
        <f t="shared" si="352"/>
        <v>4583421.8996531842</v>
      </c>
      <c r="N186" s="33">
        <f t="shared" si="352"/>
        <v>4675090.3376462497</v>
      </c>
      <c r="O186" s="33">
        <f t="shared" si="352"/>
        <v>4768592.1443991745</v>
      </c>
      <c r="P186" s="33">
        <f t="shared" si="352"/>
        <v>4863963.9872871581</v>
      </c>
      <c r="Q186" s="33">
        <f t="shared" si="352"/>
        <v>4961243.2670329008</v>
      </c>
      <c r="R186" s="33">
        <f t="shared" si="352"/>
        <v>5060468.1323735584</v>
      </c>
      <c r="S186" s="33">
        <f t="shared" si="352"/>
        <v>5161677.4950210284</v>
      </c>
      <c r="T186" s="33">
        <f t="shared" si="352"/>
        <v>5264911.0449214512</v>
      </c>
      <c r="U186" s="33">
        <f t="shared" si="352"/>
        <v>5370209.2658198802</v>
      </c>
      <c r="V186" s="33">
        <f t="shared" si="352"/>
        <v>5477613.451136278</v>
      </c>
      <c r="W186" s="33">
        <f t="shared" si="352"/>
        <v>5587165.7201590035</v>
      </c>
      <c r="X186" s="33">
        <f t="shared" si="352"/>
        <v>5698909.0345621845</v>
      </c>
      <c r="Y186" s="33">
        <f t="shared" si="352"/>
        <v>5812887.2152534276</v>
      </c>
      <c r="Z186" s="33">
        <f t="shared" si="352"/>
        <v>5929144.9595584972</v>
      </c>
    </row>
    <row r="187" spans="2:26" x14ac:dyDescent="0.2">
      <c r="B187" s="63" t="s">
        <v>307</v>
      </c>
      <c r="D187" s="114">
        <f>+'Assumptions and Sensis'!M126</f>
        <v>0.7</v>
      </c>
      <c r="E187" s="114"/>
      <c r="F187" s="41">
        <f>F$179*$D187</f>
        <v>0</v>
      </c>
      <c r="G187" s="41">
        <f t="shared" ref="G187:Z187" si="353">G$179*$D187</f>
        <v>0</v>
      </c>
      <c r="H187" s="41">
        <f t="shared" si="353"/>
        <v>0</v>
      </c>
      <c r="I187" s="41">
        <f t="shared" si="353"/>
        <v>1317135.17907766</v>
      </c>
      <c r="J187" s="41">
        <f t="shared" si="353"/>
        <v>2686955.7653184263</v>
      </c>
      <c r="K187" s="41">
        <f t="shared" si="353"/>
        <v>2740694.8806247949</v>
      </c>
      <c r="L187" s="41">
        <f t="shared" si="353"/>
        <v>2795508.7782372911</v>
      </c>
      <c r="M187" s="41">
        <f t="shared" si="353"/>
        <v>2851418.9538020371</v>
      </c>
      <c r="N187" s="41">
        <f t="shared" si="353"/>
        <v>2908447.3328780779</v>
      </c>
      <c r="O187" s="41">
        <f t="shared" si="353"/>
        <v>2966616.2795356391</v>
      </c>
      <c r="P187" s="41">
        <f t="shared" si="353"/>
        <v>3025948.605126352</v>
      </c>
      <c r="Q187" s="41">
        <f t="shared" si="353"/>
        <v>3086467.5772288791</v>
      </c>
      <c r="R187" s="41">
        <f t="shared" si="353"/>
        <v>3148196.9287734567</v>
      </c>
      <c r="S187" s="41">
        <f t="shared" si="353"/>
        <v>3211160.8673489261</v>
      </c>
      <c r="T187" s="41">
        <f t="shared" si="353"/>
        <v>3275384.0846959045</v>
      </c>
      <c r="U187" s="41">
        <f t="shared" si="353"/>
        <v>3340891.7663898231</v>
      </c>
      <c r="V187" s="41">
        <f t="shared" si="353"/>
        <v>3407709.6017176192</v>
      </c>
      <c r="W187" s="41">
        <f t="shared" si="353"/>
        <v>3475863.7937519718</v>
      </c>
      <c r="X187" s="41">
        <f t="shared" si="353"/>
        <v>3545381.0696270121</v>
      </c>
      <c r="Y187" s="41">
        <f t="shared" si="353"/>
        <v>3616288.6910195518</v>
      </c>
      <c r="Z187" s="41">
        <f t="shared" si="353"/>
        <v>3688614.4648399428</v>
      </c>
    </row>
    <row r="188" spans="2:26" x14ac:dyDescent="0.2">
      <c r="B188" s="154" t="s">
        <v>281</v>
      </c>
    </row>
    <row r="189" spans="2:26" x14ac:dyDescent="0.2">
      <c r="B189" s="63" t="s">
        <v>282</v>
      </c>
      <c r="D189" s="114">
        <f>+'Assumptions and Sensis'!M128</f>
        <v>0.08</v>
      </c>
      <c r="E189" s="114"/>
      <c r="F189" s="41">
        <f>F$180*$D189</f>
        <v>0</v>
      </c>
      <c r="G189" s="41">
        <f t="shared" ref="G189:V197" si="354">G$180*$D189</f>
        <v>0</v>
      </c>
      <c r="H189" s="41">
        <f t="shared" si="354"/>
        <v>0</v>
      </c>
      <c r="I189" s="41">
        <f t="shared" si="354"/>
        <v>744686.25031827332</v>
      </c>
      <c r="J189" s="41">
        <f t="shared" si="354"/>
        <v>1650788.4710209423</v>
      </c>
      <c r="K189" s="41">
        <f t="shared" si="354"/>
        <v>1722963.725251931</v>
      </c>
      <c r="L189" s="41">
        <f t="shared" si="354"/>
        <v>1757422.9997569697</v>
      </c>
      <c r="M189" s="41">
        <f t="shared" si="354"/>
        <v>1792571.4597521091</v>
      </c>
      <c r="N189" s="41">
        <f t="shared" si="354"/>
        <v>1828422.8889471516</v>
      </c>
      <c r="O189" s="41">
        <f t="shared" si="354"/>
        <v>1864991.3467260946</v>
      </c>
      <c r="P189" s="41">
        <f t="shared" si="354"/>
        <v>1902291.1736606166</v>
      </c>
      <c r="Q189" s="41">
        <f t="shared" si="354"/>
        <v>1940336.9971338287</v>
      </c>
      <c r="R189" s="41">
        <f t="shared" si="354"/>
        <v>1979143.7370765051</v>
      </c>
      <c r="S189" s="41">
        <f t="shared" si="354"/>
        <v>2018726.6118180349</v>
      </c>
      <c r="T189" s="41">
        <f t="shared" si="354"/>
        <v>2059101.1440543965</v>
      </c>
      <c r="U189" s="41">
        <f t="shared" si="354"/>
        <v>2100283.1669354844</v>
      </c>
      <c r="V189" s="41">
        <f t="shared" si="354"/>
        <v>2142288.830274194</v>
      </c>
      <c r="W189" s="41">
        <f t="shared" ref="W189:Z197" si="355">W$180*$D189</f>
        <v>2185134.6068796776</v>
      </c>
      <c r="X189" s="41">
        <f t="shared" si="355"/>
        <v>2228837.299017272</v>
      </c>
      <c r="Y189" s="41">
        <f t="shared" si="355"/>
        <v>2273414.0449976171</v>
      </c>
      <c r="Z189" s="41">
        <f t="shared" si="355"/>
        <v>2318882.3258975698</v>
      </c>
    </row>
    <row r="190" spans="2:26" x14ac:dyDescent="0.2">
      <c r="B190" s="63" t="s">
        <v>283</v>
      </c>
      <c r="D190" s="114">
        <f>+'Assumptions and Sensis'!M129</f>
        <v>0.01</v>
      </c>
      <c r="E190" s="114"/>
      <c r="F190" s="41">
        <f t="shared" ref="F190:F197" si="356">F$180*$D190</f>
        <v>0</v>
      </c>
      <c r="G190" s="41">
        <f t="shared" si="354"/>
        <v>0</v>
      </c>
      <c r="H190" s="41">
        <f t="shared" si="354"/>
        <v>0</v>
      </c>
      <c r="I190" s="41">
        <f t="shared" si="354"/>
        <v>93085.781289784165</v>
      </c>
      <c r="J190" s="41">
        <f t="shared" si="354"/>
        <v>206348.55887761779</v>
      </c>
      <c r="K190" s="41">
        <f t="shared" si="354"/>
        <v>215370.46565649137</v>
      </c>
      <c r="L190" s="41">
        <f t="shared" si="354"/>
        <v>219677.87496962122</v>
      </c>
      <c r="M190" s="41">
        <f t="shared" si="354"/>
        <v>224071.43246901364</v>
      </c>
      <c r="N190" s="41">
        <f t="shared" si="354"/>
        <v>228552.86111839395</v>
      </c>
      <c r="O190" s="41">
        <f t="shared" si="354"/>
        <v>233123.91834076183</v>
      </c>
      <c r="P190" s="41">
        <f t="shared" si="354"/>
        <v>237786.39670757708</v>
      </c>
      <c r="Q190" s="41">
        <f t="shared" si="354"/>
        <v>242542.12464172859</v>
      </c>
      <c r="R190" s="41">
        <f t="shared" si="354"/>
        <v>247392.96713456314</v>
      </c>
      <c r="S190" s="41">
        <f t="shared" si="354"/>
        <v>252340.82647725436</v>
      </c>
      <c r="T190" s="41">
        <f t="shared" si="354"/>
        <v>257387.64300679957</v>
      </c>
      <c r="U190" s="41">
        <f t="shared" si="354"/>
        <v>262535.39586693555</v>
      </c>
      <c r="V190" s="41">
        <f t="shared" si="354"/>
        <v>267786.10378427425</v>
      </c>
      <c r="W190" s="41">
        <f t="shared" si="355"/>
        <v>273141.8258599597</v>
      </c>
      <c r="X190" s="41">
        <f t="shared" si="355"/>
        <v>278604.66237715899</v>
      </c>
      <c r="Y190" s="41">
        <f t="shared" si="355"/>
        <v>284176.75562470214</v>
      </c>
      <c r="Z190" s="41">
        <f t="shared" si="355"/>
        <v>289860.29073719622</v>
      </c>
    </row>
    <row r="191" spans="2:26" x14ac:dyDescent="0.2">
      <c r="B191" s="63" t="s">
        <v>73</v>
      </c>
      <c r="D191" s="114">
        <f>+'Assumptions and Sensis'!M130</f>
        <v>6.5000000000000002E-2</v>
      </c>
      <c r="E191" s="114"/>
      <c r="F191" s="41">
        <f t="shared" si="356"/>
        <v>0</v>
      </c>
      <c r="G191" s="41">
        <f t="shared" si="354"/>
        <v>0</v>
      </c>
      <c r="H191" s="41">
        <f t="shared" si="354"/>
        <v>0</v>
      </c>
      <c r="I191" s="41">
        <f t="shared" si="354"/>
        <v>605057.57838359708</v>
      </c>
      <c r="J191" s="41">
        <f t="shared" si="354"/>
        <v>1341265.6327045157</v>
      </c>
      <c r="K191" s="41">
        <f t="shared" si="354"/>
        <v>1399908.026767194</v>
      </c>
      <c r="L191" s="41">
        <f t="shared" si="354"/>
        <v>1427906.187302538</v>
      </c>
      <c r="M191" s="41">
        <f t="shared" si="354"/>
        <v>1456464.3110485887</v>
      </c>
      <c r="N191" s="41">
        <f t="shared" si="354"/>
        <v>1485593.5972695607</v>
      </c>
      <c r="O191" s="41">
        <f t="shared" si="354"/>
        <v>1515305.4692149519</v>
      </c>
      <c r="P191" s="41">
        <f t="shared" si="354"/>
        <v>1545611.5785992511</v>
      </c>
      <c r="Q191" s="41">
        <f t="shared" si="354"/>
        <v>1576523.8101712358</v>
      </c>
      <c r="R191" s="41">
        <f t="shared" si="354"/>
        <v>1608054.2863746604</v>
      </c>
      <c r="S191" s="41">
        <f t="shared" si="354"/>
        <v>1640215.3721021535</v>
      </c>
      <c r="T191" s="41">
        <f t="shared" si="354"/>
        <v>1673019.6795441972</v>
      </c>
      <c r="U191" s="41">
        <f t="shared" si="354"/>
        <v>1706480.0731350812</v>
      </c>
      <c r="V191" s="41">
        <f t="shared" si="354"/>
        <v>1740609.6745977825</v>
      </c>
      <c r="W191" s="41">
        <f t="shared" si="355"/>
        <v>1775421.8680897383</v>
      </c>
      <c r="X191" s="41">
        <f t="shared" si="355"/>
        <v>1810930.3054515335</v>
      </c>
      <c r="Y191" s="41">
        <f t="shared" si="355"/>
        <v>1847148.9115605638</v>
      </c>
      <c r="Z191" s="41">
        <f t="shared" si="355"/>
        <v>1884091.8897917755</v>
      </c>
    </row>
    <row r="192" spans="2:26" x14ac:dyDescent="0.2">
      <c r="B192" s="63" t="s">
        <v>284</v>
      </c>
      <c r="D192" s="114">
        <f>+'Assumptions and Sensis'!M131</f>
        <v>0.02</v>
      </c>
      <c r="E192" s="114"/>
      <c r="F192" s="41">
        <f t="shared" si="356"/>
        <v>0</v>
      </c>
      <c r="G192" s="41">
        <f t="shared" si="354"/>
        <v>0</v>
      </c>
      <c r="H192" s="41">
        <f t="shared" si="354"/>
        <v>0</v>
      </c>
      <c r="I192" s="41">
        <f t="shared" si="354"/>
        <v>186171.56257956833</v>
      </c>
      <c r="J192" s="41">
        <f t="shared" si="354"/>
        <v>412697.11775523558</v>
      </c>
      <c r="K192" s="41">
        <f t="shared" si="354"/>
        <v>430740.93131298275</v>
      </c>
      <c r="L192" s="41">
        <f t="shared" si="354"/>
        <v>439355.74993924244</v>
      </c>
      <c r="M192" s="41">
        <f t="shared" si="354"/>
        <v>448142.86493802728</v>
      </c>
      <c r="N192" s="41">
        <f t="shared" si="354"/>
        <v>457105.7222367879</v>
      </c>
      <c r="O192" s="41">
        <f t="shared" si="354"/>
        <v>466247.83668152365</v>
      </c>
      <c r="P192" s="41">
        <f t="shared" si="354"/>
        <v>475572.79341515416</v>
      </c>
      <c r="Q192" s="41">
        <f t="shared" si="354"/>
        <v>485084.24928345717</v>
      </c>
      <c r="R192" s="41">
        <f t="shared" si="354"/>
        <v>494785.93426912627</v>
      </c>
      <c r="S192" s="41">
        <f t="shared" si="354"/>
        <v>504681.65295450873</v>
      </c>
      <c r="T192" s="41">
        <f t="shared" si="354"/>
        <v>514775.28601359914</v>
      </c>
      <c r="U192" s="41">
        <f t="shared" si="354"/>
        <v>525070.7917338711</v>
      </c>
      <c r="V192" s="41">
        <f t="shared" si="354"/>
        <v>535572.2075685485</v>
      </c>
      <c r="W192" s="41">
        <f t="shared" si="355"/>
        <v>546283.65171991941</v>
      </c>
      <c r="X192" s="41">
        <f t="shared" si="355"/>
        <v>557209.32475431799</v>
      </c>
      <c r="Y192" s="41">
        <f t="shared" si="355"/>
        <v>568353.51124940428</v>
      </c>
      <c r="Z192" s="41">
        <f t="shared" si="355"/>
        <v>579720.58147439244</v>
      </c>
    </row>
    <row r="193" spans="2:26" x14ac:dyDescent="0.2">
      <c r="B193" s="63" t="s">
        <v>285</v>
      </c>
      <c r="D193" s="114">
        <f>+'Assumptions and Sensis'!M132</f>
        <v>0.03</v>
      </c>
      <c r="E193" s="114"/>
      <c r="F193" s="41">
        <f t="shared" si="356"/>
        <v>0</v>
      </c>
      <c r="G193" s="41">
        <f t="shared" si="354"/>
        <v>0</v>
      </c>
      <c r="H193" s="41">
        <f t="shared" si="354"/>
        <v>0</v>
      </c>
      <c r="I193" s="41">
        <f t="shared" si="354"/>
        <v>279257.34386935248</v>
      </c>
      <c r="J193" s="41">
        <f t="shared" si="354"/>
        <v>619045.67663285334</v>
      </c>
      <c r="K193" s="41">
        <f t="shared" si="354"/>
        <v>646111.39696947404</v>
      </c>
      <c r="L193" s="41">
        <f t="shared" si="354"/>
        <v>659033.62490886368</v>
      </c>
      <c r="M193" s="41">
        <f t="shared" si="354"/>
        <v>672214.29740704084</v>
      </c>
      <c r="N193" s="41">
        <f t="shared" si="354"/>
        <v>685658.58335518185</v>
      </c>
      <c r="O193" s="41">
        <f t="shared" si="354"/>
        <v>699371.75502228539</v>
      </c>
      <c r="P193" s="41">
        <f t="shared" si="354"/>
        <v>713359.19012273115</v>
      </c>
      <c r="Q193" s="41">
        <f t="shared" si="354"/>
        <v>727626.37392518576</v>
      </c>
      <c r="R193" s="41">
        <f t="shared" si="354"/>
        <v>742178.90140368941</v>
      </c>
      <c r="S193" s="41">
        <f t="shared" si="354"/>
        <v>757022.47943176306</v>
      </c>
      <c r="T193" s="41">
        <f t="shared" si="354"/>
        <v>772162.92902039865</v>
      </c>
      <c r="U193" s="41">
        <f t="shared" si="354"/>
        <v>787606.18760080659</v>
      </c>
      <c r="V193" s="41">
        <f t="shared" si="354"/>
        <v>803358.3113528227</v>
      </c>
      <c r="W193" s="41">
        <f t="shared" si="355"/>
        <v>819425.47757987911</v>
      </c>
      <c r="X193" s="41">
        <f t="shared" si="355"/>
        <v>835813.98713147698</v>
      </c>
      <c r="Y193" s="41">
        <f t="shared" si="355"/>
        <v>852530.26687410637</v>
      </c>
      <c r="Z193" s="41">
        <f t="shared" si="355"/>
        <v>869580.87221158855</v>
      </c>
    </row>
    <row r="194" spans="2:26" x14ac:dyDescent="0.2">
      <c r="B194" s="63" t="s">
        <v>286</v>
      </c>
      <c r="D194" s="114">
        <f>+'Assumptions and Sensis'!M133</f>
        <v>0.04</v>
      </c>
      <c r="E194" s="114"/>
      <c r="F194" s="41">
        <f t="shared" si="356"/>
        <v>0</v>
      </c>
      <c r="G194" s="41">
        <f t="shared" si="354"/>
        <v>0</v>
      </c>
      <c r="H194" s="41">
        <f t="shared" si="354"/>
        <v>0</v>
      </c>
      <c r="I194" s="41">
        <f t="shared" si="354"/>
        <v>372343.12515913666</v>
      </c>
      <c r="J194" s="41">
        <f t="shared" si="354"/>
        <v>825394.23551047116</v>
      </c>
      <c r="K194" s="41">
        <f t="shared" si="354"/>
        <v>861481.8626259655</v>
      </c>
      <c r="L194" s="41">
        <f t="shared" si="354"/>
        <v>878711.49987848487</v>
      </c>
      <c r="M194" s="41">
        <f t="shared" si="354"/>
        <v>896285.72987605457</v>
      </c>
      <c r="N194" s="41">
        <f t="shared" si="354"/>
        <v>914211.4444735758</v>
      </c>
      <c r="O194" s="41">
        <f t="shared" si="354"/>
        <v>932495.6733630473</v>
      </c>
      <c r="P194" s="41">
        <f t="shared" si="354"/>
        <v>951145.58683030831</v>
      </c>
      <c r="Q194" s="41">
        <f t="shared" si="354"/>
        <v>970168.49856691435</v>
      </c>
      <c r="R194" s="41">
        <f t="shared" si="354"/>
        <v>989571.86853825254</v>
      </c>
      <c r="S194" s="41">
        <f t="shared" si="354"/>
        <v>1009363.3059090175</v>
      </c>
      <c r="T194" s="41">
        <f t="shared" si="354"/>
        <v>1029550.5720271983</v>
      </c>
      <c r="U194" s="41">
        <f t="shared" si="354"/>
        <v>1050141.5834677422</v>
      </c>
      <c r="V194" s="41">
        <f t="shared" si="354"/>
        <v>1071144.415137097</v>
      </c>
      <c r="W194" s="41">
        <f t="shared" si="355"/>
        <v>1092567.3034398388</v>
      </c>
      <c r="X194" s="41">
        <f t="shared" si="355"/>
        <v>1114418.649508636</v>
      </c>
      <c r="Y194" s="41">
        <f t="shared" si="355"/>
        <v>1136707.0224988086</v>
      </c>
      <c r="Z194" s="41">
        <f t="shared" si="355"/>
        <v>1159441.1629487849</v>
      </c>
    </row>
    <row r="195" spans="2:26" x14ac:dyDescent="0.2">
      <c r="B195" s="63" t="s">
        <v>59</v>
      </c>
      <c r="D195" s="114">
        <f>+'Assumptions and Sensis'!M134</f>
        <v>0.01</v>
      </c>
      <c r="E195" s="114"/>
      <c r="F195" s="41">
        <f t="shared" si="356"/>
        <v>0</v>
      </c>
      <c r="G195" s="41">
        <f t="shared" si="354"/>
        <v>0</v>
      </c>
      <c r="H195" s="41">
        <f t="shared" si="354"/>
        <v>0</v>
      </c>
      <c r="I195" s="41">
        <f t="shared" si="354"/>
        <v>93085.781289784165</v>
      </c>
      <c r="J195" s="41">
        <f t="shared" si="354"/>
        <v>206348.55887761779</v>
      </c>
      <c r="K195" s="41">
        <f t="shared" si="354"/>
        <v>215370.46565649137</v>
      </c>
      <c r="L195" s="41">
        <f t="shared" si="354"/>
        <v>219677.87496962122</v>
      </c>
      <c r="M195" s="41">
        <f t="shared" si="354"/>
        <v>224071.43246901364</v>
      </c>
      <c r="N195" s="41">
        <f t="shared" si="354"/>
        <v>228552.86111839395</v>
      </c>
      <c r="O195" s="41">
        <f t="shared" si="354"/>
        <v>233123.91834076183</v>
      </c>
      <c r="P195" s="41">
        <f t="shared" si="354"/>
        <v>237786.39670757708</v>
      </c>
      <c r="Q195" s="41">
        <f t="shared" si="354"/>
        <v>242542.12464172859</v>
      </c>
      <c r="R195" s="41">
        <f t="shared" si="354"/>
        <v>247392.96713456314</v>
      </c>
      <c r="S195" s="41">
        <f t="shared" si="354"/>
        <v>252340.82647725436</v>
      </c>
      <c r="T195" s="41">
        <f t="shared" si="354"/>
        <v>257387.64300679957</v>
      </c>
      <c r="U195" s="41">
        <f t="shared" si="354"/>
        <v>262535.39586693555</v>
      </c>
      <c r="V195" s="41">
        <f t="shared" si="354"/>
        <v>267786.10378427425</v>
      </c>
      <c r="W195" s="41">
        <f t="shared" si="355"/>
        <v>273141.8258599597</v>
      </c>
      <c r="X195" s="41">
        <f t="shared" si="355"/>
        <v>278604.66237715899</v>
      </c>
      <c r="Y195" s="41">
        <f t="shared" si="355"/>
        <v>284176.75562470214</v>
      </c>
      <c r="Z195" s="41">
        <f t="shared" si="355"/>
        <v>289860.29073719622</v>
      </c>
    </row>
    <row r="196" spans="2:26" x14ac:dyDescent="0.2">
      <c r="B196" s="168" t="s">
        <v>325</v>
      </c>
      <c r="D196" s="115">
        <f ca="1">+SUM(F196:Z196)/SUM(F180:Z180)</f>
        <v>8.4720973919597903E-2</v>
      </c>
      <c r="E196" s="115"/>
      <c r="F196" s="41">
        <f ca="1">+IFERROR(INDEX('Taxes and TIF'!$M$11:$M$45,MATCH('Phase I Pro Forma'!F$7,'Taxes and TIF'!$B$11:$B$45,0)),0)*'Loan Sizing'!$I$38*F169</f>
        <v>0</v>
      </c>
      <c r="G196" s="41">
        <f ca="1">+IFERROR(INDEX('Taxes and TIF'!$M$11:$M$45,MATCH('Phase I Pro Forma'!G$7,'Taxes and TIF'!$B$11:$B$45,0)),0)*'Loan Sizing'!$I$38*G169</f>
        <v>0</v>
      </c>
      <c r="H196" s="41">
        <f ca="1">+IFERROR(INDEX('Taxes and TIF'!$M$11:$M$45,MATCH('Phase I Pro Forma'!H$7,'Taxes and TIF'!$B$11:$B$45,0)),0)*'Loan Sizing'!$I$38*H169</f>
        <v>0</v>
      </c>
      <c r="I196" s="41">
        <f ca="1">+IFERROR(INDEX('Taxes and TIF'!$M$11:$M$45,MATCH('Phase I Pro Forma'!I$7,'Taxes and TIF'!$B$11:$B$45,0)),0)*'Loan Sizing'!$I$38*I169</f>
        <v>978407.27106633701</v>
      </c>
      <c r="J196" s="41">
        <f ca="1">+IFERROR(INDEX('Taxes and TIF'!$M$11:$M$45,MATCH('Phase I Pro Forma'!J$7,'Taxes and TIF'!$B$11:$B$45,0)),0)*'Loan Sizing'!$I$38*J169</f>
        <v>1995950.8329753275</v>
      </c>
      <c r="K196" s="41">
        <f ca="1">+IFERROR(INDEX('Taxes and TIF'!$M$11:$M$45,MATCH('Phase I Pro Forma'!K$7,'Taxes and TIF'!$B$11:$B$45,0)),0)*'Loan Sizing'!$I$38*K169</f>
        <v>1995950.8329753275</v>
      </c>
      <c r="L196" s="41">
        <f ca="1">+IFERROR(INDEX('Taxes and TIF'!$M$11:$M$45,MATCH('Phase I Pro Forma'!L$7,'Taxes and TIF'!$B$11:$B$45,0)),0)*'Loan Sizing'!$I$38*L169</f>
        <v>1995950.8329753275</v>
      </c>
      <c r="M196" s="41">
        <f ca="1">+IFERROR(INDEX('Taxes and TIF'!$M$11:$M$45,MATCH('Phase I Pro Forma'!M$7,'Taxes and TIF'!$B$11:$B$45,0)),0)*'Loan Sizing'!$I$38*M169</f>
        <v>2035869.8496348343</v>
      </c>
      <c r="N196" s="41">
        <f ca="1">+IFERROR(INDEX('Taxes and TIF'!$M$11:$M$45,MATCH('Phase I Pro Forma'!N$7,'Taxes and TIF'!$B$11:$B$45,0)),0)*'Loan Sizing'!$I$38*N169</f>
        <v>2035869.8496348343</v>
      </c>
      <c r="O196" s="41">
        <f ca="1">+IFERROR(INDEX('Taxes and TIF'!$M$11:$M$45,MATCH('Phase I Pro Forma'!O$7,'Taxes and TIF'!$B$11:$B$45,0)),0)*'Loan Sizing'!$I$38*O169</f>
        <v>2035869.8496348343</v>
      </c>
      <c r="P196" s="41">
        <f ca="1">+IFERROR(INDEX('Taxes and TIF'!$M$11:$M$45,MATCH('Phase I Pro Forma'!P$7,'Taxes and TIF'!$B$11:$B$45,0)),0)*'Loan Sizing'!$I$38*P169</f>
        <v>2076587.246627531</v>
      </c>
      <c r="Q196" s="41">
        <f ca="1">+IFERROR(INDEX('Taxes and TIF'!$M$11:$M$45,MATCH('Phase I Pro Forma'!Q$7,'Taxes and TIF'!$B$11:$B$45,0)),0)*'Loan Sizing'!$I$38*Q169</f>
        <v>2076587.246627531</v>
      </c>
      <c r="R196" s="41">
        <f ca="1">+IFERROR(INDEX('Taxes and TIF'!$M$11:$M$45,MATCH('Phase I Pro Forma'!R$7,'Taxes and TIF'!$B$11:$B$45,0)),0)*'Loan Sizing'!$I$38*R169</f>
        <v>2076587.246627531</v>
      </c>
      <c r="S196" s="41">
        <f ca="1">+IFERROR(INDEX('Taxes and TIF'!$M$11:$M$45,MATCH('Phase I Pro Forma'!S$7,'Taxes and TIF'!$B$11:$B$45,0)),0)*'Loan Sizing'!$I$38*S169</f>
        <v>2118118.991560082</v>
      </c>
      <c r="T196" s="41">
        <f ca="1">+IFERROR(INDEX('Taxes and TIF'!$M$11:$M$45,MATCH('Phase I Pro Forma'!T$7,'Taxes and TIF'!$B$11:$B$45,0)),0)*'Loan Sizing'!$I$38*T169</f>
        <v>2118118.991560082</v>
      </c>
      <c r="U196" s="41">
        <f ca="1">+IFERROR(INDEX('Taxes and TIF'!$M$11:$M$45,MATCH('Phase I Pro Forma'!U$7,'Taxes and TIF'!$B$11:$B$45,0)),0)*'Loan Sizing'!$I$38*U169</f>
        <v>2118118.991560082</v>
      </c>
      <c r="V196" s="41">
        <f ca="1">+IFERROR(INDEX('Taxes and TIF'!$M$11:$M$45,MATCH('Phase I Pro Forma'!V$7,'Taxes and TIF'!$B$11:$B$45,0)),0)*'Loan Sizing'!$I$38*V169</f>
        <v>2160481.3713912833</v>
      </c>
      <c r="W196" s="41">
        <f ca="1">+IFERROR(INDEX('Taxes and TIF'!$M$11:$M$45,MATCH('Phase I Pro Forma'!W$7,'Taxes and TIF'!$B$11:$B$45,0)),0)*'Loan Sizing'!$I$38*W169</f>
        <v>2160481.3713912833</v>
      </c>
      <c r="X196" s="41">
        <f ca="1">+IFERROR(INDEX('Taxes and TIF'!$M$11:$M$45,MATCH('Phase I Pro Forma'!X$7,'Taxes and TIF'!$B$11:$B$45,0)),0)*'Loan Sizing'!$I$38*X169</f>
        <v>2160481.3713912833</v>
      </c>
      <c r="Y196" s="41">
        <f ca="1">+IFERROR(INDEX('Taxes and TIF'!$M$11:$M$45,MATCH('Phase I Pro Forma'!Y$7,'Taxes and TIF'!$B$11:$B$45,0)),0)*'Loan Sizing'!$I$38*Y169</f>
        <v>2203690.9988191086</v>
      </c>
      <c r="Z196" s="41">
        <f ca="1">+IFERROR(INDEX('Taxes and TIF'!$M$11:$M$45,MATCH('Phase I Pro Forma'!Z$7,'Taxes and TIF'!$B$11:$B$45,0)),0)*'Loan Sizing'!$I$38*Z169</f>
        <v>2203690.9988191086</v>
      </c>
    </row>
    <row r="197" spans="2:26" x14ac:dyDescent="0.2">
      <c r="B197" s="63" t="s">
        <v>287</v>
      </c>
      <c r="D197" s="114">
        <f>+'Assumptions and Sensis'!M135</f>
        <v>3.5000000000000003E-2</v>
      </c>
      <c r="E197" s="114"/>
      <c r="F197" s="41">
        <f t="shared" si="356"/>
        <v>0</v>
      </c>
      <c r="G197" s="41">
        <f t="shared" si="354"/>
        <v>0</v>
      </c>
      <c r="H197" s="41">
        <f t="shared" si="354"/>
        <v>0</v>
      </c>
      <c r="I197" s="41">
        <f t="shared" si="354"/>
        <v>325800.2345142446</v>
      </c>
      <c r="J197" s="41">
        <f t="shared" si="354"/>
        <v>722219.95607166237</v>
      </c>
      <c r="K197" s="41">
        <f t="shared" si="354"/>
        <v>753796.62979771988</v>
      </c>
      <c r="L197" s="41">
        <f t="shared" si="354"/>
        <v>768872.56239367439</v>
      </c>
      <c r="M197" s="41">
        <f t="shared" si="354"/>
        <v>784250.01364154776</v>
      </c>
      <c r="N197" s="41">
        <f t="shared" si="354"/>
        <v>799935.01391437894</v>
      </c>
      <c r="O197" s="41">
        <f t="shared" si="354"/>
        <v>815933.71419266646</v>
      </c>
      <c r="P197" s="41">
        <f t="shared" si="354"/>
        <v>832252.38847651985</v>
      </c>
      <c r="Q197" s="41">
        <f t="shared" si="354"/>
        <v>848897.43624605017</v>
      </c>
      <c r="R197" s="41">
        <f t="shared" si="354"/>
        <v>865875.38497097103</v>
      </c>
      <c r="S197" s="41">
        <f t="shared" si="354"/>
        <v>883192.89267039043</v>
      </c>
      <c r="T197" s="41">
        <f t="shared" si="354"/>
        <v>900856.75052379852</v>
      </c>
      <c r="U197" s="41">
        <f t="shared" si="354"/>
        <v>918873.88553427451</v>
      </c>
      <c r="V197" s="41">
        <f t="shared" si="354"/>
        <v>937251.36324495997</v>
      </c>
      <c r="W197" s="41">
        <f t="shared" si="355"/>
        <v>955996.39050985908</v>
      </c>
      <c r="X197" s="41">
        <f t="shared" si="355"/>
        <v>975116.31832005654</v>
      </c>
      <c r="Y197" s="41">
        <f t="shared" si="355"/>
        <v>994618.64468645758</v>
      </c>
      <c r="Z197" s="41">
        <f t="shared" si="355"/>
        <v>1014511.0175801868</v>
      </c>
    </row>
    <row r="198" spans="2:26" x14ac:dyDescent="0.2">
      <c r="B198" s="155" t="s">
        <v>180</v>
      </c>
    </row>
    <row r="199" spans="2:26" x14ac:dyDescent="0.2">
      <c r="B199" s="63" t="s">
        <v>9</v>
      </c>
      <c r="D199" s="114">
        <f>+'Assumptions and Sensis'!M139</f>
        <v>0.4</v>
      </c>
      <c r="E199" s="114"/>
      <c r="F199" s="41">
        <f t="shared" ref="F199:Z199" si="357">F$182*$D199</f>
        <v>0</v>
      </c>
      <c r="G199" s="41">
        <f t="shared" si="357"/>
        <v>0</v>
      </c>
      <c r="H199" s="41">
        <f t="shared" si="357"/>
        <v>0</v>
      </c>
      <c r="I199" s="41">
        <f t="shared" si="357"/>
        <v>0</v>
      </c>
      <c r="J199" s="41">
        <f t="shared" si="357"/>
        <v>0</v>
      </c>
      <c r="K199" s="41">
        <f t="shared" si="357"/>
        <v>0</v>
      </c>
      <c r="L199" s="41">
        <f t="shared" si="357"/>
        <v>0</v>
      </c>
      <c r="M199" s="41">
        <f t="shared" si="357"/>
        <v>0</v>
      </c>
      <c r="N199" s="41">
        <f t="shared" si="357"/>
        <v>0</v>
      </c>
      <c r="O199" s="41">
        <f t="shared" si="357"/>
        <v>0</v>
      </c>
      <c r="P199" s="41">
        <f t="shared" si="357"/>
        <v>0</v>
      </c>
      <c r="Q199" s="41">
        <f t="shared" si="357"/>
        <v>0</v>
      </c>
      <c r="R199" s="41">
        <f t="shared" si="357"/>
        <v>0</v>
      </c>
      <c r="S199" s="41">
        <f t="shared" si="357"/>
        <v>0</v>
      </c>
      <c r="T199" s="41">
        <f t="shared" si="357"/>
        <v>0</v>
      </c>
      <c r="U199" s="41">
        <f t="shared" si="357"/>
        <v>0</v>
      </c>
      <c r="V199" s="41">
        <f t="shared" si="357"/>
        <v>0</v>
      </c>
      <c r="W199" s="41">
        <f t="shared" si="357"/>
        <v>0</v>
      </c>
      <c r="X199" s="41">
        <f t="shared" si="357"/>
        <v>0</v>
      </c>
      <c r="Y199" s="41">
        <f t="shared" si="357"/>
        <v>0</v>
      </c>
      <c r="Z199" s="41">
        <f t="shared" si="357"/>
        <v>0</v>
      </c>
    </row>
    <row r="200" spans="2:26" x14ac:dyDescent="0.2">
      <c r="B200" s="136" t="s">
        <v>313</v>
      </c>
      <c r="C200" s="136"/>
      <c r="D200" s="136"/>
      <c r="E200" s="136"/>
      <c r="F200" s="128">
        <f t="shared" ref="F200:Z200" ca="1" si="358">+SUM(F186:F199)</f>
        <v>0</v>
      </c>
      <c r="G200" s="128">
        <f t="shared" ca="1" si="358"/>
        <v>0</v>
      </c>
      <c r="H200" s="128">
        <f t="shared" ca="1" si="358"/>
        <v>0</v>
      </c>
      <c r="I200" s="128">
        <f t="shared" ca="1" si="358"/>
        <v>6851769.2186931791</v>
      </c>
      <c r="J200" s="128">
        <f t="shared" ca="1" si="358"/>
        <v>14866101.718642816</v>
      </c>
      <c r="K200" s="128">
        <f t="shared" ca="1" si="358"/>
        <v>15387831.258827517</v>
      </c>
      <c r="L200" s="128">
        <f t="shared" ca="1" si="358"/>
        <v>15655668.867344564</v>
      </c>
      <c r="M200" s="128">
        <f t="shared" ca="1" si="358"/>
        <v>15968782.24469145</v>
      </c>
      <c r="N200" s="128">
        <f t="shared" ca="1" si="358"/>
        <v>16247440.492592586</v>
      </c>
      <c r="O200" s="128">
        <f t="shared" ca="1" si="358"/>
        <v>16531671.905451739</v>
      </c>
      <c r="P200" s="128">
        <f t="shared" ca="1" si="358"/>
        <v>16862305.343560778</v>
      </c>
      <c r="Q200" s="128">
        <f t="shared" ca="1" si="358"/>
        <v>17158019.705499437</v>
      </c>
      <c r="R200" s="128">
        <f t="shared" ca="1" si="358"/>
        <v>17459648.35467688</v>
      </c>
      <c r="S200" s="128">
        <f t="shared" ca="1" si="358"/>
        <v>17808841.321770411</v>
      </c>
      <c r="T200" s="128">
        <f t="shared" ca="1" si="358"/>
        <v>18122655.768374626</v>
      </c>
      <c r="U200" s="128">
        <f t="shared" ca="1" si="358"/>
        <v>18442746.503910918</v>
      </c>
      <c r="V200" s="128">
        <f t="shared" ca="1" si="358"/>
        <v>18811601.433989134</v>
      </c>
      <c r="W200" s="128">
        <f t="shared" ca="1" si="358"/>
        <v>19144623.835241094</v>
      </c>
      <c r="X200" s="128">
        <f t="shared" ca="1" si="358"/>
        <v>19484306.684518091</v>
      </c>
      <c r="Y200" s="128">
        <f t="shared" ca="1" si="358"/>
        <v>19873992.818208449</v>
      </c>
      <c r="Z200" s="128">
        <f t="shared" ca="1" si="358"/>
        <v>20227398.854596239</v>
      </c>
    </row>
    <row r="202" spans="2:26" x14ac:dyDescent="0.2">
      <c r="B202" s="136" t="s">
        <v>312</v>
      </c>
      <c r="C202" s="136"/>
      <c r="D202" s="136"/>
      <c r="E202" s="136"/>
      <c r="F202" s="128">
        <f t="shared" ref="F202:Z202" ca="1" si="359">+F183-F200</f>
        <v>0</v>
      </c>
      <c r="G202" s="128">
        <f t="shared" ca="1" si="359"/>
        <v>0</v>
      </c>
      <c r="H202" s="128">
        <f t="shared" ca="1" si="359"/>
        <v>0</v>
      </c>
      <c r="I202" s="128">
        <f t="shared" ca="1" si="359"/>
        <v>2456808.9102852372</v>
      </c>
      <c r="J202" s="128">
        <f t="shared" ca="1" si="359"/>
        <v>5768754.1691189632</v>
      </c>
      <c r="K202" s="128">
        <f t="shared" ca="1" si="359"/>
        <v>6149215.3068216201</v>
      </c>
      <c r="L202" s="128">
        <f t="shared" ca="1" si="359"/>
        <v>6312118.6296175588</v>
      </c>
      <c r="M202" s="128">
        <f t="shared" ca="1" si="359"/>
        <v>6438361.002209913</v>
      </c>
      <c r="N202" s="128">
        <f t="shared" ca="1" si="359"/>
        <v>6607845.6192468088</v>
      </c>
      <c r="O202" s="128">
        <f t="shared" ca="1" si="359"/>
        <v>6780719.9286244418</v>
      </c>
      <c r="P202" s="128">
        <f t="shared" ca="1" si="359"/>
        <v>6916334.3271969296</v>
      </c>
      <c r="Q202" s="128">
        <f t="shared" ca="1" si="359"/>
        <v>7096192.758673422</v>
      </c>
      <c r="R202" s="128">
        <f t="shared" ca="1" si="359"/>
        <v>7279648.3587794341</v>
      </c>
      <c r="S202" s="128">
        <f t="shared" ca="1" si="359"/>
        <v>7425241.3259550259</v>
      </c>
      <c r="T202" s="128">
        <f t="shared" ca="1" si="359"/>
        <v>7616108.53230533</v>
      </c>
      <c r="U202" s="128">
        <f t="shared" ca="1" si="359"/>
        <v>7810793.0827826373</v>
      </c>
      <c r="V202" s="128">
        <f t="shared" ca="1" si="359"/>
        <v>7967008.9444382899</v>
      </c>
      <c r="W202" s="128">
        <f t="shared" ca="1" si="359"/>
        <v>8169558.7507548779</v>
      </c>
      <c r="X202" s="128">
        <f t="shared" ca="1" si="359"/>
        <v>8376159.5531978086</v>
      </c>
      <c r="Y202" s="128">
        <f t="shared" ca="1" si="359"/>
        <v>8543682.744261764</v>
      </c>
      <c r="Z202" s="128">
        <f t="shared" ca="1" si="359"/>
        <v>8758630.2191233821</v>
      </c>
    </row>
    <row r="204" spans="2:26" x14ac:dyDescent="0.2">
      <c r="B204" s="155" t="s">
        <v>83</v>
      </c>
    </row>
    <row r="205" spans="2:26" x14ac:dyDescent="0.2">
      <c r="B205" s="63" t="s">
        <v>288</v>
      </c>
      <c r="D205" s="114">
        <f>+'Assumptions and Sensis'!M137</f>
        <v>0.03</v>
      </c>
      <c r="E205" s="114"/>
      <c r="F205" s="41">
        <f t="shared" ref="F205:Z205" si="360">F$180*$D205</f>
        <v>0</v>
      </c>
      <c r="G205" s="41">
        <f t="shared" si="360"/>
        <v>0</v>
      </c>
      <c r="H205" s="41">
        <f t="shared" si="360"/>
        <v>0</v>
      </c>
      <c r="I205" s="41">
        <f t="shared" si="360"/>
        <v>279257.34386935248</v>
      </c>
      <c r="J205" s="41">
        <f t="shared" si="360"/>
        <v>619045.67663285334</v>
      </c>
      <c r="K205" s="41">
        <f t="shared" si="360"/>
        <v>646111.39696947404</v>
      </c>
      <c r="L205" s="41">
        <f t="shared" si="360"/>
        <v>659033.62490886368</v>
      </c>
      <c r="M205" s="41">
        <f t="shared" si="360"/>
        <v>672214.29740704084</v>
      </c>
      <c r="N205" s="41">
        <f t="shared" si="360"/>
        <v>685658.58335518185</v>
      </c>
      <c r="O205" s="41">
        <f t="shared" si="360"/>
        <v>699371.75502228539</v>
      </c>
      <c r="P205" s="41">
        <f t="shared" si="360"/>
        <v>713359.19012273115</v>
      </c>
      <c r="Q205" s="41">
        <f t="shared" si="360"/>
        <v>727626.37392518576</v>
      </c>
      <c r="R205" s="41">
        <f t="shared" si="360"/>
        <v>742178.90140368941</v>
      </c>
      <c r="S205" s="41">
        <f t="shared" si="360"/>
        <v>757022.47943176306</v>
      </c>
      <c r="T205" s="41">
        <f t="shared" si="360"/>
        <v>772162.92902039865</v>
      </c>
      <c r="U205" s="41">
        <f t="shared" si="360"/>
        <v>787606.18760080659</v>
      </c>
      <c r="V205" s="41">
        <f t="shared" si="360"/>
        <v>803358.3113528227</v>
      </c>
      <c r="W205" s="41">
        <f t="shared" si="360"/>
        <v>819425.47757987911</v>
      </c>
      <c r="X205" s="41">
        <f t="shared" si="360"/>
        <v>835813.98713147698</v>
      </c>
      <c r="Y205" s="41">
        <f t="shared" si="360"/>
        <v>852530.26687410637</v>
      </c>
      <c r="Z205" s="41">
        <f t="shared" si="360"/>
        <v>869580.87221158855</v>
      </c>
    </row>
    <row r="206" spans="2:26" x14ac:dyDescent="0.2">
      <c r="B206" s="137" t="s">
        <v>314</v>
      </c>
      <c r="C206" s="137"/>
      <c r="D206" s="137"/>
      <c r="E206" s="137"/>
      <c r="F206" s="138">
        <f ca="1">+F202-F205</f>
        <v>0</v>
      </c>
      <c r="G206" s="138">
        <f t="shared" ref="G206:Z206" ca="1" si="361">+G202-G205</f>
        <v>0</v>
      </c>
      <c r="H206" s="138">
        <f t="shared" ca="1" si="361"/>
        <v>0</v>
      </c>
      <c r="I206" s="138">
        <f t="shared" ca="1" si="361"/>
        <v>2177551.5664158845</v>
      </c>
      <c r="J206" s="138">
        <f t="shared" ca="1" si="361"/>
        <v>5149708.49248611</v>
      </c>
      <c r="K206" s="138">
        <f t="shared" ca="1" si="361"/>
        <v>5503103.9098521462</v>
      </c>
      <c r="L206" s="138">
        <f t="shared" ca="1" si="361"/>
        <v>5653085.0047086952</v>
      </c>
      <c r="M206" s="138">
        <f t="shared" ca="1" si="361"/>
        <v>5766146.7048028726</v>
      </c>
      <c r="N206" s="138">
        <f t="shared" ca="1" si="361"/>
        <v>5922187.035891627</v>
      </c>
      <c r="O206" s="138">
        <f t="shared" ca="1" si="361"/>
        <v>6081348.1736021563</v>
      </c>
      <c r="P206" s="138">
        <f t="shared" ca="1" si="361"/>
        <v>6202975.1370741986</v>
      </c>
      <c r="Q206" s="138">
        <f t="shared" ca="1" si="361"/>
        <v>6368566.3847482363</v>
      </c>
      <c r="R206" s="138">
        <f t="shared" ca="1" si="361"/>
        <v>6537469.4573757444</v>
      </c>
      <c r="S206" s="138">
        <f t="shared" ca="1" si="361"/>
        <v>6668218.8465232626</v>
      </c>
      <c r="T206" s="138">
        <f t="shared" ca="1" si="361"/>
        <v>6843945.6032849317</v>
      </c>
      <c r="U206" s="138">
        <f t="shared" ca="1" si="361"/>
        <v>7023186.895181831</v>
      </c>
      <c r="V206" s="138">
        <f t="shared" ca="1" si="361"/>
        <v>7163650.6330854669</v>
      </c>
      <c r="W206" s="138">
        <f t="shared" ca="1" si="361"/>
        <v>7350133.2731749993</v>
      </c>
      <c r="X206" s="138">
        <f t="shared" ca="1" si="361"/>
        <v>7540345.5660663312</v>
      </c>
      <c r="Y206" s="138">
        <f t="shared" ca="1" si="361"/>
        <v>7691152.4773876574</v>
      </c>
      <c r="Z206" s="138">
        <f t="shared" ca="1" si="361"/>
        <v>7889049.3469117936</v>
      </c>
    </row>
    <row r="207" spans="2:26" x14ac:dyDescent="0.2">
      <c r="B207" s="142" t="s">
        <v>254</v>
      </c>
      <c r="C207" s="140"/>
      <c r="D207" s="140"/>
      <c r="E207" s="140"/>
      <c r="F207" s="143" t="str">
        <f t="shared" ref="F207:Z207" ca="1" si="362">+IFERROR(F206/F183,"")</f>
        <v/>
      </c>
      <c r="G207" s="143" t="str">
        <f t="shared" ca="1" si="362"/>
        <v/>
      </c>
      <c r="H207" s="143" t="str">
        <f t="shared" ca="1" si="362"/>
        <v/>
      </c>
      <c r="I207" s="143">
        <f t="shared" ca="1" si="362"/>
        <v>0.23392955790283121</v>
      </c>
      <c r="J207" s="143">
        <f t="shared" ca="1" si="362"/>
        <v>0.24956357924168127</v>
      </c>
      <c r="K207" s="143">
        <f t="shared" ca="1" si="362"/>
        <v>0.25551803925750022</v>
      </c>
      <c r="L207" s="143">
        <f t="shared" ca="1" si="362"/>
        <v>0.25733520071106153</v>
      </c>
      <c r="M207" s="143">
        <f t="shared" ca="1" si="362"/>
        <v>0.2573352007110617</v>
      </c>
      <c r="N207" s="143">
        <f t="shared" ca="1" si="362"/>
        <v>0.2591167315478865</v>
      </c>
      <c r="O207" s="143">
        <f t="shared" ca="1" si="362"/>
        <v>0.26086333040751875</v>
      </c>
      <c r="P207" s="143">
        <f t="shared" ca="1" si="362"/>
        <v>0.26086333040751869</v>
      </c>
      <c r="Q207" s="143">
        <f t="shared" ca="1" si="362"/>
        <v>0.26257568223068767</v>
      </c>
      <c r="R207" s="143">
        <f t="shared" ca="1" si="362"/>
        <v>0.26425445852791174</v>
      </c>
      <c r="S207" s="143">
        <f t="shared" ca="1" si="362"/>
        <v>0.26425445852791191</v>
      </c>
      <c r="T207" s="143">
        <f t="shared" ca="1" si="362"/>
        <v>0.26590031764283772</v>
      </c>
      <c r="U207" s="143">
        <f t="shared" ca="1" si="362"/>
        <v>0.267513905010412</v>
      </c>
      <c r="V207" s="143">
        <f t="shared" ca="1" si="362"/>
        <v>0.267513905010412</v>
      </c>
      <c r="W207" s="143">
        <f t="shared" ca="1" si="362"/>
        <v>0.26909585340999459</v>
      </c>
      <c r="X207" s="143">
        <f t="shared" ca="1" si="362"/>
        <v>0.27064678321350716</v>
      </c>
      <c r="Y207" s="143">
        <f t="shared" ca="1" si="362"/>
        <v>0.27064678321350721</v>
      </c>
      <c r="Z207" s="143">
        <f t="shared" ca="1" si="362"/>
        <v>0.27216730262871547</v>
      </c>
    </row>
    <row r="208" spans="2:26" x14ac:dyDescent="0.2">
      <c r="B208" s="142" t="s">
        <v>188</v>
      </c>
      <c r="C208" s="140"/>
      <c r="D208" s="140"/>
      <c r="E208" s="140"/>
      <c r="F208" s="141">
        <f ca="1">+F202/'Assumptions and Sensis'!$N$156</f>
        <v>0</v>
      </c>
      <c r="G208" s="141">
        <f ca="1">+G202/'Assumptions and Sensis'!$N$156</f>
        <v>0</v>
      </c>
      <c r="H208" s="141">
        <f ca="1">+H202/'Assumptions and Sensis'!$N$156</f>
        <v>0</v>
      </c>
      <c r="I208" s="141">
        <f ca="1">+I202/'Assumptions and Sensis'!$N$156</f>
        <v>30710111.378565464</v>
      </c>
      <c r="J208" s="141">
        <f ca="1">+J202/'Assumptions and Sensis'!$N$156</f>
        <v>72109427.113987043</v>
      </c>
      <c r="K208" s="141">
        <f ca="1">+K202/'Assumptions and Sensis'!$N$156</f>
        <v>76865191.335270256</v>
      </c>
      <c r="L208" s="141">
        <f ca="1">+L202/'Assumptions and Sensis'!$N$156</f>
        <v>78901482.870219484</v>
      </c>
      <c r="M208" s="141">
        <f ca="1">+M202/'Assumptions and Sensis'!$N$156</f>
        <v>80479512.527623907</v>
      </c>
      <c r="N208" s="141">
        <f ca="1">+N202/'Assumptions and Sensis'!$N$156</f>
        <v>82598070.240585104</v>
      </c>
      <c r="O208" s="141">
        <f ca="1">+O202/'Assumptions and Sensis'!$N$156</f>
        <v>84758999.10780552</v>
      </c>
      <c r="P208" s="141">
        <f ca="1">+P202/'Assumptions and Sensis'!$N$156</f>
        <v>86454179.089961618</v>
      </c>
      <c r="Q208" s="141">
        <f ca="1">+Q202/'Assumptions and Sensis'!$N$156</f>
        <v>88702409.483417779</v>
      </c>
      <c r="R208" s="141">
        <f ca="1">+R202/'Assumptions and Sensis'!$N$156</f>
        <v>90995604.484742925</v>
      </c>
      <c r="S208" s="141">
        <f ca="1">+S202/'Assumptions and Sensis'!$N$156</f>
        <v>92815516.574437827</v>
      </c>
      <c r="T208" s="141">
        <f ca="1">+T202/'Assumptions and Sensis'!$N$156</f>
        <v>95201356.653816625</v>
      </c>
      <c r="U208" s="141">
        <f ca="1">+U202/'Assumptions and Sensis'!$N$156</f>
        <v>97634913.534782961</v>
      </c>
      <c r="V208" s="141">
        <f ca="1">+V202/'Assumptions and Sensis'!$N$156</f>
        <v>99587611.805478618</v>
      </c>
      <c r="W208" s="141">
        <f ca="1">+W202/'Assumptions and Sensis'!$N$156</f>
        <v>102119484.38443597</v>
      </c>
      <c r="X208" s="141">
        <f ca="1">+X202/'Assumptions and Sensis'!$N$156</f>
        <v>104701994.4149726</v>
      </c>
      <c r="Y208" s="141">
        <f ca="1">+Y202/'Assumptions and Sensis'!$N$156</f>
        <v>106796034.30327205</v>
      </c>
      <c r="Z208" s="141">
        <f ca="1">+Z202/'Assumptions and Sensis'!$N$156</f>
        <v>109482877.73904227</v>
      </c>
    </row>
    <row r="210" spans="2:26" x14ac:dyDescent="0.2">
      <c r="B210" s="147" t="s">
        <v>31</v>
      </c>
      <c r="F210" s="149">
        <f>+'Assumptions and Sensis'!$F$43</f>
        <v>44196</v>
      </c>
      <c r="G210" s="149">
        <f>+EOMONTH(F210,12)</f>
        <v>44561</v>
      </c>
      <c r="H210" s="149">
        <f t="shared" ref="H210:Z210" si="363">+EOMONTH(G210,12)</f>
        <v>44926</v>
      </c>
      <c r="I210" s="149">
        <f t="shared" si="363"/>
        <v>45291</v>
      </c>
      <c r="J210" s="149">
        <f t="shared" si="363"/>
        <v>45657</v>
      </c>
      <c r="K210" s="149">
        <f t="shared" si="363"/>
        <v>46022</v>
      </c>
      <c r="L210" s="149">
        <f t="shared" si="363"/>
        <v>46387</v>
      </c>
      <c r="M210" s="149">
        <f t="shared" si="363"/>
        <v>46752</v>
      </c>
      <c r="N210" s="149">
        <f t="shared" si="363"/>
        <v>47118</v>
      </c>
      <c r="O210" s="149">
        <f t="shared" si="363"/>
        <v>47483</v>
      </c>
      <c r="P210" s="149">
        <f t="shared" si="363"/>
        <v>47848</v>
      </c>
      <c r="Q210" s="149">
        <f t="shared" si="363"/>
        <v>48213</v>
      </c>
      <c r="R210" s="149">
        <f t="shared" si="363"/>
        <v>48579</v>
      </c>
      <c r="S210" s="149">
        <f t="shared" si="363"/>
        <v>48944</v>
      </c>
      <c r="T210" s="149">
        <f t="shared" si="363"/>
        <v>49309</v>
      </c>
      <c r="U210" s="149">
        <f t="shared" si="363"/>
        <v>49674</v>
      </c>
      <c r="V210" s="149">
        <f t="shared" si="363"/>
        <v>50040</v>
      </c>
      <c r="W210" s="149">
        <f t="shared" si="363"/>
        <v>50405</v>
      </c>
      <c r="X210" s="149">
        <f t="shared" si="363"/>
        <v>50770</v>
      </c>
      <c r="Y210" s="149">
        <f t="shared" si="363"/>
        <v>51135</v>
      </c>
      <c r="Z210" s="149">
        <f t="shared" si="363"/>
        <v>51501</v>
      </c>
    </row>
    <row r="211" spans="2:26" x14ac:dyDescent="0.2">
      <c r="B211" s="32" t="s">
        <v>331</v>
      </c>
      <c r="F211" s="33">
        <v>0</v>
      </c>
      <c r="G211" s="33">
        <f t="shared" ref="G211:N211" si="364">+F214</f>
        <v>0</v>
      </c>
      <c r="H211" s="33">
        <f t="shared" si="364"/>
        <v>0</v>
      </c>
      <c r="I211" s="33">
        <f t="shared" si="364"/>
        <v>0</v>
      </c>
      <c r="J211" s="33">
        <f t="shared" ca="1" si="364"/>
        <v>61492153.068216205</v>
      </c>
      <c r="K211" s="33">
        <f t="shared" ca="1" si="364"/>
        <v>61492153.068216205</v>
      </c>
      <c r="L211" s="33">
        <f t="shared" ca="1" si="364"/>
        <v>61492153.068216205</v>
      </c>
      <c r="M211" s="33">
        <f t="shared" ca="1" si="364"/>
        <v>61492153.068216205</v>
      </c>
      <c r="N211" s="33">
        <f t="shared" ca="1" si="364"/>
        <v>61492153.068216205</v>
      </c>
      <c r="O211" s="33">
        <f t="shared" ref="O211:Z211" ca="1" si="365">+N214</f>
        <v>61492153.068216205</v>
      </c>
      <c r="P211" s="33">
        <f t="shared" ca="1" si="365"/>
        <v>61492153.068216205</v>
      </c>
      <c r="Q211" s="33">
        <f t="shared" ca="1" si="365"/>
        <v>61492153.068216205</v>
      </c>
      <c r="R211" s="33">
        <f t="shared" ca="1" si="365"/>
        <v>61492153.068216205</v>
      </c>
      <c r="S211" s="33">
        <f t="shared" ca="1" si="365"/>
        <v>61492153.068216205</v>
      </c>
      <c r="T211" s="33">
        <f t="shared" ca="1" si="365"/>
        <v>61492153.068216205</v>
      </c>
      <c r="U211" s="33">
        <f t="shared" ca="1" si="365"/>
        <v>61492153.068216205</v>
      </c>
      <c r="V211" s="33">
        <f t="shared" ca="1" si="365"/>
        <v>61492153.068216205</v>
      </c>
      <c r="W211" s="33">
        <f t="shared" ca="1" si="365"/>
        <v>61492153.068216205</v>
      </c>
      <c r="X211" s="33">
        <f t="shared" ca="1" si="365"/>
        <v>61492153.068216205</v>
      </c>
      <c r="Y211" s="33">
        <f t="shared" ca="1" si="365"/>
        <v>61492153.068216205</v>
      </c>
      <c r="Z211" s="33">
        <f t="shared" ca="1" si="365"/>
        <v>61492153.068216205</v>
      </c>
    </row>
    <row r="212" spans="2:26" x14ac:dyDescent="0.2">
      <c r="B212" s="32" t="s">
        <v>342</v>
      </c>
      <c r="F212" s="150">
        <f>+IF(YEAR(F$140)=YEAR('Assumptions and Sensis'!$F$47),'S&amp;U'!$R$18,0)</f>
        <v>0</v>
      </c>
      <c r="G212" s="150">
        <f>+IF(YEAR(G$140)=YEAR('Assumptions and Sensis'!$F$47),'S&amp;U'!$R$18,0)</f>
        <v>0</v>
      </c>
      <c r="H212" s="150">
        <f>+IF(YEAR(H$140)=YEAR('Assumptions and Sensis'!$F$47),'S&amp;U'!$R$18,0)</f>
        <v>0</v>
      </c>
      <c r="I212" s="150">
        <f ca="1">+IF(YEAR(I$140)=YEAR('Assumptions and Sensis'!$F$47),'S&amp;U'!$R$18,0)</f>
        <v>61492153.068216205</v>
      </c>
      <c r="J212" s="150">
        <f>+IF(YEAR(J$140)=YEAR('Assumptions and Sensis'!$F$47),'S&amp;U'!$R$18,0)</f>
        <v>0</v>
      </c>
      <c r="K212" s="150">
        <f>+IF(YEAR(K$140)=YEAR('Assumptions and Sensis'!$F$47),'S&amp;U'!$R$18,0)</f>
        <v>0</v>
      </c>
      <c r="L212" s="150">
        <f>+IF(YEAR(L$140)=YEAR('Assumptions and Sensis'!$F$47),'S&amp;U'!$R$18,0)</f>
        <v>0</v>
      </c>
      <c r="M212" s="150">
        <f>+IF(YEAR(M$140)=YEAR('Assumptions and Sensis'!$F$47),'S&amp;U'!$R$18,0)</f>
        <v>0</v>
      </c>
      <c r="N212" s="150">
        <f>+IF(YEAR(N$140)=YEAR('Assumptions and Sensis'!$F$47),'S&amp;U'!$R$18,0)</f>
        <v>0</v>
      </c>
      <c r="O212" s="150">
        <f>+IF(YEAR(O$140)=YEAR('Assumptions and Sensis'!$F$47),'S&amp;U'!$R$18,0)</f>
        <v>0</v>
      </c>
      <c r="P212" s="150">
        <f>+IF(YEAR(P$140)=YEAR('Assumptions and Sensis'!$F$47),'S&amp;U'!$R$18,0)</f>
        <v>0</v>
      </c>
      <c r="Q212" s="150">
        <f>+IF(YEAR(Q$140)=YEAR('Assumptions and Sensis'!$F$47),'S&amp;U'!$R$18,0)</f>
        <v>0</v>
      </c>
      <c r="R212" s="150">
        <f>+IF(YEAR(R$140)=YEAR('Assumptions and Sensis'!$F$47),'S&amp;U'!$R$18,0)</f>
        <v>0</v>
      </c>
      <c r="S212" s="150">
        <f>+IF(YEAR(S$140)=YEAR('Assumptions and Sensis'!$F$47),'S&amp;U'!$R$18,0)</f>
        <v>0</v>
      </c>
      <c r="T212" s="150">
        <f>+IF(YEAR(T$140)=YEAR('Assumptions and Sensis'!$F$47),'S&amp;U'!$R$18,0)</f>
        <v>0</v>
      </c>
      <c r="U212" s="150">
        <f>+IF(YEAR(U$140)=YEAR('Assumptions and Sensis'!$F$47),'S&amp;U'!$R$18,0)</f>
        <v>0</v>
      </c>
      <c r="V212" s="150">
        <f>+IF(YEAR(V$140)=YEAR('Assumptions and Sensis'!$F$47),'S&amp;U'!$R$18,0)</f>
        <v>0</v>
      </c>
      <c r="W212" s="150">
        <f>+IF(YEAR(W$140)=YEAR('Assumptions and Sensis'!$F$47),'S&amp;U'!$R$18,0)</f>
        <v>0</v>
      </c>
      <c r="X212" s="150">
        <f>+IF(YEAR(X$140)=YEAR('Assumptions and Sensis'!$F$47),'S&amp;U'!$R$18,0)</f>
        <v>0</v>
      </c>
      <c r="Y212" s="150">
        <f>+IF(YEAR(Y$140)=YEAR('Assumptions and Sensis'!$F$47),'S&amp;U'!$R$18,0)</f>
        <v>0</v>
      </c>
      <c r="Z212" s="150">
        <f>+IF(YEAR(Z$140)=YEAR('Assumptions and Sensis'!$F$47),'S&amp;U'!$R$18,0)</f>
        <v>0</v>
      </c>
    </row>
    <row r="213" spans="2:26" x14ac:dyDescent="0.2">
      <c r="B213" s="32" t="s">
        <v>162</v>
      </c>
      <c r="F213" s="150">
        <v>0</v>
      </c>
      <c r="G213" s="150">
        <v>0</v>
      </c>
      <c r="H213" s="150">
        <v>0</v>
      </c>
      <c r="I213" s="150">
        <v>0</v>
      </c>
      <c r="J213" s="150">
        <v>0</v>
      </c>
      <c r="K213" s="150">
        <v>0</v>
      </c>
      <c r="L213" s="150">
        <v>0</v>
      </c>
      <c r="M213" s="150">
        <v>0</v>
      </c>
      <c r="N213" s="150">
        <v>0</v>
      </c>
      <c r="O213" s="150">
        <v>0</v>
      </c>
      <c r="P213" s="150">
        <v>0</v>
      </c>
      <c r="Q213" s="150">
        <v>0</v>
      </c>
      <c r="R213" s="150">
        <v>0</v>
      </c>
      <c r="S213" s="150">
        <v>0</v>
      </c>
      <c r="T213" s="150">
        <v>0</v>
      </c>
      <c r="U213" s="150">
        <v>0</v>
      </c>
      <c r="V213" s="150">
        <v>0</v>
      </c>
      <c r="W213" s="150">
        <v>0</v>
      </c>
      <c r="X213" s="150">
        <v>0</v>
      </c>
      <c r="Y213" s="150">
        <v>0</v>
      </c>
      <c r="Z213" s="150">
        <v>0</v>
      </c>
    </row>
    <row r="214" spans="2:26" x14ac:dyDescent="0.2">
      <c r="B214" s="32" t="s">
        <v>333</v>
      </c>
      <c r="F214" s="150">
        <f t="shared" ref="F214:N214" si="366">+SUM(F211:F213)</f>
        <v>0</v>
      </c>
      <c r="G214" s="150">
        <f t="shared" si="366"/>
        <v>0</v>
      </c>
      <c r="H214" s="150">
        <f t="shared" si="366"/>
        <v>0</v>
      </c>
      <c r="I214" s="150">
        <f t="shared" ca="1" si="366"/>
        <v>61492153.068216205</v>
      </c>
      <c r="J214" s="150">
        <f t="shared" ca="1" si="366"/>
        <v>61492153.068216205</v>
      </c>
      <c r="K214" s="150">
        <f t="shared" ca="1" si="366"/>
        <v>61492153.068216205</v>
      </c>
      <c r="L214" s="150">
        <f t="shared" ca="1" si="366"/>
        <v>61492153.068216205</v>
      </c>
      <c r="M214" s="150">
        <f t="shared" ca="1" si="366"/>
        <v>61492153.068216205</v>
      </c>
      <c r="N214" s="150">
        <f t="shared" ca="1" si="366"/>
        <v>61492153.068216205</v>
      </c>
      <c r="O214" s="150">
        <f t="shared" ref="O214" ca="1" si="367">+SUM(O211:O213)</f>
        <v>61492153.068216205</v>
      </c>
      <c r="P214" s="150">
        <f t="shared" ref="P214" ca="1" si="368">+SUM(P211:P213)</f>
        <v>61492153.068216205</v>
      </c>
      <c r="Q214" s="150">
        <f t="shared" ref="Q214" ca="1" si="369">+SUM(Q211:Q213)</f>
        <v>61492153.068216205</v>
      </c>
      <c r="R214" s="150">
        <f t="shared" ref="R214" ca="1" si="370">+SUM(R211:R213)</f>
        <v>61492153.068216205</v>
      </c>
      <c r="S214" s="150">
        <f t="shared" ref="S214" ca="1" si="371">+SUM(S211:S213)</f>
        <v>61492153.068216205</v>
      </c>
      <c r="T214" s="150">
        <f t="shared" ref="T214" ca="1" si="372">+SUM(T211:T213)</f>
        <v>61492153.068216205</v>
      </c>
      <c r="U214" s="150">
        <f t="shared" ref="U214" ca="1" si="373">+SUM(U211:U213)</f>
        <v>61492153.068216205</v>
      </c>
      <c r="V214" s="150">
        <f t="shared" ref="V214" ca="1" si="374">+SUM(V211:V213)</f>
        <v>61492153.068216205</v>
      </c>
      <c r="W214" s="150">
        <f t="shared" ref="W214" ca="1" si="375">+SUM(W211:W213)</f>
        <v>61492153.068216205</v>
      </c>
      <c r="X214" s="150">
        <f t="shared" ref="X214" ca="1" si="376">+SUM(X211:X213)</f>
        <v>61492153.068216205</v>
      </c>
      <c r="Y214" s="150">
        <f t="shared" ref="Y214" ca="1" si="377">+SUM(Y211:Y213)</f>
        <v>61492153.068216205</v>
      </c>
      <c r="Z214" s="150">
        <f t="shared" ref="Z214" ca="1" si="378">+SUM(Z211:Z213)</f>
        <v>61492153.068216205</v>
      </c>
    </row>
    <row r="216" spans="2:26" x14ac:dyDescent="0.2">
      <c r="B216" s="40" t="s">
        <v>332</v>
      </c>
      <c r="F216" s="33">
        <f>+F214*'Assumptions and Sensis'!$N$184</f>
        <v>0</v>
      </c>
      <c r="G216" s="33">
        <f>+G214*'Assumptions and Sensis'!$N$184</f>
        <v>0</v>
      </c>
      <c r="H216" s="33">
        <f>+H214*'Assumptions and Sensis'!$N$184</f>
        <v>0</v>
      </c>
      <c r="I216" s="33">
        <f ca="1">+I214*'Assumptions and Sensis'!$N$184</f>
        <v>3689529.184092972</v>
      </c>
      <c r="J216" s="33">
        <f ca="1">+J214*'Assumptions and Sensis'!$N$184</f>
        <v>3689529.184092972</v>
      </c>
      <c r="K216" s="33">
        <f ca="1">+K214*'Assumptions and Sensis'!$N$184</f>
        <v>3689529.184092972</v>
      </c>
      <c r="L216" s="33">
        <f ca="1">+L214*'Assumptions and Sensis'!$N$184</f>
        <v>3689529.184092972</v>
      </c>
      <c r="M216" s="33">
        <f ca="1">+M214*'Assumptions and Sensis'!$N$184</f>
        <v>3689529.184092972</v>
      </c>
      <c r="N216" s="33">
        <f ca="1">+N214*'Assumptions and Sensis'!$N$184</f>
        <v>3689529.184092972</v>
      </c>
      <c r="O216" s="33">
        <f ca="1">+O214*'Assumptions and Sensis'!$N$184</f>
        <v>3689529.184092972</v>
      </c>
      <c r="P216" s="33">
        <f ca="1">+P214*'Assumptions and Sensis'!$N$184</f>
        <v>3689529.184092972</v>
      </c>
      <c r="Q216" s="33">
        <f ca="1">+Q214*'Assumptions and Sensis'!$N$184</f>
        <v>3689529.184092972</v>
      </c>
      <c r="R216" s="33">
        <f ca="1">+R214*'Assumptions and Sensis'!$N$184</f>
        <v>3689529.184092972</v>
      </c>
      <c r="S216" s="33">
        <f ca="1">+S214*'Assumptions and Sensis'!$N$184</f>
        <v>3689529.184092972</v>
      </c>
      <c r="T216" s="33">
        <f ca="1">+T214*'Assumptions and Sensis'!$N$184</f>
        <v>3689529.184092972</v>
      </c>
      <c r="U216" s="33">
        <f ca="1">+U214*'Assumptions and Sensis'!$N$184</f>
        <v>3689529.184092972</v>
      </c>
      <c r="V216" s="33">
        <f ca="1">+V214*'Assumptions and Sensis'!$N$184</f>
        <v>3689529.184092972</v>
      </c>
      <c r="W216" s="33">
        <f ca="1">+W214*'Assumptions and Sensis'!$N$184</f>
        <v>3689529.184092972</v>
      </c>
      <c r="X216" s="33">
        <f ca="1">+X214*'Assumptions and Sensis'!$N$184</f>
        <v>3689529.184092972</v>
      </c>
      <c r="Y216" s="33">
        <f ca="1">+Y214*'Assumptions and Sensis'!$N$184</f>
        <v>3689529.184092972</v>
      </c>
      <c r="Z216" s="33">
        <f ca="1">+Z214*'Assumptions and Sensis'!$N$184</f>
        <v>3689529.184092972</v>
      </c>
    </row>
    <row r="217" spans="2:26" x14ac:dyDescent="0.2">
      <c r="B217" s="136" t="s">
        <v>341</v>
      </c>
      <c r="C217" s="136"/>
      <c r="D217" s="136"/>
      <c r="E217" s="136"/>
      <c r="F217" s="128">
        <f t="shared" ref="F217" si="379">+F216-F213</f>
        <v>0</v>
      </c>
      <c r="G217" s="128">
        <f t="shared" ref="G217" si="380">+G216-G213</f>
        <v>0</v>
      </c>
      <c r="H217" s="128">
        <f t="shared" ref="H217" si="381">+H216-H213</f>
        <v>0</v>
      </c>
      <c r="I217" s="128">
        <f t="shared" ref="I217" ca="1" si="382">+I216-I213</f>
        <v>3689529.184092972</v>
      </c>
      <c r="J217" s="128">
        <f t="shared" ref="J217" ca="1" si="383">+J216-J213</f>
        <v>3689529.184092972</v>
      </c>
      <c r="K217" s="128">
        <f t="shared" ref="K217" ca="1" si="384">+K216-K213</f>
        <v>3689529.184092972</v>
      </c>
      <c r="L217" s="128">
        <f ca="1">+L216-L213</f>
        <v>3689529.184092972</v>
      </c>
      <c r="M217" s="128">
        <f t="shared" ref="M217" ca="1" si="385">+M216-M213</f>
        <v>3689529.184092972</v>
      </c>
      <c r="N217" s="128">
        <f t="shared" ref="N217" ca="1" si="386">+N216-N213</f>
        <v>3689529.184092972</v>
      </c>
      <c r="O217" s="128">
        <f t="shared" ref="O217" ca="1" si="387">+O216-O213</f>
        <v>3689529.184092972</v>
      </c>
      <c r="P217" s="128">
        <f t="shared" ref="P217" ca="1" si="388">+P216-P213</f>
        <v>3689529.184092972</v>
      </c>
      <c r="Q217" s="128">
        <f t="shared" ref="Q217" ca="1" si="389">+Q216-Q213</f>
        <v>3689529.184092972</v>
      </c>
      <c r="R217" s="128">
        <f t="shared" ref="R217" ca="1" si="390">+R216-R213</f>
        <v>3689529.184092972</v>
      </c>
      <c r="S217" s="128">
        <f t="shared" ref="S217" ca="1" si="391">+S216-S213</f>
        <v>3689529.184092972</v>
      </c>
      <c r="T217" s="128">
        <f t="shared" ref="T217" ca="1" si="392">+T216-T213</f>
        <v>3689529.184092972</v>
      </c>
      <c r="U217" s="128">
        <f t="shared" ref="U217" ca="1" si="393">+U216-U213</f>
        <v>3689529.184092972</v>
      </c>
      <c r="V217" s="128">
        <f t="shared" ref="V217" ca="1" si="394">+V216-V213</f>
        <v>3689529.184092972</v>
      </c>
      <c r="W217" s="128">
        <f t="shared" ref="W217" ca="1" si="395">+W216-W213</f>
        <v>3689529.184092972</v>
      </c>
      <c r="X217" s="128">
        <f t="shared" ref="X217" ca="1" si="396">+X216-X213</f>
        <v>3689529.184092972</v>
      </c>
      <c r="Y217" s="128">
        <f t="shared" ref="Y217" ca="1" si="397">+Y216-Y213</f>
        <v>3689529.184092972</v>
      </c>
      <c r="Z217" s="128">
        <f t="shared" ref="Z217" ca="1" si="398">+Z216-Z213</f>
        <v>3689529.184092972</v>
      </c>
    </row>
    <row r="218" spans="2:26" x14ac:dyDescent="0.2">
      <c r="B218" s="145" t="s">
        <v>181</v>
      </c>
      <c r="F218" s="178" t="str">
        <f t="shared" ref="F218:J218" ca="1" si="399">+IFERROR(F206/F217,"")</f>
        <v/>
      </c>
      <c r="G218" s="178" t="str">
        <f t="shared" ca="1" si="399"/>
        <v/>
      </c>
      <c r="H218" s="178" t="str">
        <f t="shared" ca="1" si="399"/>
        <v/>
      </c>
      <c r="I218" s="178">
        <f t="shared" ca="1" si="399"/>
        <v>0.59019768045315257</v>
      </c>
      <c r="J218" s="178">
        <f t="shared" ca="1" si="399"/>
        <v>1.3957630460516621</v>
      </c>
      <c r="K218" s="178">
        <f ca="1">+IFERROR(K206/K217,"")</f>
        <v>1.491546383093598</v>
      </c>
      <c r="L218" s="178">
        <f t="shared" ref="L218:Z218" ca="1" si="400">+IFERROR(L206/L217,"")</f>
        <v>1.5321968529430241</v>
      </c>
      <c r="M218" s="178">
        <f t="shared" ca="1" si="400"/>
        <v>1.5628407900018855</v>
      </c>
      <c r="N218" s="178">
        <f t="shared" ca="1" si="400"/>
        <v>1.6051335388332286</v>
      </c>
      <c r="O218" s="178">
        <f t="shared" ca="1" si="400"/>
        <v>1.6482721426411986</v>
      </c>
      <c r="P218" s="178">
        <f t="shared" ca="1" si="400"/>
        <v>1.6812375854940225</v>
      </c>
      <c r="Q218" s="178">
        <f t="shared" ca="1" si="400"/>
        <v>1.726118988895835</v>
      </c>
      <c r="R218" s="178">
        <f t="shared" ca="1" si="400"/>
        <v>1.7718980203656813</v>
      </c>
      <c r="S218" s="178">
        <f t="shared" ca="1" si="400"/>
        <v>1.8073359807729958</v>
      </c>
      <c r="T218" s="178">
        <f t="shared" ca="1" si="400"/>
        <v>1.8549644851142264</v>
      </c>
      <c r="U218" s="178">
        <f t="shared" ca="1" si="400"/>
        <v>1.9035455595422808</v>
      </c>
      <c r="V218" s="178">
        <f t="shared" ca="1" si="400"/>
        <v>1.9416164707331263</v>
      </c>
      <c r="W218" s="178">
        <f t="shared" ca="1" si="400"/>
        <v>1.9921602205680735</v>
      </c>
      <c r="X218" s="178">
        <f t="shared" ca="1" si="400"/>
        <v>2.0437148453997223</v>
      </c>
      <c r="Y218" s="178">
        <f t="shared" ca="1" si="400"/>
        <v>2.0845891423077165</v>
      </c>
      <c r="Z218" s="178">
        <f t="shared" ca="1" si="400"/>
        <v>2.1382265739825623</v>
      </c>
    </row>
    <row r="220" spans="2:26" x14ac:dyDescent="0.2">
      <c r="B220" s="40" t="s">
        <v>156</v>
      </c>
      <c r="F220" s="33">
        <f>+F212*'Assumptions and Sensis'!$N$185</f>
        <v>0</v>
      </c>
      <c r="G220" s="33">
        <f>+G212*'Assumptions and Sensis'!$N$185</f>
        <v>0</v>
      </c>
      <c r="H220" s="33">
        <f>+H212*'Assumptions and Sensis'!$N$185</f>
        <v>0</v>
      </c>
      <c r="I220" s="33">
        <f ca="1">+I212*'Assumptions and Sensis'!$N$185</f>
        <v>614921.53068216203</v>
      </c>
      <c r="J220" s="33">
        <f>+J212*'Assumptions and Sensis'!$N$185</f>
        <v>0</v>
      </c>
      <c r="K220" s="33">
        <f>+K212*'Assumptions and Sensis'!$N$185</f>
        <v>0</v>
      </c>
      <c r="L220" s="33">
        <f>+L212*'Assumptions and Sensis'!$N$185</f>
        <v>0</v>
      </c>
      <c r="M220" s="33">
        <f>+M212*'Assumptions and Sensis'!$N$185</f>
        <v>0</v>
      </c>
      <c r="N220" s="33">
        <f>+N212*'Assumptions and Sensis'!$N$185</f>
        <v>0</v>
      </c>
      <c r="O220" s="33">
        <f>+O212*'Assumptions and Sensis'!$N$185</f>
        <v>0</v>
      </c>
      <c r="P220" s="33">
        <f>+P212*'Assumptions and Sensis'!$N$185</f>
        <v>0</v>
      </c>
      <c r="Q220" s="33">
        <f>+Q212*'Assumptions and Sensis'!$N$185</f>
        <v>0</v>
      </c>
      <c r="R220" s="33">
        <f>+R212*'Assumptions and Sensis'!$N$185</f>
        <v>0</v>
      </c>
      <c r="S220" s="33">
        <f>+S212*'Assumptions and Sensis'!$N$185</f>
        <v>0</v>
      </c>
      <c r="T220" s="33">
        <f>+T212*'Assumptions and Sensis'!$N$185</f>
        <v>0</v>
      </c>
      <c r="U220" s="33">
        <f>+U212*'Assumptions and Sensis'!$N$185</f>
        <v>0</v>
      </c>
      <c r="V220" s="33">
        <f>+V212*'Assumptions and Sensis'!$N$185</f>
        <v>0</v>
      </c>
      <c r="W220" s="33">
        <f>+W212*'Assumptions and Sensis'!$N$185</f>
        <v>0</v>
      </c>
      <c r="X220" s="33">
        <f>+X212*'Assumptions and Sensis'!$N$185</f>
        <v>0</v>
      </c>
      <c r="Y220" s="33">
        <f>+Y212*'Assumptions and Sensis'!$N$185</f>
        <v>0</v>
      </c>
      <c r="Z220" s="33">
        <f>+Z212*'Assumptions and Sensis'!$N$185</f>
        <v>0</v>
      </c>
    </row>
    <row r="222" spans="2:26" x14ac:dyDescent="0.2">
      <c r="B222" s="136" t="s">
        <v>334</v>
      </c>
      <c r="C222" s="136"/>
      <c r="D222" s="136"/>
      <c r="E222" s="136"/>
      <c r="F222" s="128">
        <f ca="1">+F206-F217-F220</f>
        <v>0</v>
      </c>
      <c r="G222" s="128">
        <f t="shared" ref="G222:Z222" ca="1" si="401">+G206-G217-G220</f>
        <v>0</v>
      </c>
      <c r="H222" s="128">
        <f t="shared" ca="1" si="401"/>
        <v>0</v>
      </c>
      <c r="I222" s="128">
        <f t="shared" ca="1" si="401"/>
        <v>-2126899.1483592493</v>
      </c>
      <c r="J222" s="128">
        <f t="shared" ca="1" si="401"/>
        <v>1460179.308393138</v>
      </c>
      <c r="K222" s="128">
        <f t="shared" ca="1" si="401"/>
        <v>1813574.7257591742</v>
      </c>
      <c r="L222" s="128">
        <f t="shared" ca="1" si="401"/>
        <v>1963555.8206157233</v>
      </c>
      <c r="M222" s="128">
        <f t="shared" ca="1" si="401"/>
        <v>2076617.5207099007</v>
      </c>
      <c r="N222" s="128">
        <f t="shared" ca="1" si="401"/>
        <v>2232657.851798655</v>
      </c>
      <c r="O222" s="128">
        <f t="shared" ca="1" si="401"/>
        <v>2391818.9895091844</v>
      </c>
      <c r="P222" s="128">
        <f t="shared" ca="1" si="401"/>
        <v>2513445.9529812266</v>
      </c>
      <c r="Q222" s="128">
        <f t="shared" ca="1" si="401"/>
        <v>2679037.2006552643</v>
      </c>
      <c r="R222" s="128">
        <f t="shared" ca="1" si="401"/>
        <v>2847940.2732827724</v>
      </c>
      <c r="S222" s="128">
        <f t="shared" ca="1" si="401"/>
        <v>2978689.6624302906</v>
      </c>
      <c r="T222" s="128">
        <f t="shared" ca="1" si="401"/>
        <v>3154416.4191919598</v>
      </c>
      <c r="U222" s="128">
        <f t="shared" ca="1" si="401"/>
        <v>3333657.711088859</v>
      </c>
      <c r="V222" s="128">
        <f t="shared" ca="1" si="401"/>
        <v>3474121.448992495</v>
      </c>
      <c r="W222" s="128">
        <f t="shared" ca="1" si="401"/>
        <v>3660604.0890820273</v>
      </c>
      <c r="X222" s="128">
        <f t="shared" ca="1" si="401"/>
        <v>3850816.3819733593</v>
      </c>
      <c r="Y222" s="128">
        <f t="shared" ca="1" si="401"/>
        <v>4001623.2932946854</v>
      </c>
      <c r="Z222" s="128">
        <f t="shared" ca="1" si="401"/>
        <v>4199520.1628188211</v>
      </c>
    </row>
    <row r="224" spans="2:26" x14ac:dyDescent="0.2">
      <c r="B224" s="147" t="s">
        <v>335</v>
      </c>
    </row>
    <row r="225" spans="2:26" x14ac:dyDescent="0.2">
      <c r="B225" s="32" t="s">
        <v>336</v>
      </c>
      <c r="F225" s="33">
        <f>+IF(YEAR(F$140)=YEAR('Assumptions and Sensis'!$F$51),F208,0)</f>
        <v>0</v>
      </c>
      <c r="G225" s="33">
        <f>+IF(YEAR(G$140)=YEAR('Assumptions and Sensis'!$F$51),G208,0)</f>
        <v>0</v>
      </c>
      <c r="H225" s="33">
        <f>+IF(YEAR(H$140)=YEAR('Assumptions and Sensis'!$F$51),H208,0)</f>
        <v>0</v>
      </c>
      <c r="I225" s="33">
        <f>+IF(YEAR(I$140)=YEAR('Assumptions and Sensis'!$F$51),I208,0)</f>
        <v>0</v>
      </c>
      <c r="J225" s="33">
        <f>+IF(YEAR(J$140)=YEAR('Assumptions and Sensis'!$F$51),J208,0)</f>
        <v>0</v>
      </c>
      <c r="K225" s="33">
        <f>+IF(YEAR(K$140)=YEAR('Assumptions and Sensis'!$F$51),K208,0)</f>
        <v>0</v>
      </c>
      <c r="L225" s="33">
        <f>+IF(YEAR(L$140)=YEAR('Assumptions and Sensis'!$F$51),L208,0)</f>
        <v>0</v>
      </c>
      <c r="M225" s="33">
        <f>+IF(YEAR(M$140)=YEAR('Assumptions and Sensis'!$F$51),M208,0)</f>
        <v>0</v>
      </c>
      <c r="N225" s="33">
        <f>+IF(YEAR(N$140)=YEAR('Assumptions and Sensis'!$F$51),N208,0)</f>
        <v>0</v>
      </c>
      <c r="O225" s="33">
        <f>+IF(YEAR(O$140)=YEAR('Assumptions and Sensis'!$F$51),O208,0)</f>
        <v>0</v>
      </c>
      <c r="P225" s="33">
        <f ca="1">+IF(YEAR(P$140)=YEAR('Assumptions and Sensis'!$F$51),P208,0)</f>
        <v>86454179.089961618</v>
      </c>
      <c r="Q225" s="33">
        <f>+IF(YEAR(Q$140)=YEAR('Assumptions and Sensis'!$F$51),Q208,0)</f>
        <v>0</v>
      </c>
      <c r="R225" s="33">
        <f>+IF(YEAR(R$140)=YEAR('Assumptions and Sensis'!$F$51),R208,0)</f>
        <v>0</v>
      </c>
      <c r="S225" s="33">
        <f>+IF(YEAR(S$140)=YEAR('Assumptions and Sensis'!$F$51),S208,0)</f>
        <v>0</v>
      </c>
      <c r="T225" s="33">
        <f>+IF(YEAR(T$140)=YEAR('Assumptions and Sensis'!$F$51),T208,0)</f>
        <v>0</v>
      </c>
      <c r="U225" s="33">
        <f>+IF(YEAR(U$140)=YEAR('Assumptions and Sensis'!$F$51),U208,0)</f>
        <v>0</v>
      </c>
      <c r="V225" s="33">
        <f>+IF(YEAR(V$140)=YEAR('Assumptions and Sensis'!$F$51),V208,0)</f>
        <v>0</v>
      </c>
      <c r="W225" s="33">
        <f>+IF(YEAR(W$140)=YEAR('Assumptions and Sensis'!$F$51),W208,0)</f>
        <v>0</v>
      </c>
      <c r="X225" s="33">
        <f>+IF(YEAR(X$140)=YEAR('Assumptions and Sensis'!$F$51),X208,0)</f>
        <v>0</v>
      </c>
      <c r="Y225" s="33">
        <f>+IF(YEAR(Y$140)=YEAR('Assumptions and Sensis'!$F$51),Y208,0)</f>
        <v>0</v>
      </c>
      <c r="Z225" s="33">
        <f>+IF(YEAR(Z$140)=YEAR('Assumptions and Sensis'!$F$51),Z208,0)</f>
        <v>0</v>
      </c>
    </row>
    <row r="226" spans="2:26" x14ac:dyDescent="0.2">
      <c r="B226" s="32" t="s">
        <v>337</v>
      </c>
      <c r="F226" s="150">
        <f>-F225*'Assumptions and Sensis'!$N$161</f>
        <v>0</v>
      </c>
      <c r="G226" s="150">
        <f>-G225*'Assumptions and Sensis'!$N$161</f>
        <v>0</v>
      </c>
      <c r="H226" s="150">
        <f>-H225*'Assumptions and Sensis'!$N$161</f>
        <v>0</v>
      </c>
      <c r="I226" s="150">
        <f>-I225*'Assumptions and Sensis'!$N$161</f>
        <v>0</v>
      </c>
      <c r="J226" s="150">
        <f>-J225*'Assumptions and Sensis'!$N$161</f>
        <v>0</v>
      </c>
      <c r="K226" s="150">
        <f>-K225*'Assumptions and Sensis'!$N$161</f>
        <v>0</v>
      </c>
      <c r="L226" s="150">
        <f>-L225*'Assumptions and Sensis'!$N$161</f>
        <v>0</v>
      </c>
      <c r="M226" s="150">
        <f>-M225*'Assumptions and Sensis'!$N$161</f>
        <v>0</v>
      </c>
      <c r="N226" s="150">
        <f>-N225*'Assumptions and Sensis'!$N$161</f>
        <v>0</v>
      </c>
      <c r="O226" s="150">
        <f>-O225*'Assumptions and Sensis'!$N$161</f>
        <v>0</v>
      </c>
      <c r="P226" s="150">
        <f ca="1">-P225*'Assumptions and Sensis'!$N$161</f>
        <v>-1729083.5817992324</v>
      </c>
      <c r="Q226" s="150">
        <f>-Q225*'Assumptions and Sensis'!$N$161</f>
        <v>0</v>
      </c>
      <c r="R226" s="150">
        <f>-R225*'Assumptions and Sensis'!$N$161</f>
        <v>0</v>
      </c>
      <c r="S226" s="150">
        <f>-S225*'Assumptions and Sensis'!$N$161</f>
        <v>0</v>
      </c>
      <c r="T226" s="150">
        <f>-T225*'Assumptions and Sensis'!$N$161</f>
        <v>0</v>
      </c>
      <c r="U226" s="150">
        <f>-U225*'Assumptions and Sensis'!$N$161</f>
        <v>0</v>
      </c>
      <c r="V226" s="150">
        <f>-V225*'Assumptions and Sensis'!$N$161</f>
        <v>0</v>
      </c>
      <c r="W226" s="150">
        <f>-W225*'Assumptions and Sensis'!$N$161</f>
        <v>0</v>
      </c>
      <c r="X226" s="150">
        <f>-X225*'Assumptions and Sensis'!$N$161</f>
        <v>0</v>
      </c>
      <c r="Y226" s="150">
        <f>-Y225*'Assumptions and Sensis'!$N$161</f>
        <v>0</v>
      </c>
      <c r="Z226" s="150">
        <f>-Z225*'Assumptions and Sensis'!$N$161</f>
        <v>0</v>
      </c>
    </row>
    <row r="227" spans="2:26" x14ac:dyDescent="0.2">
      <c r="B227" s="32" t="s">
        <v>338</v>
      </c>
      <c r="F227" s="150">
        <f>+IF(YEAR(F$140)=YEAR('Assumptions and Sensis'!$F$51),-F214,0)</f>
        <v>0</v>
      </c>
      <c r="G227" s="150">
        <f>+IF(YEAR(G$140)=YEAR('Assumptions and Sensis'!$F$51),-G214,0)</f>
        <v>0</v>
      </c>
      <c r="H227" s="150">
        <f>+IF(YEAR(H$140)=YEAR('Assumptions and Sensis'!$F$51),-H214,0)</f>
        <v>0</v>
      </c>
      <c r="I227" s="150">
        <f>+IF(YEAR(I$140)=YEAR('Assumptions and Sensis'!$F$51),-I214,0)</f>
        <v>0</v>
      </c>
      <c r="J227" s="150">
        <f>+IF(YEAR(J$140)=YEAR('Assumptions and Sensis'!$F$51),-J214,0)</f>
        <v>0</v>
      </c>
      <c r="K227" s="150">
        <f>+IF(YEAR(K$140)=YEAR('Assumptions and Sensis'!$F$51),-K214,0)</f>
        <v>0</v>
      </c>
      <c r="L227" s="150">
        <f>+IF(YEAR(L$140)=YEAR('Assumptions and Sensis'!$F$51),-L214,0)</f>
        <v>0</v>
      </c>
      <c r="M227" s="150">
        <f>+IF(YEAR(M$140)=YEAR('Assumptions and Sensis'!$F$51),-M214,0)</f>
        <v>0</v>
      </c>
      <c r="N227" s="150">
        <f>+IF(YEAR(N$140)=YEAR('Assumptions and Sensis'!$F$51),-N214,0)</f>
        <v>0</v>
      </c>
      <c r="O227" s="150">
        <f>+IF(YEAR(O$140)=YEAR('Assumptions and Sensis'!$F$51),-O214,0)</f>
        <v>0</v>
      </c>
      <c r="P227" s="150">
        <f ca="1">+IF(YEAR(P$140)=YEAR('Assumptions and Sensis'!$F$51),-P214,0)</f>
        <v>-61492153.068216205</v>
      </c>
      <c r="Q227" s="150">
        <f>+IF(YEAR(Q$140)=YEAR('Assumptions and Sensis'!$F$51),-Q214,0)</f>
        <v>0</v>
      </c>
      <c r="R227" s="150">
        <f>+IF(YEAR(R$140)=YEAR('Assumptions and Sensis'!$F$51),-R214,0)</f>
        <v>0</v>
      </c>
      <c r="S227" s="150">
        <f>+IF(YEAR(S$140)=YEAR('Assumptions and Sensis'!$F$51),-S214,0)</f>
        <v>0</v>
      </c>
      <c r="T227" s="150">
        <f>+IF(YEAR(T$140)=YEAR('Assumptions and Sensis'!$F$51),-T214,0)</f>
        <v>0</v>
      </c>
      <c r="U227" s="150">
        <f>+IF(YEAR(U$140)=YEAR('Assumptions and Sensis'!$F$51),-U214,0)</f>
        <v>0</v>
      </c>
      <c r="V227" s="150">
        <f>+IF(YEAR(V$140)=YEAR('Assumptions and Sensis'!$F$51),-V214,0)</f>
        <v>0</v>
      </c>
      <c r="W227" s="150">
        <f>+IF(YEAR(W$140)=YEAR('Assumptions and Sensis'!$F$51),-W214,0)</f>
        <v>0</v>
      </c>
      <c r="X227" s="150">
        <f>+IF(YEAR(X$140)=YEAR('Assumptions and Sensis'!$F$51),-X214,0)</f>
        <v>0</v>
      </c>
      <c r="Y227" s="150">
        <f>+IF(YEAR(Y$140)=YEAR('Assumptions and Sensis'!$F$51),-Y214,0)</f>
        <v>0</v>
      </c>
      <c r="Z227" s="150">
        <f>+IF(YEAR(Z$140)=YEAR('Assumptions and Sensis'!$F$51),-Z214,0)</f>
        <v>0</v>
      </c>
    </row>
    <row r="228" spans="2:26" x14ac:dyDescent="0.2">
      <c r="B228" s="136" t="s">
        <v>339</v>
      </c>
      <c r="C228" s="136"/>
      <c r="D228" s="136"/>
      <c r="E228" s="136"/>
      <c r="F228" s="128">
        <f t="shared" ref="F228:Z228" si="402">+SUM(F225:F227)</f>
        <v>0</v>
      </c>
      <c r="G228" s="128">
        <f t="shared" si="402"/>
        <v>0</v>
      </c>
      <c r="H228" s="128">
        <f t="shared" si="402"/>
        <v>0</v>
      </c>
      <c r="I228" s="128">
        <f t="shared" si="402"/>
        <v>0</v>
      </c>
      <c r="J228" s="128">
        <f t="shared" si="402"/>
        <v>0</v>
      </c>
      <c r="K228" s="128">
        <f t="shared" si="402"/>
        <v>0</v>
      </c>
      <c r="L228" s="128">
        <f t="shared" si="402"/>
        <v>0</v>
      </c>
      <c r="M228" s="128">
        <f t="shared" si="402"/>
        <v>0</v>
      </c>
      <c r="N228" s="128">
        <f t="shared" si="402"/>
        <v>0</v>
      </c>
      <c r="O228" s="128">
        <f t="shared" si="402"/>
        <v>0</v>
      </c>
      <c r="P228" s="128">
        <f t="shared" ca="1" si="402"/>
        <v>23232942.439946175</v>
      </c>
      <c r="Q228" s="128">
        <f t="shared" si="402"/>
        <v>0</v>
      </c>
      <c r="R228" s="128">
        <f t="shared" si="402"/>
        <v>0</v>
      </c>
      <c r="S228" s="128">
        <f t="shared" si="402"/>
        <v>0</v>
      </c>
      <c r="T228" s="128">
        <f t="shared" si="402"/>
        <v>0</v>
      </c>
      <c r="U228" s="128">
        <f t="shared" si="402"/>
        <v>0</v>
      </c>
      <c r="V228" s="128">
        <f t="shared" si="402"/>
        <v>0</v>
      </c>
      <c r="W228" s="128">
        <f t="shared" si="402"/>
        <v>0</v>
      </c>
      <c r="X228" s="128">
        <f t="shared" si="402"/>
        <v>0</v>
      </c>
      <c r="Y228" s="128">
        <f t="shared" si="402"/>
        <v>0</v>
      </c>
      <c r="Z228" s="128">
        <f t="shared" si="402"/>
        <v>0</v>
      </c>
    </row>
    <row r="230" spans="2:26" x14ac:dyDescent="0.2">
      <c r="B230" s="137" t="s">
        <v>340</v>
      </c>
      <c r="C230" s="137"/>
      <c r="D230" s="137"/>
      <c r="E230" s="137"/>
      <c r="F230" s="138">
        <f ca="1">+IF(YEAR(F$140)&lt;=YEAR('Assumptions and Sensis'!$F$51),'Phase I Pro Forma'!F228+'Phase I Pro Forma'!F222,0)</f>
        <v>0</v>
      </c>
      <c r="G230" s="138">
        <f ca="1">+IF(YEAR(G$140)&lt;=YEAR('Assumptions and Sensis'!$F$51),'Phase I Pro Forma'!G228+'Phase I Pro Forma'!G222,0)</f>
        <v>0</v>
      </c>
      <c r="H230" s="138">
        <f ca="1">+IF(YEAR(H$140)&lt;=YEAR('Assumptions and Sensis'!$F$51),'Phase I Pro Forma'!H228+'Phase I Pro Forma'!H222,0)</f>
        <v>0</v>
      </c>
      <c r="I230" s="138">
        <f ca="1">+IF(YEAR(I$140)&lt;=YEAR('Assumptions and Sensis'!$F$51),'Phase I Pro Forma'!I228+'Phase I Pro Forma'!I222,0)</f>
        <v>-2126899.1483592493</v>
      </c>
      <c r="J230" s="138">
        <f ca="1">+IF(YEAR(J$140)&lt;=YEAR('Assumptions and Sensis'!$F$51),'Phase I Pro Forma'!J228+'Phase I Pro Forma'!J222,0)</f>
        <v>1460179.308393138</v>
      </c>
      <c r="K230" s="138">
        <f ca="1">+IF(YEAR(K$140)&lt;=YEAR('Assumptions and Sensis'!$F$51),'Phase I Pro Forma'!K228+'Phase I Pro Forma'!K222,0)</f>
        <v>1813574.7257591742</v>
      </c>
      <c r="L230" s="138">
        <f ca="1">+IF(YEAR(L$140)&lt;=YEAR('Assumptions and Sensis'!$F$51),'Phase I Pro Forma'!L228+'Phase I Pro Forma'!L222,0)</f>
        <v>1963555.8206157233</v>
      </c>
      <c r="M230" s="138">
        <f ca="1">+IF(YEAR(M$140)&lt;=YEAR('Assumptions and Sensis'!$F$51),'Phase I Pro Forma'!M228+'Phase I Pro Forma'!M222,0)</f>
        <v>2076617.5207099007</v>
      </c>
      <c r="N230" s="138">
        <f ca="1">+IF(YEAR(N$140)&lt;=YEAR('Assumptions and Sensis'!$F$51),'Phase I Pro Forma'!N228+'Phase I Pro Forma'!N222,0)</f>
        <v>2232657.851798655</v>
      </c>
      <c r="O230" s="138">
        <f ca="1">+IF(YEAR(O$140)&lt;=YEAR('Assumptions and Sensis'!$F$51),'Phase I Pro Forma'!O228+'Phase I Pro Forma'!O222,0)</f>
        <v>2391818.9895091844</v>
      </c>
      <c r="P230" s="138">
        <f ca="1">+IF(YEAR(P$140)&lt;=YEAR('Assumptions and Sensis'!$F$51),'Phase I Pro Forma'!P228+'Phase I Pro Forma'!P222,0)</f>
        <v>25746388.392927401</v>
      </c>
      <c r="Q230" s="138">
        <f>+IF(YEAR(Q$140)&lt;=YEAR('Assumptions and Sensis'!$F$51),'Phase I Pro Forma'!Q228+'Phase I Pro Forma'!Q222,0)</f>
        <v>0</v>
      </c>
      <c r="R230" s="138">
        <f>+IF(YEAR(R$140)&lt;=YEAR('Assumptions and Sensis'!$F$51),'Phase I Pro Forma'!R228+'Phase I Pro Forma'!R222,0)</f>
        <v>0</v>
      </c>
      <c r="S230" s="138">
        <f>+IF(YEAR(S$140)&lt;=YEAR('Assumptions and Sensis'!$F$51),'Phase I Pro Forma'!S228+'Phase I Pro Forma'!S222,0)</f>
        <v>0</v>
      </c>
      <c r="T230" s="138">
        <f>+IF(YEAR(T$140)&lt;=YEAR('Assumptions and Sensis'!$F$51),'Phase I Pro Forma'!T228+'Phase I Pro Forma'!T222,0)</f>
        <v>0</v>
      </c>
      <c r="U230" s="138">
        <f>+IF(YEAR(U$140)&lt;=YEAR('Assumptions and Sensis'!$F$51),'Phase I Pro Forma'!U228+'Phase I Pro Forma'!U222,0)</f>
        <v>0</v>
      </c>
      <c r="V230" s="138">
        <f>+IF(YEAR(V$140)&lt;=YEAR('Assumptions and Sensis'!$F$51),'Phase I Pro Forma'!V228+'Phase I Pro Forma'!V222,0)</f>
        <v>0</v>
      </c>
      <c r="W230" s="138">
        <f>+IF(YEAR(W$140)&lt;=YEAR('Assumptions and Sensis'!$F$51),'Phase I Pro Forma'!W228+'Phase I Pro Forma'!W222,0)</f>
        <v>0</v>
      </c>
      <c r="X230" s="138">
        <f>+IF(YEAR(X$140)&lt;=YEAR('Assumptions and Sensis'!$F$51),'Phase I Pro Forma'!X228+'Phase I Pro Forma'!X222,0)</f>
        <v>0</v>
      </c>
      <c r="Y230" s="138">
        <f>+IF(YEAR(Y$140)&lt;=YEAR('Assumptions and Sensis'!$F$51),'Phase I Pro Forma'!Y228+'Phase I Pro Forma'!Y222,0)</f>
        <v>0</v>
      </c>
      <c r="Z230" s="138">
        <f>+IF(YEAR(Z$140)&lt;=YEAR('Assumptions and Sensis'!$F$51),'Phase I Pro Forma'!Z228+'Phase I Pro Forma'!Z222,0)</f>
        <v>0</v>
      </c>
    </row>
    <row r="232" spans="2:26" x14ac:dyDescent="0.2">
      <c r="B232" s="36" t="s">
        <v>769</v>
      </c>
      <c r="C232" s="37"/>
      <c r="D232" s="37"/>
      <c r="E232" s="37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4" spans="2:26" x14ac:dyDescent="0.2">
      <c r="B234" s="147" t="s">
        <v>235</v>
      </c>
      <c r="C234" s="148"/>
      <c r="D234" s="148"/>
      <c r="E234" s="148"/>
      <c r="F234" s="149">
        <f>+'Assumptions and Sensis'!$F$43</f>
        <v>44196</v>
      </c>
      <c r="G234" s="149">
        <f>+EOMONTH(F234,12)</f>
        <v>44561</v>
      </c>
      <c r="H234" s="149">
        <f t="shared" ref="H234:Z234" si="403">+EOMONTH(G234,12)</f>
        <v>44926</v>
      </c>
      <c r="I234" s="149">
        <f t="shared" si="403"/>
        <v>45291</v>
      </c>
      <c r="J234" s="149">
        <f t="shared" si="403"/>
        <v>45657</v>
      </c>
      <c r="K234" s="149">
        <f t="shared" si="403"/>
        <v>46022</v>
      </c>
      <c r="L234" s="149">
        <f t="shared" si="403"/>
        <v>46387</v>
      </c>
      <c r="M234" s="149">
        <f t="shared" si="403"/>
        <v>46752</v>
      </c>
      <c r="N234" s="149">
        <f t="shared" si="403"/>
        <v>47118</v>
      </c>
      <c r="O234" s="149">
        <f t="shared" si="403"/>
        <v>47483</v>
      </c>
      <c r="P234" s="149">
        <f t="shared" si="403"/>
        <v>47848</v>
      </c>
      <c r="Q234" s="149">
        <f t="shared" si="403"/>
        <v>48213</v>
      </c>
      <c r="R234" s="149">
        <f t="shared" si="403"/>
        <v>48579</v>
      </c>
      <c r="S234" s="149">
        <f t="shared" si="403"/>
        <v>48944</v>
      </c>
      <c r="T234" s="149">
        <f t="shared" si="403"/>
        <v>49309</v>
      </c>
      <c r="U234" s="149">
        <f t="shared" si="403"/>
        <v>49674</v>
      </c>
      <c r="V234" s="149">
        <f t="shared" si="403"/>
        <v>50040</v>
      </c>
      <c r="W234" s="149">
        <f t="shared" si="403"/>
        <v>50405</v>
      </c>
      <c r="X234" s="149">
        <f t="shared" si="403"/>
        <v>50770</v>
      </c>
      <c r="Y234" s="149">
        <f t="shared" si="403"/>
        <v>51135</v>
      </c>
      <c r="Z234" s="149">
        <f t="shared" si="403"/>
        <v>51501</v>
      </c>
    </row>
    <row r="235" spans="2:26" x14ac:dyDescent="0.2">
      <c r="B235" s="32" t="s">
        <v>756</v>
      </c>
      <c r="C235" s="32"/>
      <c r="D235" s="39"/>
      <c r="E235" s="39"/>
      <c r="F235" s="41">
        <f>+IF(AND(F234&gt;='Assumptions and Sensis'!$F$47,F234&lt;'Assumptions and Sensis'!$F$49),'Assumptions and Sensis'!$N$241/ROUNDUP(('Assumptions and Sensis'!$F$48/12),0),0)</f>
        <v>0</v>
      </c>
      <c r="G235" s="41">
        <f>+IF(AND(G234&gt;='Assumptions and Sensis'!$F$47,G234&lt;'Assumptions and Sensis'!$F$49),'Assumptions and Sensis'!$N$241/ROUNDUP(('Assumptions and Sensis'!$F$48/12),0),0)</f>
        <v>0</v>
      </c>
      <c r="H235" s="41">
        <f>+IF(AND(H234&gt;='Assumptions and Sensis'!$F$47,H234&lt;'Assumptions and Sensis'!$F$49),'Assumptions and Sensis'!$N$241/ROUNDUP(('Assumptions and Sensis'!$F$48/12),0),0)</f>
        <v>0</v>
      </c>
      <c r="I235" s="41">
        <f>+IF(AND(I234&gt;='Assumptions and Sensis'!$F$47,I234&lt;'Assumptions and Sensis'!$F$49),'Assumptions and Sensis'!$N$241/ROUNDUP(('Assumptions and Sensis'!$F$48/12),0),0)</f>
        <v>4.9999999999999998E-7</v>
      </c>
      <c r="J235" s="41">
        <f>+IF(AND(J234&gt;='Assumptions and Sensis'!$F$47,J234&lt;'Assumptions and Sensis'!$F$49),'Assumptions and Sensis'!$N$241/ROUNDUP(('Assumptions and Sensis'!$F$48/12),0),0)</f>
        <v>4.9999999999999998E-7</v>
      </c>
      <c r="K235" s="41">
        <f>+IF(AND(K234&gt;='Assumptions and Sensis'!$F$47,K234&lt;'Assumptions and Sensis'!$F$49),'Assumptions and Sensis'!$N$241/ROUNDUP(('Assumptions and Sensis'!$F$48/12),0),0)</f>
        <v>0</v>
      </c>
      <c r="L235" s="41">
        <f>+IF(AND(L234&gt;='Assumptions and Sensis'!$F$47,L234&lt;'Assumptions and Sensis'!$F$49),'Assumptions and Sensis'!$N$241/ROUNDUP(('Assumptions and Sensis'!$F$48/12),0),0)</f>
        <v>0</v>
      </c>
      <c r="M235" s="41">
        <f>+IF(AND(M234&gt;='Assumptions and Sensis'!$F$47,M234&lt;'Assumptions and Sensis'!$F$49),'Assumptions and Sensis'!$N$241/ROUNDUP(('Assumptions and Sensis'!$F$48/12),0),0)</f>
        <v>0</v>
      </c>
      <c r="N235" s="41">
        <f>+IF(AND(N234&gt;='Assumptions and Sensis'!$F$47,N234&lt;'Assumptions and Sensis'!$F$49),'Assumptions and Sensis'!$N$241/ROUNDUP(('Assumptions and Sensis'!$F$48/12),0),0)</f>
        <v>0</v>
      </c>
      <c r="O235" s="41">
        <f>+IF(AND(O234&gt;='Assumptions and Sensis'!$F$47,O234&lt;'Assumptions and Sensis'!$F$49),'Assumptions and Sensis'!$N$241/ROUNDUP(('Assumptions and Sensis'!$F$48/12),0),0)</f>
        <v>0</v>
      </c>
      <c r="P235" s="41">
        <f>+IF(AND(P234&gt;='Assumptions and Sensis'!$F$47,P234&lt;'Assumptions and Sensis'!$F$49),'Assumptions and Sensis'!$N$241/ROUNDUP(('Assumptions and Sensis'!$F$48/12),0),0)</f>
        <v>0</v>
      </c>
      <c r="Q235" s="41">
        <f>+IF(AND(Q234&gt;='Assumptions and Sensis'!$F$47,Q234&lt;'Assumptions and Sensis'!$F$49),'Assumptions and Sensis'!$N$241/ROUNDUP(('Assumptions and Sensis'!$F$48/12),0),0)</f>
        <v>0</v>
      </c>
      <c r="R235" s="41">
        <f>+IF(AND(R234&gt;='Assumptions and Sensis'!$F$47,R234&lt;'Assumptions and Sensis'!$F$49),'Assumptions and Sensis'!$N$241/ROUNDUP(('Assumptions and Sensis'!$F$48/12),0),0)</f>
        <v>0</v>
      </c>
      <c r="S235" s="41">
        <f>+IF(AND(S234&gt;='Assumptions and Sensis'!$F$47,S234&lt;'Assumptions and Sensis'!$F$49),'Assumptions and Sensis'!$N$241/ROUNDUP(('Assumptions and Sensis'!$F$48/12),0),0)</f>
        <v>0</v>
      </c>
      <c r="T235" s="41">
        <f>+IF(AND(T234&gt;='Assumptions and Sensis'!$F$47,T234&lt;'Assumptions and Sensis'!$F$49),'Assumptions and Sensis'!$N$241/ROUNDUP(('Assumptions and Sensis'!$F$48/12),0),0)</f>
        <v>0</v>
      </c>
      <c r="U235" s="41">
        <f>+IF(AND(U234&gt;='Assumptions and Sensis'!$F$47,U234&lt;'Assumptions and Sensis'!$F$49),'Assumptions and Sensis'!$N$241/ROUNDUP(('Assumptions and Sensis'!$F$48/12),0),0)</f>
        <v>0</v>
      </c>
      <c r="V235" s="41">
        <f>+IF(AND(V234&gt;='Assumptions and Sensis'!$F$47,V234&lt;'Assumptions and Sensis'!$F$49),'Assumptions and Sensis'!$N$241/ROUNDUP(('Assumptions and Sensis'!$F$48/12),0),0)</f>
        <v>0</v>
      </c>
      <c r="W235" s="41">
        <f>+IF(AND(W234&gt;='Assumptions and Sensis'!$F$47,W234&lt;'Assumptions and Sensis'!$F$49),'Assumptions and Sensis'!$N$241/ROUNDUP(('Assumptions and Sensis'!$F$48/12),0),0)</f>
        <v>0</v>
      </c>
      <c r="X235" s="41">
        <f>+IF(AND(X234&gt;='Assumptions and Sensis'!$F$47,X234&lt;'Assumptions and Sensis'!$F$49),'Assumptions and Sensis'!$N$241/ROUNDUP(('Assumptions and Sensis'!$F$48/12),0),0)</f>
        <v>0</v>
      </c>
      <c r="Y235" s="41">
        <f>+IF(AND(Y234&gt;='Assumptions and Sensis'!$F$47,Y234&lt;'Assumptions and Sensis'!$F$49),'Assumptions and Sensis'!$N$241/ROUNDUP(('Assumptions and Sensis'!$F$48/12),0),0)</f>
        <v>0</v>
      </c>
      <c r="Z235" s="41">
        <f>+IF(AND(Z234&gt;='Assumptions and Sensis'!$F$47,Z234&lt;'Assumptions and Sensis'!$F$49),'Assumptions and Sensis'!$N$241/ROUNDUP(('Assumptions and Sensis'!$F$48/12),0),0)</f>
        <v>0</v>
      </c>
    </row>
    <row r="236" spans="2:26" x14ac:dyDescent="0.2">
      <c r="B236" s="32" t="s">
        <v>246</v>
      </c>
      <c r="C236" s="32"/>
      <c r="D236" s="41">
        <v>0</v>
      </c>
      <c r="E236" s="41"/>
      <c r="F236" s="41">
        <f>+D236+F235</f>
        <v>0</v>
      </c>
      <c r="G236" s="41">
        <f t="shared" ref="G236" si="404">+F236+G235</f>
        <v>0</v>
      </c>
      <c r="H236" s="41">
        <f t="shared" ref="H236" si="405">+G236+H235</f>
        <v>0</v>
      </c>
      <c r="I236" s="41">
        <f t="shared" ref="I236" si="406">+H236+I235</f>
        <v>4.9999999999999998E-7</v>
      </c>
      <c r="J236" s="41">
        <f t="shared" ref="J236" si="407">+I236+J235</f>
        <v>9.9999999999999995E-7</v>
      </c>
      <c r="K236" s="41">
        <f t="shared" ref="K236" si="408">+J236+K235</f>
        <v>9.9999999999999995E-7</v>
      </c>
      <c r="L236" s="41">
        <f t="shared" ref="L236" si="409">+K236+L235</f>
        <v>9.9999999999999995E-7</v>
      </c>
      <c r="M236" s="41">
        <f t="shared" ref="M236" si="410">+L236+M235</f>
        <v>9.9999999999999995E-7</v>
      </c>
      <c r="N236" s="41">
        <f t="shared" ref="N236" si="411">+M236+N235</f>
        <v>9.9999999999999995E-7</v>
      </c>
      <c r="O236" s="41">
        <f t="shared" ref="O236" si="412">+N236+O235</f>
        <v>9.9999999999999995E-7</v>
      </c>
      <c r="P236" s="41">
        <f t="shared" ref="P236" si="413">+O236+P235</f>
        <v>9.9999999999999995E-7</v>
      </c>
      <c r="Q236" s="41">
        <f t="shared" ref="Q236" si="414">+P236+Q235</f>
        <v>9.9999999999999995E-7</v>
      </c>
      <c r="R236" s="41">
        <f t="shared" ref="R236" si="415">+Q236+R235</f>
        <v>9.9999999999999995E-7</v>
      </c>
      <c r="S236" s="41">
        <f t="shared" ref="S236" si="416">+R236+S235</f>
        <v>9.9999999999999995E-7</v>
      </c>
      <c r="T236" s="41">
        <f t="shared" ref="T236" si="417">+S236+T235</f>
        <v>9.9999999999999995E-7</v>
      </c>
      <c r="U236" s="41">
        <f t="shared" ref="U236" si="418">+T236+U235</f>
        <v>9.9999999999999995E-7</v>
      </c>
      <c r="V236" s="41">
        <f t="shared" ref="V236" si="419">+U236+V235</f>
        <v>9.9999999999999995E-7</v>
      </c>
      <c r="W236" s="41">
        <f t="shared" ref="W236" si="420">+V236+W235</f>
        <v>9.9999999999999995E-7</v>
      </c>
      <c r="X236" s="41">
        <f t="shared" ref="X236" si="421">+W236+X235</f>
        <v>9.9999999999999995E-7</v>
      </c>
      <c r="Y236" s="41">
        <f t="shared" ref="Y236" si="422">+X236+Y235</f>
        <v>9.9999999999999995E-7</v>
      </c>
      <c r="Z236" s="41">
        <f t="shared" ref="Z236" si="423">+Y236+Z235</f>
        <v>9.9999999999999995E-7</v>
      </c>
    </row>
    <row r="237" spans="2:26" x14ac:dyDescent="0.2">
      <c r="B237" s="32" t="s">
        <v>301</v>
      </c>
      <c r="C237" s="32"/>
      <c r="D237" s="41"/>
      <c r="E237" s="41"/>
      <c r="F237" s="107">
        <f t="shared" ref="F237:Z237" si="424">+F236/SUM($F235:$Z235)</f>
        <v>0</v>
      </c>
      <c r="G237" s="107">
        <f t="shared" si="424"/>
        <v>0</v>
      </c>
      <c r="H237" s="107">
        <f t="shared" si="424"/>
        <v>0</v>
      </c>
      <c r="I237" s="107">
        <f t="shared" si="424"/>
        <v>0.5</v>
      </c>
      <c r="J237" s="107">
        <f t="shared" si="424"/>
        <v>1</v>
      </c>
      <c r="K237" s="107">
        <f t="shared" si="424"/>
        <v>1</v>
      </c>
      <c r="L237" s="107">
        <f t="shared" si="424"/>
        <v>1</v>
      </c>
      <c r="M237" s="107">
        <f t="shared" si="424"/>
        <v>1</v>
      </c>
      <c r="N237" s="107">
        <f t="shared" si="424"/>
        <v>1</v>
      </c>
      <c r="O237" s="107">
        <f t="shared" si="424"/>
        <v>1</v>
      </c>
      <c r="P237" s="107">
        <f t="shared" si="424"/>
        <v>1</v>
      </c>
      <c r="Q237" s="107">
        <f t="shared" si="424"/>
        <v>1</v>
      </c>
      <c r="R237" s="107">
        <f t="shared" si="424"/>
        <v>1</v>
      </c>
      <c r="S237" s="107">
        <f t="shared" si="424"/>
        <v>1</v>
      </c>
      <c r="T237" s="107">
        <f t="shared" si="424"/>
        <v>1</v>
      </c>
      <c r="U237" s="107">
        <f t="shared" si="424"/>
        <v>1</v>
      </c>
      <c r="V237" s="107">
        <f t="shared" si="424"/>
        <v>1</v>
      </c>
      <c r="W237" s="107">
        <f t="shared" si="424"/>
        <v>1</v>
      </c>
      <c r="X237" s="107">
        <f t="shared" si="424"/>
        <v>1</v>
      </c>
      <c r="Y237" s="107">
        <f t="shared" si="424"/>
        <v>1</v>
      </c>
      <c r="Z237" s="107">
        <f t="shared" si="424"/>
        <v>1</v>
      </c>
    </row>
    <row r="238" spans="2:26" x14ac:dyDescent="0.2">
      <c r="B238" s="32"/>
      <c r="C238" s="32"/>
      <c r="D238" s="39"/>
      <c r="E238" s="39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2:26" x14ac:dyDescent="0.2">
      <c r="B239" s="32" t="s">
        <v>251</v>
      </c>
      <c r="C239" s="32"/>
      <c r="D239" s="41"/>
      <c r="E239" s="41"/>
      <c r="F239" s="107">
        <v>1</v>
      </c>
      <c r="G239" s="107">
        <f>+IF(MOD(G$2,'Assumptions and Sensis'!$N$95)=('Assumptions and Sensis'!$N$95-1),F239*(1+'Assumptions and Sensis'!$N$94),'Phase I Pro Forma'!F239)</f>
        <v>1</v>
      </c>
      <c r="H239" s="107">
        <f>+IF(MOD(H$2,'Assumptions and Sensis'!$N$95)=('Assumptions and Sensis'!$N$95-1),G239*(1+'Assumptions and Sensis'!$N$94),'Phase I Pro Forma'!G239)</f>
        <v>1</v>
      </c>
      <c r="I239" s="107">
        <f>+IF(MOD(I$2,'Assumptions and Sensis'!$N$95)=('Assumptions and Sensis'!$N$95-1),H239*(1+'Assumptions and Sensis'!$N$94),'Phase I Pro Forma'!H239)</f>
        <v>1</v>
      </c>
      <c r="J239" s="107">
        <f>+IF(MOD(J$2,'Assumptions and Sensis'!$N$95)=('Assumptions and Sensis'!$N$95-1),I239*(1+'Assumptions and Sensis'!$N$94),'Phase I Pro Forma'!I239)</f>
        <v>1</v>
      </c>
      <c r="K239" s="107">
        <f>+IF(MOD(K$2,'Assumptions and Sensis'!$N$95)=('Assumptions and Sensis'!$N$95-1),J239*(1+'Assumptions and Sensis'!$N$94),'Phase I Pro Forma'!J239)</f>
        <v>1</v>
      </c>
      <c r="L239" s="107">
        <f>+IF(MOD(L$2,'Assumptions and Sensis'!$N$95)=('Assumptions and Sensis'!$N$95-1),K239*(1+'Assumptions and Sensis'!$N$94),'Phase I Pro Forma'!K239)</f>
        <v>1.1000000000000001</v>
      </c>
      <c r="M239" s="107">
        <f>+IF(MOD(M$2,'Assumptions and Sensis'!$N$95)=('Assumptions and Sensis'!$N$95-1),L239*(1+'Assumptions and Sensis'!$N$94),'Phase I Pro Forma'!L239)</f>
        <v>1.1000000000000001</v>
      </c>
      <c r="N239" s="107">
        <f>+IF(MOD(N$2,'Assumptions and Sensis'!$N$95)=('Assumptions and Sensis'!$N$95-1),M239*(1+'Assumptions and Sensis'!$N$94),'Phase I Pro Forma'!M239)</f>
        <v>1.1000000000000001</v>
      </c>
      <c r="O239" s="107">
        <f>+IF(MOD(O$2,'Assumptions and Sensis'!$N$95)=('Assumptions and Sensis'!$N$95-1),N239*(1+'Assumptions and Sensis'!$N$94),'Phase I Pro Forma'!N239)</f>
        <v>1.1000000000000001</v>
      </c>
      <c r="P239" s="107">
        <f>+IF(MOD(P$2,'Assumptions and Sensis'!$N$95)=('Assumptions and Sensis'!$N$95-1),O239*(1+'Assumptions and Sensis'!$N$94),'Phase I Pro Forma'!O239)</f>
        <v>1.1000000000000001</v>
      </c>
      <c r="Q239" s="107">
        <f>+IF(MOD(Q$2,'Assumptions and Sensis'!$N$95)=('Assumptions and Sensis'!$N$95-1),P239*(1+'Assumptions and Sensis'!$N$94),'Phase I Pro Forma'!P239)</f>
        <v>1.2100000000000002</v>
      </c>
      <c r="R239" s="107">
        <f>+IF(MOD(R$2,'Assumptions and Sensis'!$N$95)=('Assumptions and Sensis'!$N$95-1),Q239*(1+'Assumptions and Sensis'!$N$94),'Phase I Pro Forma'!Q239)</f>
        <v>1.2100000000000002</v>
      </c>
      <c r="S239" s="107">
        <f>+IF(MOD(S$2,'Assumptions and Sensis'!$N$95)=('Assumptions and Sensis'!$N$95-1),R239*(1+'Assumptions and Sensis'!$N$94),'Phase I Pro Forma'!R239)</f>
        <v>1.2100000000000002</v>
      </c>
      <c r="T239" s="107">
        <f>+IF(MOD(T$2,'Assumptions and Sensis'!$N$95)=('Assumptions and Sensis'!$N$95-1),S239*(1+'Assumptions and Sensis'!$N$94),'Phase I Pro Forma'!S239)</f>
        <v>1.2100000000000002</v>
      </c>
      <c r="U239" s="107">
        <f>+IF(MOD(U$2,'Assumptions and Sensis'!$N$95)=('Assumptions and Sensis'!$N$95-1),T239*(1+'Assumptions and Sensis'!$N$94),'Phase I Pro Forma'!T239)</f>
        <v>1.2100000000000002</v>
      </c>
      <c r="V239" s="107">
        <f>+IF(MOD(V$2,'Assumptions and Sensis'!$N$95)=('Assumptions and Sensis'!$N$95-1),U239*(1+'Assumptions and Sensis'!$N$94),'Phase I Pro Forma'!U239)</f>
        <v>1.3310000000000004</v>
      </c>
      <c r="W239" s="107">
        <f>+IF(MOD(W$2,'Assumptions and Sensis'!$N$95)=('Assumptions and Sensis'!$N$95-1),V239*(1+'Assumptions and Sensis'!$N$94),'Phase I Pro Forma'!V239)</f>
        <v>1.3310000000000004</v>
      </c>
      <c r="X239" s="107">
        <f>+IF(MOD(X$2,'Assumptions and Sensis'!$N$95)=('Assumptions and Sensis'!$N$95-1),W239*(1+'Assumptions and Sensis'!$N$94),'Phase I Pro Forma'!W239)</f>
        <v>1.3310000000000004</v>
      </c>
      <c r="Y239" s="107">
        <f>+IF(MOD(Y$2,'Assumptions and Sensis'!$N$95)=('Assumptions and Sensis'!$N$95-1),X239*(1+'Assumptions and Sensis'!$N$94),'Phase I Pro Forma'!X239)</f>
        <v>1.3310000000000004</v>
      </c>
      <c r="Z239" s="107">
        <f>+IF(MOD(Z$2,'Assumptions and Sensis'!$N$95)=('Assumptions and Sensis'!$N$95-1),Y239*(1+'Assumptions and Sensis'!$N$94),'Phase I Pro Forma'!Y239)</f>
        <v>1.3310000000000004</v>
      </c>
    </row>
    <row r="240" spans="2:26" x14ac:dyDescent="0.2">
      <c r="B240" s="32" t="s">
        <v>252</v>
      </c>
      <c r="C240" s="32"/>
      <c r="D240" s="41"/>
      <c r="E240" s="41"/>
      <c r="F240" s="107">
        <v>1</v>
      </c>
      <c r="G240" s="107">
        <f>+F240*(1+'Assumptions and Sensis'!$N$103)</f>
        <v>1.03</v>
      </c>
      <c r="H240" s="107">
        <f>+G240*(1+'Assumptions and Sensis'!$N$103)</f>
        <v>1.0609</v>
      </c>
      <c r="I240" s="107">
        <f>+H240*(1+'Assumptions and Sensis'!$N$103)</f>
        <v>1.092727</v>
      </c>
      <c r="J240" s="107">
        <f>+I240*(1+'Assumptions and Sensis'!$N$103)</f>
        <v>1.1255088100000001</v>
      </c>
      <c r="K240" s="107">
        <f>+J240*(1+'Assumptions and Sensis'!$N$103)</f>
        <v>1.1592740743000001</v>
      </c>
      <c r="L240" s="107">
        <f>+K240*(1+'Assumptions and Sensis'!$N$103)</f>
        <v>1.1940522965290001</v>
      </c>
      <c r="M240" s="107">
        <f>+L240*(1+'Assumptions and Sensis'!$N$103)</f>
        <v>1.2298738654248702</v>
      </c>
      <c r="N240" s="107">
        <f>+M240*(1+'Assumptions and Sensis'!$N$103)</f>
        <v>1.2667700813876164</v>
      </c>
      <c r="O240" s="107">
        <f>+N240*(1+'Assumptions and Sensis'!$N$103)</f>
        <v>1.3047731838292449</v>
      </c>
      <c r="P240" s="107">
        <f>+O240*(1+'Assumptions and Sensis'!$N$103)</f>
        <v>1.3439163793441222</v>
      </c>
      <c r="Q240" s="107">
        <f>+P240*(1+'Assumptions and Sensis'!$N$103)</f>
        <v>1.3842338707244459</v>
      </c>
      <c r="R240" s="107">
        <f>+Q240*(1+'Assumptions and Sensis'!$N$103)</f>
        <v>1.4257608868461793</v>
      </c>
      <c r="S240" s="107">
        <f>+R240*(1+'Assumptions and Sensis'!$N$103)</f>
        <v>1.4685337134515648</v>
      </c>
      <c r="T240" s="107">
        <f>+S240*(1+'Assumptions and Sensis'!$N$103)</f>
        <v>1.5125897248551119</v>
      </c>
      <c r="U240" s="107">
        <f>+T240*(1+'Assumptions and Sensis'!$N$103)</f>
        <v>1.5579674166007653</v>
      </c>
      <c r="V240" s="107">
        <f>+U240*(1+'Assumptions and Sensis'!$N$103)</f>
        <v>1.6047064390987884</v>
      </c>
      <c r="W240" s="107">
        <f>+V240*(1+'Assumptions and Sensis'!$N$103)</f>
        <v>1.652847632271752</v>
      </c>
      <c r="X240" s="107">
        <f>+W240*(1+'Assumptions and Sensis'!$N$103)</f>
        <v>1.7024330612399046</v>
      </c>
      <c r="Y240" s="107">
        <f>+X240*(1+'Assumptions and Sensis'!$N$103)</f>
        <v>1.7535060530771018</v>
      </c>
      <c r="Z240" s="107">
        <f>+Y240*(1+'Assumptions and Sensis'!$N$103)</f>
        <v>1.806111234669415</v>
      </c>
    </row>
    <row r="241" spans="2:26" x14ac:dyDescent="0.2">
      <c r="B241" s="32"/>
      <c r="C241" s="32"/>
      <c r="D241" s="39"/>
      <c r="E241" s="39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2:26" x14ac:dyDescent="0.2">
      <c r="B242" s="32" t="s">
        <v>243</v>
      </c>
      <c r="C242" s="32"/>
      <c r="D242" s="39"/>
      <c r="E242" s="39"/>
      <c r="F242" s="33">
        <f>+F237*'Assumptions and Sensis'!$N$240*F239</f>
        <v>0</v>
      </c>
      <c r="G242" s="33">
        <f>+G237*'Assumptions and Sensis'!$N$240*G239</f>
        <v>0</v>
      </c>
      <c r="H242" s="33">
        <f>+H237*'Assumptions and Sensis'!$N$240*H239</f>
        <v>0</v>
      </c>
      <c r="I242" s="33">
        <f>+I237*'Assumptions and Sensis'!$N$240*I239</f>
        <v>6.0000000000000002E-6</v>
      </c>
      <c r="J242" s="33">
        <f>+J237*'Assumptions and Sensis'!$N$240*J239</f>
        <v>1.2E-5</v>
      </c>
      <c r="K242" s="33">
        <f>+K237*'Assumptions and Sensis'!$N$240*K239</f>
        <v>1.2E-5</v>
      </c>
      <c r="L242" s="33">
        <f>+L237*'Assumptions and Sensis'!$N$240*L239</f>
        <v>1.3200000000000001E-5</v>
      </c>
      <c r="M242" s="33">
        <f>+M237*'Assumptions and Sensis'!$N$240*M239</f>
        <v>1.3200000000000001E-5</v>
      </c>
      <c r="N242" s="33">
        <f>+N237*'Assumptions and Sensis'!$N$240*N239</f>
        <v>1.3200000000000001E-5</v>
      </c>
      <c r="O242" s="33">
        <f>+O237*'Assumptions and Sensis'!$N$240*O239</f>
        <v>1.3200000000000001E-5</v>
      </c>
      <c r="P242" s="33">
        <f>+P237*'Assumptions and Sensis'!$N$240*P239</f>
        <v>1.3200000000000001E-5</v>
      </c>
      <c r="Q242" s="33">
        <f>+Q237*'Assumptions and Sensis'!$N$240*Q239</f>
        <v>1.4520000000000003E-5</v>
      </c>
      <c r="R242" s="33">
        <f>+R237*'Assumptions and Sensis'!$N$240*R239</f>
        <v>1.4520000000000003E-5</v>
      </c>
      <c r="S242" s="33">
        <f>+S237*'Assumptions and Sensis'!$N$240*S239</f>
        <v>1.4520000000000003E-5</v>
      </c>
      <c r="T242" s="33">
        <f>+T237*'Assumptions and Sensis'!$N$240*T239</f>
        <v>1.4520000000000003E-5</v>
      </c>
      <c r="U242" s="33">
        <f>+U237*'Assumptions and Sensis'!$N$240*U239</f>
        <v>1.4520000000000003E-5</v>
      </c>
      <c r="V242" s="33">
        <f>+V237*'Assumptions and Sensis'!$N$240*V239</f>
        <v>1.5972000000000006E-5</v>
      </c>
      <c r="W242" s="33">
        <f>+W237*'Assumptions and Sensis'!$N$240*W239</f>
        <v>1.5972000000000006E-5</v>
      </c>
      <c r="X242" s="33">
        <f>+X237*'Assumptions and Sensis'!$N$240*X239</f>
        <v>1.5972000000000006E-5</v>
      </c>
      <c r="Y242" s="33">
        <f>+Y237*'Assumptions and Sensis'!$N$240*Y239</f>
        <v>1.5972000000000006E-5</v>
      </c>
      <c r="Z242" s="33">
        <f>+Z237*'Assumptions and Sensis'!$N$240*Z239</f>
        <v>1.5972000000000006E-5</v>
      </c>
    </row>
    <row r="243" spans="2:26" x14ac:dyDescent="0.2">
      <c r="B243" s="32" t="s">
        <v>244</v>
      </c>
      <c r="C243" s="32"/>
      <c r="D243" s="39"/>
      <c r="E243" s="39"/>
      <c r="F243" s="41">
        <f>-F242*'Assumptions and Sensis'!$N$80</f>
        <v>0</v>
      </c>
      <c r="G243" s="41">
        <f>-G242*'Assumptions and Sensis'!$N$80</f>
        <v>0</v>
      </c>
      <c r="H243" s="41">
        <f>-H242*'Assumptions and Sensis'!$N$80</f>
        <v>0</v>
      </c>
      <c r="I243" s="41">
        <f>-I242*'Assumptions and Sensis'!$N$80</f>
        <v>-3.5999999999999999E-7</v>
      </c>
      <c r="J243" s="41">
        <f>-J242*'Assumptions and Sensis'!$N$80</f>
        <v>-7.1999999999999999E-7</v>
      </c>
      <c r="K243" s="41">
        <f>-K242*'Assumptions and Sensis'!$N$80</f>
        <v>-7.1999999999999999E-7</v>
      </c>
      <c r="L243" s="41">
        <f>-L242*'Assumptions and Sensis'!$N$80</f>
        <v>-7.92E-7</v>
      </c>
      <c r="M243" s="41">
        <f>-M242*'Assumptions and Sensis'!$N$80</f>
        <v>-7.92E-7</v>
      </c>
      <c r="N243" s="41">
        <f>-N242*'Assumptions and Sensis'!$N$80</f>
        <v>-7.92E-7</v>
      </c>
      <c r="O243" s="41">
        <f>-O242*'Assumptions and Sensis'!$N$80</f>
        <v>-7.92E-7</v>
      </c>
      <c r="P243" s="41">
        <f>-P242*'Assumptions and Sensis'!$N$80</f>
        <v>-7.92E-7</v>
      </c>
      <c r="Q243" s="41">
        <f>-Q242*'Assumptions and Sensis'!$N$80</f>
        <v>-8.7120000000000012E-7</v>
      </c>
      <c r="R243" s="41">
        <f>-R242*'Assumptions and Sensis'!$N$80</f>
        <v>-8.7120000000000012E-7</v>
      </c>
      <c r="S243" s="41">
        <f>-S242*'Assumptions and Sensis'!$N$80</f>
        <v>-8.7120000000000012E-7</v>
      </c>
      <c r="T243" s="41">
        <f>-T242*'Assumptions and Sensis'!$N$80</f>
        <v>-8.7120000000000012E-7</v>
      </c>
      <c r="U243" s="41">
        <f>-U242*'Assumptions and Sensis'!$N$80</f>
        <v>-8.7120000000000012E-7</v>
      </c>
      <c r="V243" s="41">
        <f>-V242*'Assumptions and Sensis'!$N$80</f>
        <v>-9.5832000000000034E-7</v>
      </c>
      <c r="W243" s="41">
        <f>-W242*'Assumptions and Sensis'!$N$80</f>
        <v>-9.5832000000000034E-7</v>
      </c>
      <c r="X243" s="41">
        <f>-X242*'Assumptions and Sensis'!$N$80</f>
        <v>-9.5832000000000034E-7</v>
      </c>
      <c r="Y243" s="41">
        <f>-Y242*'Assumptions and Sensis'!$N$80</f>
        <v>-9.5832000000000034E-7</v>
      </c>
      <c r="Z243" s="41">
        <f>-Z242*'Assumptions and Sensis'!$N$80</f>
        <v>-9.5832000000000034E-7</v>
      </c>
    </row>
    <row r="244" spans="2:26" x14ac:dyDescent="0.2">
      <c r="B244" s="32" t="s">
        <v>259</v>
      </c>
      <c r="C244" s="32"/>
      <c r="D244" s="39"/>
      <c r="E244" s="39"/>
      <c r="F244" s="150">
        <f ca="1">+F249*'Assumptions and Sensis'!$N$114</f>
        <v>0</v>
      </c>
      <c r="G244" s="150">
        <f ca="1">+G249*'Assumptions and Sensis'!$N$114</f>
        <v>0</v>
      </c>
      <c r="H244" s="150">
        <f ca="1">+H249*'Assumptions and Sensis'!$N$114</f>
        <v>0</v>
      </c>
      <c r="I244" s="150">
        <f ca="1">+I249*'Assumptions and Sensis'!$N$114</f>
        <v>3.0982195726315788E-6</v>
      </c>
      <c r="J244" s="150">
        <f ca="1">+J249*'Assumptions and Sensis'!$N$114</f>
        <v>6.3422224681684204E-6</v>
      </c>
      <c r="K244" s="150">
        <f ca="1">+K249*'Assumptions and Sensis'!$N$114</f>
        <v>6.4097529967684209E-6</v>
      </c>
      <c r="L244" s="150">
        <f ca="1">+L249*'Assumptions and Sensis'!$N$114</f>
        <v>6.4793094412264202E-6</v>
      </c>
      <c r="M244" s="150">
        <f ca="1">+M249*'Assumptions and Sensis'!$N$114</f>
        <v>6.6327766759815295E-6</v>
      </c>
      <c r="N244" s="150">
        <f ca="1">+N249*'Assumptions and Sensis'!$N$114</f>
        <v>6.7065691079070217E-6</v>
      </c>
      <c r="O244" s="150">
        <f ca="1">+O249*'Assumptions and Sensis'!$N$114</f>
        <v>6.7825753127902787E-6</v>
      </c>
      <c r="P244" s="150">
        <f ca="1">+P249*'Assumptions and Sensis'!$N$114</f>
        <v>6.9443222827226689E-6</v>
      </c>
      <c r="Q244" s="150">
        <f ca="1">+Q249*'Assumptions and Sensis'!$N$114</f>
        <v>7.0249572654833161E-6</v>
      </c>
      <c r="R244" s="150">
        <f ca="1">+R249*'Assumptions and Sensis'!$N$114</f>
        <v>7.1080112977267832E-6</v>
      </c>
      <c r="S244" s="150">
        <f ca="1">+S249*'Assumptions and Sensis'!$N$114</f>
        <v>7.2786867414182424E-6</v>
      </c>
      <c r="T244" s="150">
        <f ca="1">+T249*'Assumptions and Sensis'!$N$114</f>
        <v>7.3667987642253375E-6</v>
      </c>
      <c r="U244" s="150">
        <f ca="1">+U249*'Assumptions and Sensis'!$N$114</f>
        <v>7.4575541477166443E-6</v>
      </c>
      <c r="V244" s="150">
        <f ca="1">+V249*'Assumptions and Sensis'!$N$114</f>
        <v>7.6378645790029931E-6</v>
      </c>
      <c r="W244" s="150">
        <f ca="1">+W249*'Assumptions and Sensis'!$N$114</f>
        <v>7.7341469653489202E-6</v>
      </c>
      <c r="X244" s="150">
        <f ca="1">+X249*'Assumptions and Sensis'!$N$114</f>
        <v>7.8333178232852248E-6</v>
      </c>
      <c r="Y244" s="150">
        <f ca="1">+Y249*'Assumptions and Sensis'!$N$114</f>
        <v>8.0240328409757272E-6</v>
      </c>
      <c r="Z244" s="150">
        <f ca="1">+Z249*'Assumptions and Sensis'!$N$114</f>
        <v>8.1292432041603523E-6</v>
      </c>
    </row>
    <row r="245" spans="2:26" x14ac:dyDescent="0.2">
      <c r="B245" s="136" t="s">
        <v>253</v>
      </c>
      <c r="C245" s="136"/>
      <c r="D245" s="136"/>
      <c r="E245" s="136"/>
      <c r="F245" s="128">
        <f t="shared" ref="F245:Z245" ca="1" si="425">+SUM(F242:F244)</f>
        <v>0</v>
      </c>
      <c r="G245" s="128">
        <f t="shared" ca="1" si="425"/>
        <v>0</v>
      </c>
      <c r="H245" s="128">
        <f t="shared" ca="1" si="425"/>
        <v>0</v>
      </c>
      <c r="I245" s="128">
        <f t="shared" ca="1" si="425"/>
        <v>8.7382195726315781E-6</v>
      </c>
      <c r="J245" s="128">
        <f t="shared" ca="1" si="425"/>
        <v>1.7622222468168421E-5</v>
      </c>
      <c r="K245" s="128">
        <f t="shared" ca="1" si="425"/>
        <v>1.768975299676842E-5</v>
      </c>
      <c r="L245" s="128">
        <f t="shared" ca="1" si="425"/>
        <v>1.8887309441226421E-5</v>
      </c>
      <c r="M245" s="128">
        <f t="shared" ca="1" si="425"/>
        <v>1.9040776675981532E-5</v>
      </c>
      <c r="N245" s="128">
        <f t="shared" ca="1" si="425"/>
        <v>1.911456910790702E-5</v>
      </c>
      <c r="O245" s="128">
        <f t="shared" ca="1" si="425"/>
        <v>1.9190575312790277E-5</v>
      </c>
      <c r="P245" s="128">
        <f t="shared" ca="1" si="425"/>
        <v>1.9352322282722669E-5</v>
      </c>
      <c r="Q245" s="128">
        <f t="shared" ca="1" si="425"/>
        <v>2.0673757265483322E-5</v>
      </c>
      <c r="R245" s="128">
        <f t="shared" ca="1" si="425"/>
        <v>2.0756811297726786E-5</v>
      </c>
      <c r="S245" s="128">
        <f t="shared" ca="1" si="425"/>
        <v>2.0927486741418246E-5</v>
      </c>
      <c r="T245" s="128">
        <f t="shared" ca="1" si="425"/>
        <v>2.1015598764225343E-5</v>
      </c>
      <c r="U245" s="128">
        <f t="shared" ca="1" si="425"/>
        <v>2.110635414771665E-5</v>
      </c>
      <c r="V245" s="128">
        <f t="shared" ca="1" si="425"/>
        <v>2.2651544579002997E-5</v>
      </c>
      <c r="W245" s="128">
        <f t="shared" ca="1" si="425"/>
        <v>2.2747826965348925E-5</v>
      </c>
      <c r="X245" s="128">
        <f t="shared" ca="1" si="425"/>
        <v>2.2846997823285232E-5</v>
      </c>
      <c r="Y245" s="128">
        <f t="shared" ca="1" si="425"/>
        <v>2.3037712840975731E-5</v>
      </c>
      <c r="Z245" s="128">
        <f t="shared" ca="1" si="425"/>
        <v>2.3142923204160359E-5</v>
      </c>
    </row>
    <row r="247" spans="2:26" x14ac:dyDescent="0.2">
      <c r="B247" s="32" t="s">
        <v>389</v>
      </c>
      <c r="F247" s="33">
        <f>+F236*'Assumptions and Sensis'!$N$148*'Phase I Pro Forma'!F240</f>
        <v>0</v>
      </c>
      <c r="G247" s="33">
        <f>+G236*'Assumptions and Sensis'!$N$148*'Phase I Pro Forma'!G240</f>
        <v>0</v>
      </c>
      <c r="H247" s="33">
        <f>+H236*'Assumptions and Sensis'!$N$148*'Phase I Pro Forma'!H240</f>
        <v>0</v>
      </c>
      <c r="I247" s="33">
        <f>+I236*'Assumptions and Sensis'!$N$148*'Phase I Pro Forma'!I240</f>
        <v>1.092727E-6</v>
      </c>
      <c r="J247" s="33">
        <f>+J236*'Assumptions and Sensis'!$N$148*'Phase I Pro Forma'!J240</f>
        <v>2.2510176200000001E-6</v>
      </c>
      <c r="K247" s="33">
        <f>+K236*'Assumptions and Sensis'!$N$148*'Phase I Pro Forma'!K240</f>
        <v>2.3185481486000001E-6</v>
      </c>
      <c r="L247" s="33">
        <f>+L236*'Assumptions and Sensis'!$N$148*'Phase I Pro Forma'!L240</f>
        <v>2.3881045930580003E-6</v>
      </c>
      <c r="M247" s="33">
        <f>+M236*'Assumptions and Sensis'!$N$148*'Phase I Pro Forma'!M240</f>
        <v>2.4597477308497401E-6</v>
      </c>
      <c r="N247" s="33">
        <f>+N236*'Assumptions and Sensis'!$N$148*'Phase I Pro Forma'!N240</f>
        <v>2.5335401627752327E-6</v>
      </c>
      <c r="O247" s="33">
        <f>+O236*'Assumptions and Sensis'!$N$148*'Phase I Pro Forma'!O240</f>
        <v>2.6095463676584897E-6</v>
      </c>
      <c r="P247" s="33">
        <f>+P236*'Assumptions and Sensis'!$N$148*'Phase I Pro Forma'!P240</f>
        <v>2.6878327586882443E-6</v>
      </c>
      <c r="Q247" s="33">
        <f>+Q236*'Assumptions and Sensis'!$N$148*'Phase I Pro Forma'!Q240</f>
        <v>2.7684677414488919E-6</v>
      </c>
      <c r="R247" s="33">
        <f>+R236*'Assumptions and Sensis'!$N$148*'Phase I Pro Forma'!R240</f>
        <v>2.8515217736923586E-6</v>
      </c>
      <c r="S247" s="33">
        <f>+S236*'Assumptions and Sensis'!$N$148*'Phase I Pro Forma'!S240</f>
        <v>2.9370674269031294E-6</v>
      </c>
      <c r="T247" s="33">
        <f>+T236*'Assumptions and Sensis'!$N$148*'Phase I Pro Forma'!T240</f>
        <v>3.0251794497102237E-6</v>
      </c>
      <c r="U247" s="33">
        <f>+U236*'Assumptions and Sensis'!$N$148*'Phase I Pro Forma'!U240</f>
        <v>3.1159348332015305E-6</v>
      </c>
      <c r="V247" s="33">
        <f>+V236*'Assumptions and Sensis'!$N$148*'Phase I Pro Forma'!V240</f>
        <v>3.2094128781975768E-6</v>
      </c>
      <c r="W247" s="33">
        <f>+W236*'Assumptions and Sensis'!$N$148*'Phase I Pro Forma'!W240</f>
        <v>3.3056952645435039E-6</v>
      </c>
      <c r="X247" s="33">
        <f>+X236*'Assumptions and Sensis'!$N$148*'Phase I Pro Forma'!X240</f>
        <v>3.4048661224798089E-6</v>
      </c>
      <c r="Y247" s="33">
        <f>+Y236*'Assumptions and Sensis'!$N$148*'Phase I Pro Forma'!Y240</f>
        <v>3.5070121061542033E-6</v>
      </c>
      <c r="Z247" s="33">
        <f>+Z236*'Assumptions and Sensis'!$N$148*'Phase I Pro Forma'!Z240</f>
        <v>3.6122224693388301E-6</v>
      </c>
    </row>
    <row r="248" spans="2:26" x14ac:dyDescent="0.2">
      <c r="B248" s="32" t="s">
        <v>325</v>
      </c>
      <c r="F248" s="150">
        <f ca="1">+IFERROR(INDEX('Taxes and TIF'!$M$11:$M$45,MATCH('Phase I Pro Forma'!F$7,'Taxes and TIF'!$B$11:$B$45,0)),0)*'Loan Sizing'!$I$54*F237</f>
        <v>0</v>
      </c>
      <c r="G248" s="150">
        <f ca="1">+IFERROR(INDEX('Taxes and TIF'!$M$11:$M$45,MATCH('Phase I Pro Forma'!G$7,'Taxes and TIF'!$B$11:$B$45,0)),0)*'Loan Sizing'!$I$54*G237</f>
        <v>0</v>
      </c>
      <c r="H248" s="150">
        <f ca="1">+IFERROR(INDEX('Taxes and TIF'!$M$11:$M$45,MATCH('Phase I Pro Forma'!H$7,'Taxes and TIF'!$B$11:$B$45,0)),0)*'Loan Sizing'!$I$54*H237</f>
        <v>0</v>
      </c>
      <c r="I248" s="150">
        <f ca="1">+IFERROR(INDEX('Taxes and TIF'!$M$11:$M$45,MATCH('Phase I Pro Forma'!I$7,'Taxes and TIF'!$B$11:$B$45,0)),0)*'Loan Sizing'!$I$54*I237</f>
        <v>2.0054925726315794E-6</v>
      </c>
      <c r="J248" s="150">
        <f ca="1">+IFERROR(INDEX('Taxes and TIF'!$M$11:$M$45,MATCH('Phase I Pro Forma'!J$7,'Taxes and TIF'!$B$11:$B$45,0)),0)*'Loan Sizing'!$I$54*J237</f>
        <v>4.091204848168422E-6</v>
      </c>
      <c r="K248" s="150">
        <f ca="1">+IFERROR(INDEX('Taxes and TIF'!$M$11:$M$45,MATCH('Phase I Pro Forma'!K$7,'Taxes and TIF'!$B$11:$B$45,0)),0)*'Loan Sizing'!$I$54*K237</f>
        <v>4.091204848168422E-6</v>
      </c>
      <c r="L248" s="150">
        <f ca="1">+IFERROR(INDEX('Taxes and TIF'!$M$11:$M$45,MATCH('Phase I Pro Forma'!L$7,'Taxes and TIF'!$B$11:$B$45,0)),0)*'Loan Sizing'!$I$54*L237</f>
        <v>4.091204848168422E-6</v>
      </c>
      <c r="M248" s="150">
        <f ca="1">+IFERROR(INDEX('Taxes and TIF'!$M$11:$M$45,MATCH('Phase I Pro Forma'!M$7,'Taxes and TIF'!$B$11:$B$45,0)),0)*'Loan Sizing'!$I$54*M237</f>
        <v>4.1730289451317907E-6</v>
      </c>
      <c r="N248" s="150">
        <f ca="1">+IFERROR(INDEX('Taxes and TIF'!$M$11:$M$45,MATCH('Phase I Pro Forma'!N$7,'Taxes and TIF'!$B$11:$B$45,0)),0)*'Loan Sizing'!$I$54*N237</f>
        <v>4.1730289451317907E-6</v>
      </c>
      <c r="O248" s="150">
        <f ca="1">+IFERROR(INDEX('Taxes and TIF'!$M$11:$M$45,MATCH('Phase I Pro Forma'!O$7,'Taxes and TIF'!$B$11:$B$45,0)),0)*'Loan Sizing'!$I$54*O237</f>
        <v>4.1730289451317907E-6</v>
      </c>
      <c r="P248" s="150">
        <f ca="1">+IFERROR(INDEX('Taxes and TIF'!$M$11:$M$45,MATCH('Phase I Pro Forma'!P$7,'Taxes and TIF'!$B$11:$B$45,0)),0)*'Loan Sizing'!$I$54*P237</f>
        <v>4.2564895240344272E-6</v>
      </c>
      <c r="Q248" s="150">
        <f ca="1">+IFERROR(INDEX('Taxes and TIF'!$M$11:$M$45,MATCH('Phase I Pro Forma'!Q$7,'Taxes and TIF'!$B$11:$B$45,0)),0)*'Loan Sizing'!$I$54*Q237</f>
        <v>4.2564895240344272E-6</v>
      </c>
      <c r="R248" s="150">
        <f ca="1">+IFERROR(INDEX('Taxes and TIF'!$M$11:$M$45,MATCH('Phase I Pro Forma'!R$7,'Taxes and TIF'!$B$11:$B$45,0)),0)*'Loan Sizing'!$I$54*R237</f>
        <v>4.2564895240344272E-6</v>
      </c>
      <c r="S248" s="150">
        <f ca="1">+IFERROR(INDEX('Taxes and TIF'!$M$11:$M$45,MATCH('Phase I Pro Forma'!S$7,'Taxes and TIF'!$B$11:$B$45,0)),0)*'Loan Sizing'!$I$54*S237</f>
        <v>4.3416193145151159E-6</v>
      </c>
      <c r="T248" s="150">
        <f ca="1">+IFERROR(INDEX('Taxes and TIF'!$M$11:$M$45,MATCH('Phase I Pro Forma'!T$7,'Taxes and TIF'!$B$11:$B$45,0)),0)*'Loan Sizing'!$I$54*T237</f>
        <v>4.3416193145151159E-6</v>
      </c>
      <c r="U248" s="150">
        <f ca="1">+IFERROR(INDEX('Taxes and TIF'!$M$11:$M$45,MATCH('Phase I Pro Forma'!U$7,'Taxes and TIF'!$B$11:$B$45,0)),0)*'Loan Sizing'!$I$54*U237</f>
        <v>4.3416193145151159E-6</v>
      </c>
      <c r="V248" s="150">
        <f ca="1">+IFERROR(INDEX('Taxes and TIF'!$M$11:$M$45,MATCH('Phase I Pro Forma'!V$7,'Taxes and TIF'!$B$11:$B$45,0)),0)*'Loan Sizing'!$I$54*V237</f>
        <v>4.428451700805418E-6</v>
      </c>
      <c r="W248" s="150">
        <f ca="1">+IFERROR(INDEX('Taxes and TIF'!$M$11:$M$45,MATCH('Phase I Pro Forma'!W$7,'Taxes and TIF'!$B$11:$B$45,0)),0)*'Loan Sizing'!$I$54*W237</f>
        <v>4.428451700805418E-6</v>
      </c>
      <c r="X248" s="150">
        <f ca="1">+IFERROR(INDEX('Taxes and TIF'!$M$11:$M$45,MATCH('Phase I Pro Forma'!X$7,'Taxes and TIF'!$B$11:$B$45,0)),0)*'Loan Sizing'!$I$54*X237</f>
        <v>4.428451700805418E-6</v>
      </c>
      <c r="Y248" s="150">
        <f ca="1">+IFERROR(INDEX('Taxes and TIF'!$M$11:$M$45,MATCH('Phase I Pro Forma'!Y$7,'Taxes and TIF'!$B$11:$B$45,0)),0)*'Loan Sizing'!$I$54*Y237</f>
        <v>4.5170207348215256E-6</v>
      </c>
      <c r="Z248" s="150">
        <f ca="1">+IFERROR(INDEX('Taxes and TIF'!$M$11:$M$45,MATCH('Phase I Pro Forma'!Z$7,'Taxes and TIF'!$B$11:$B$45,0)),0)*'Loan Sizing'!$I$54*Z237</f>
        <v>4.5170207348215256E-6</v>
      </c>
    </row>
    <row r="249" spans="2:26" x14ac:dyDescent="0.2">
      <c r="B249" s="136" t="s">
        <v>249</v>
      </c>
      <c r="C249" s="136"/>
      <c r="D249" s="136"/>
      <c r="E249" s="136"/>
      <c r="F249" s="128">
        <f ca="1">+SUM(F247:F248)</f>
        <v>0</v>
      </c>
      <c r="G249" s="128">
        <f t="shared" ref="G249" ca="1" si="426">+SUM(G247:G248)</f>
        <v>0</v>
      </c>
      <c r="H249" s="128">
        <f t="shared" ref="H249" ca="1" si="427">+SUM(H247:H248)</f>
        <v>0</v>
      </c>
      <c r="I249" s="128">
        <f t="shared" ref="I249" ca="1" si="428">+SUM(I247:I248)</f>
        <v>3.0982195726315796E-6</v>
      </c>
      <c r="J249" s="128">
        <f t="shared" ref="J249" ca="1" si="429">+SUM(J247:J248)</f>
        <v>6.3422224681684221E-6</v>
      </c>
      <c r="K249" s="128">
        <f t="shared" ref="K249" ca="1" si="430">+SUM(K247:K248)</f>
        <v>6.4097529967684226E-6</v>
      </c>
      <c r="L249" s="128">
        <f t="shared" ref="L249" ca="1" si="431">+SUM(L247:L248)</f>
        <v>6.4793094412264219E-6</v>
      </c>
      <c r="M249" s="128">
        <f t="shared" ref="M249" ca="1" si="432">+SUM(M247:M248)</f>
        <v>6.6327766759815312E-6</v>
      </c>
      <c r="N249" s="128">
        <f t="shared" ref="N249" ca="1" si="433">+SUM(N247:N248)</f>
        <v>6.7065691079070234E-6</v>
      </c>
      <c r="O249" s="128">
        <f t="shared" ref="O249" ca="1" si="434">+SUM(O247:O248)</f>
        <v>6.7825753127902804E-6</v>
      </c>
      <c r="P249" s="128">
        <f t="shared" ref="P249" ca="1" si="435">+SUM(P247:P248)</f>
        <v>6.9443222827226715E-6</v>
      </c>
      <c r="Q249" s="128">
        <f t="shared" ref="Q249" ca="1" si="436">+SUM(Q247:Q248)</f>
        <v>7.0249572654833195E-6</v>
      </c>
      <c r="R249" s="128">
        <f t="shared" ref="R249" ca="1" si="437">+SUM(R247:R248)</f>
        <v>7.1080112977267858E-6</v>
      </c>
      <c r="S249" s="128">
        <f t="shared" ref="S249" ca="1" si="438">+SUM(S247:S248)</f>
        <v>7.2786867414182458E-6</v>
      </c>
      <c r="T249" s="128">
        <f t="shared" ref="T249" ca="1" si="439">+SUM(T247:T248)</f>
        <v>7.3667987642253392E-6</v>
      </c>
      <c r="U249" s="128">
        <f t="shared" ref="U249" ca="1" si="440">+SUM(U247:U248)</f>
        <v>7.457554147716646E-6</v>
      </c>
      <c r="V249" s="128">
        <f t="shared" ref="V249" ca="1" si="441">+SUM(V247:V248)</f>
        <v>7.6378645790029948E-6</v>
      </c>
      <c r="W249" s="128">
        <f t="shared" ref="W249" ca="1" si="442">+SUM(W247:W248)</f>
        <v>7.7341469653489219E-6</v>
      </c>
      <c r="X249" s="128">
        <f t="shared" ref="X249" ca="1" si="443">+SUM(X247:X248)</f>
        <v>7.8333178232852265E-6</v>
      </c>
      <c r="Y249" s="128">
        <f t="shared" ref="Y249" ca="1" si="444">+SUM(Y247:Y248)</f>
        <v>8.0240328409757289E-6</v>
      </c>
      <c r="Z249" s="128">
        <f t="shared" ref="Z249" ca="1" si="445">+SUM(Z247:Z248)</f>
        <v>8.1292432041603557E-6</v>
      </c>
    </row>
    <row r="250" spans="2:26" x14ac:dyDescent="0.2">
      <c r="B250" s="32"/>
    </row>
    <row r="251" spans="2:26" x14ac:dyDescent="0.2">
      <c r="B251" s="137" t="s">
        <v>248</v>
      </c>
      <c r="C251" s="137"/>
      <c r="D251" s="137"/>
      <c r="E251" s="137"/>
      <c r="F251" s="138">
        <f ca="1">+F245-F249</f>
        <v>0</v>
      </c>
      <c r="G251" s="138">
        <f t="shared" ref="G251:Z251" ca="1" si="446">+G245-G249</f>
        <v>0</v>
      </c>
      <c r="H251" s="138">
        <f t="shared" ca="1" si="446"/>
        <v>0</v>
      </c>
      <c r="I251" s="138">
        <f t="shared" ca="1" si="446"/>
        <v>5.6399999999999985E-6</v>
      </c>
      <c r="J251" s="138">
        <f t="shared" ca="1" si="446"/>
        <v>1.1279999999999999E-5</v>
      </c>
      <c r="K251" s="138">
        <f t="shared" ca="1" si="446"/>
        <v>1.1279999999999997E-5</v>
      </c>
      <c r="L251" s="138">
        <f t="shared" ca="1" si="446"/>
        <v>1.2407999999999999E-5</v>
      </c>
      <c r="M251" s="138">
        <f t="shared" ca="1" si="446"/>
        <v>1.2408E-5</v>
      </c>
      <c r="N251" s="138">
        <f t="shared" ca="1" si="446"/>
        <v>1.2407999999999997E-5</v>
      </c>
      <c r="O251" s="138">
        <f t="shared" ca="1" si="446"/>
        <v>1.2407999999999997E-5</v>
      </c>
      <c r="P251" s="138">
        <f t="shared" ca="1" si="446"/>
        <v>1.2407999999999997E-5</v>
      </c>
      <c r="Q251" s="138">
        <f t="shared" ca="1" si="446"/>
        <v>1.3648800000000002E-5</v>
      </c>
      <c r="R251" s="138">
        <f t="shared" ca="1" si="446"/>
        <v>1.3648800000000001E-5</v>
      </c>
      <c r="S251" s="138">
        <f t="shared" ca="1" si="446"/>
        <v>1.3648800000000001E-5</v>
      </c>
      <c r="T251" s="138">
        <f t="shared" ca="1" si="446"/>
        <v>1.3648800000000004E-5</v>
      </c>
      <c r="U251" s="138">
        <f t="shared" ca="1" si="446"/>
        <v>1.3648800000000004E-5</v>
      </c>
      <c r="V251" s="138">
        <f t="shared" ca="1" si="446"/>
        <v>1.5013680000000002E-5</v>
      </c>
      <c r="W251" s="138">
        <f t="shared" ca="1" si="446"/>
        <v>1.5013680000000004E-5</v>
      </c>
      <c r="X251" s="138">
        <f t="shared" ca="1" si="446"/>
        <v>1.5013680000000005E-5</v>
      </c>
      <c r="Y251" s="138">
        <f t="shared" ca="1" si="446"/>
        <v>1.5013680000000002E-5</v>
      </c>
      <c r="Z251" s="138">
        <f t="shared" ca="1" si="446"/>
        <v>1.5013680000000004E-5</v>
      </c>
    </row>
    <row r="252" spans="2:26" x14ac:dyDescent="0.2">
      <c r="B252" s="142" t="s">
        <v>254</v>
      </c>
      <c r="C252" s="140"/>
      <c r="D252" s="140"/>
      <c r="E252" s="140"/>
      <c r="F252" s="143" t="str">
        <f ca="1">+IFERROR(F251/F245,"")</f>
        <v/>
      </c>
      <c r="G252" s="143" t="str">
        <f t="shared" ref="G252" ca="1" si="447">+IFERROR(G251/G245,"")</f>
        <v/>
      </c>
      <c r="H252" s="143" t="str">
        <f t="shared" ref="H252" ca="1" si="448">+IFERROR(H251/H245,"")</f>
        <v/>
      </c>
      <c r="I252" s="144">
        <f t="shared" ref="I252" ca="1" si="449">+IFERROR(I251/I245,"")</f>
        <v>0.64544040729586194</v>
      </c>
      <c r="J252" s="144">
        <f t="shared" ref="J252" ca="1" si="450">+IFERROR(J251/J245,"")</f>
        <v>0.64010087379020553</v>
      </c>
      <c r="K252" s="144">
        <f t="shared" ref="K252" ca="1" si="451">+IFERROR(K251/K245,"")</f>
        <v>0.63765729244838176</v>
      </c>
      <c r="L252" s="144">
        <f t="shared" ref="L252" ca="1" si="452">+IFERROR(L251/L245,"")</f>
        <v>0.65694905029280348</v>
      </c>
      <c r="M252" s="144">
        <f t="shared" ref="M252" ca="1" si="453">+IFERROR(M251/M245,"")</f>
        <v>0.65165409012184539</v>
      </c>
      <c r="N252" s="144">
        <f t="shared" ref="N252" ca="1" si="454">+IFERROR(N251/N245,"")</f>
        <v>0.64913835776016771</v>
      </c>
      <c r="O252" s="144">
        <f t="shared" ref="O252" ca="1" si="455">+IFERROR(O251/O245,"")</f>
        <v>0.64656737996438396</v>
      </c>
      <c r="P252" s="144">
        <f t="shared" ref="P252" ca="1" si="456">+IFERROR(P251/P245,"")</f>
        <v>0.64116336110615468</v>
      </c>
      <c r="Q252" s="144">
        <f t="shared" ref="Q252" ca="1" si="457">+IFERROR(Q251/Q245,"")</f>
        <v>0.66019929637018082</v>
      </c>
      <c r="R252" s="144">
        <f t="shared" ref="R252" ca="1" si="458">+IFERROR(R251/R245,"")</f>
        <v>0.65755764718518062</v>
      </c>
      <c r="S252" s="144">
        <f t="shared" ref="S252" ca="1" si="459">+IFERROR(S251/S245,"")</f>
        <v>0.65219489414308085</v>
      </c>
      <c r="T252" s="144">
        <f t="shared" ref="T252" ca="1" si="460">+IFERROR(T251/T245,"")</f>
        <v>0.64946043903513362</v>
      </c>
      <c r="U252" s="144">
        <f t="shared" ref="U252" ca="1" si="461">+IFERROR(U251/U245,"")</f>
        <v>0.64666781882254032</v>
      </c>
      <c r="V252" s="144">
        <f t="shared" ref="V252" ca="1" si="462">+IFERROR(V251/V245,"")</f>
        <v>0.66281042988640315</v>
      </c>
      <c r="W252" s="144">
        <f t="shared" ref="W252" ca="1" si="463">+IFERROR(W251/W245,"")</f>
        <v>0.66000502038589826</v>
      </c>
      <c r="X252" s="144">
        <f t="shared" ref="X252" ca="1" si="464">+IFERROR(X251/X245,"")</f>
        <v>0.65714016853007895</v>
      </c>
      <c r="Y252" s="144">
        <f t="shared" ref="Y252" ca="1" si="465">+IFERROR(Y251/Y245,"")</f>
        <v>0.65170011032067876</v>
      </c>
      <c r="Z252" s="144">
        <f t="shared" ref="Z252" ca="1" si="466">+IFERROR(Z251/Z245,"")</f>
        <v>0.64873740743783925</v>
      </c>
    </row>
    <row r="253" spans="2:26" x14ac:dyDescent="0.2">
      <c r="B253" s="142" t="s">
        <v>188</v>
      </c>
      <c r="C253" s="140"/>
      <c r="D253" s="140"/>
      <c r="E253" s="140"/>
      <c r="F253" s="141">
        <f ca="1">+F251/'Assumptions and Sensis'!$N$159</f>
        <v>0</v>
      </c>
      <c r="G253" s="141">
        <f ca="1">+G251/'Assumptions and Sensis'!$N$159</f>
        <v>0</v>
      </c>
      <c r="H253" s="141">
        <f ca="1">+H251/'Assumptions and Sensis'!$N$159</f>
        <v>0</v>
      </c>
      <c r="I253" s="141">
        <f ca="1">+I251/'Assumptions and Sensis'!$N$159</f>
        <v>1.0254545454545451E-4</v>
      </c>
      <c r="J253" s="141">
        <f ca="1">+J251/'Assumptions and Sensis'!$N$159</f>
        <v>2.0509090909090905E-4</v>
      </c>
      <c r="K253" s="141">
        <f ca="1">+K251/'Assumptions and Sensis'!$N$159</f>
        <v>2.0509090909090903E-4</v>
      </c>
      <c r="L253" s="141">
        <f ca="1">+L251/'Assumptions and Sensis'!$N$159</f>
        <v>2.2559999999999998E-4</v>
      </c>
      <c r="M253" s="141">
        <f ca="1">+M251/'Assumptions and Sensis'!$N$159</f>
        <v>2.2560000000000001E-4</v>
      </c>
      <c r="N253" s="141">
        <f ca="1">+N251/'Assumptions and Sensis'!$N$159</f>
        <v>2.2559999999999995E-4</v>
      </c>
      <c r="O253" s="141">
        <f ca="1">+O251/'Assumptions and Sensis'!$N$159</f>
        <v>2.2559999999999995E-4</v>
      </c>
      <c r="P253" s="141">
        <f ca="1">+P251/'Assumptions and Sensis'!$N$159</f>
        <v>2.2559999999999995E-4</v>
      </c>
      <c r="Q253" s="141">
        <f ca="1">+Q251/'Assumptions and Sensis'!$N$159</f>
        <v>2.4816000000000004E-4</v>
      </c>
      <c r="R253" s="141">
        <f ca="1">+R251/'Assumptions and Sensis'!$N$159</f>
        <v>2.4815999999999998E-4</v>
      </c>
      <c r="S253" s="141">
        <f ca="1">+S251/'Assumptions and Sensis'!$N$159</f>
        <v>2.4815999999999998E-4</v>
      </c>
      <c r="T253" s="141">
        <f ca="1">+T251/'Assumptions and Sensis'!$N$159</f>
        <v>2.4816000000000009E-4</v>
      </c>
      <c r="U253" s="141">
        <f ca="1">+U251/'Assumptions and Sensis'!$N$159</f>
        <v>2.4816000000000009E-4</v>
      </c>
      <c r="V253" s="141">
        <f ca="1">+V251/'Assumptions and Sensis'!$N$159</f>
        <v>2.7297600000000002E-4</v>
      </c>
      <c r="W253" s="141">
        <f ca="1">+W251/'Assumptions and Sensis'!$N$159</f>
        <v>2.7297600000000008E-4</v>
      </c>
      <c r="X253" s="141">
        <f ca="1">+X251/'Assumptions and Sensis'!$N$159</f>
        <v>2.7297600000000008E-4</v>
      </c>
      <c r="Y253" s="141">
        <f ca="1">+Y251/'Assumptions and Sensis'!$N$159</f>
        <v>2.7297600000000002E-4</v>
      </c>
      <c r="Z253" s="141">
        <f ca="1">+Z251/'Assumptions and Sensis'!$N$159</f>
        <v>2.7297600000000008E-4</v>
      </c>
    </row>
    <row r="255" spans="2:26" x14ac:dyDescent="0.2">
      <c r="B255" s="147" t="s">
        <v>31</v>
      </c>
      <c r="F255" s="149">
        <f>+'Assumptions and Sensis'!$F$43</f>
        <v>44196</v>
      </c>
      <c r="G255" s="149">
        <f>+EOMONTH(F255,12)</f>
        <v>44561</v>
      </c>
      <c r="H255" s="149">
        <f t="shared" ref="H255:Z255" si="467">+EOMONTH(G255,12)</f>
        <v>44926</v>
      </c>
      <c r="I255" s="149">
        <f t="shared" si="467"/>
        <v>45291</v>
      </c>
      <c r="J255" s="149">
        <f t="shared" si="467"/>
        <v>45657</v>
      </c>
      <c r="K255" s="149">
        <f t="shared" si="467"/>
        <v>46022</v>
      </c>
      <c r="L255" s="149">
        <f t="shared" si="467"/>
        <v>46387</v>
      </c>
      <c r="M255" s="149">
        <f t="shared" si="467"/>
        <v>46752</v>
      </c>
      <c r="N255" s="149">
        <f t="shared" si="467"/>
        <v>47118</v>
      </c>
      <c r="O255" s="149">
        <f t="shared" si="467"/>
        <v>47483</v>
      </c>
      <c r="P255" s="149">
        <f t="shared" si="467"/>
        <v>47848</v>
      </c>
      <c r="Q255" s="149">
        <f t="shared" si="467"/>
        <v>48213</v>
      </c>
      <c r="R255" s="149">
        <f t="shared" si="467"/>
        <v>48579</v>
      </c>
      <c r="S255" s="149">
        <f t="shared" si="467"/>
        <v>48944</v>
      </c>
      <c r="T255" s="149">
        <f t="shared" si="467"/>
        <v>49309</v>
      </c>
      <c r="U255" s="149">
        <f t="shared" si="467"/>
        <v>49674</v>
      </c>
      <c r="V255" s="149">
        <f t="shared" si="467"/>
        <v>50040</v>
      </c>
      <c r="W255" s="149">
        <f t="shared" si="467"/>
        <v>50405</v>
      </c>
      <c r="X255" s="149">
        <f t="shared" si="467"/>
        <v>50770</v>
      </c>
      <c r="Y255" s="149">
        <f t="shared" si="467"/>
        <v>51135</v>
      </c>
      <c r="Z255" s="149">
        <f t="shared" si="467"/>
        <v>51501</v>
      </c>
    </row>
    <row r="256" spans="2:26" x14ac:dyDescent="0.2">
      <c r="B256" s="32" t="s">
        <v>331</v>
      </c>
      <c r="F256" s="33">
        <v>0</v>
      </c>
      <c r="G256" s="33">
        <f t="shared" ref="G256:N256" si="468">+F259</f>
        <v>0</v>
      </c>
      <c r="H256" s="33">
        <f t="shared" si="468"/>
        <v>0</v>
      </c>
      <c r="I256" s="33">
        <f t="shared" si="468"/>
        <v>0</v>
      </c>
      <c r="J256" s="33">
        <f t="shared" ca="1" si="468"/>
        <v>1.5381818181818186E-4</v>
      </c>
      <c r="K256" s="33">
        <f t="shared" ca="1" si="468"/>
        <v>1.5381818181818178E-4</v>
      </c>
      <c r="L256" s="33">
        <f t="shared" ca="1" si="468"/>
        <v>1.5381818181818186E-4</v>
      </c>
      <c r="M256" s="33">
        <f t="shared" ca="1" si="468"/>
        <v>1.5381818181818178E-4</v>
      </c>
      <c r="N256" s="33">
        <f t="shared" ca="1" si="468"/>
        <v>1.5381818181818186E-4</v>
      </c>
      <c r="O256" s="33">
        <f t="shared" ref="O256:Z256" ca="1" si="469">+N259</f>
        <v>1.5381818181818178E-4</v>
      </c>
      <c r="P256" s="33">
        <f t="shared" ca="1" si="469"/>
        <v>1.5381818181818186E-4</v>
      </c>
      <c r="Q256" s="33">
        <f t="shared" ca="1" si="469"/>
        <v>1.5381818181818178E-4</v>
      </c>
      <c r="R256" s="33">
        <f t="shared" ca="1" si="469"/>
        <v>1.5381818181818186E-4</v>
      </c>
      <c r="S256" s="33">
        <f t="shared" ca="1" si="469"/>
        <v>1.5381818181818178E-4</v>
      </c>
      <c r="T256" s="33">
        <f t="shared" ca="1" si="469"/>
        <v>1.5381818181818186E-4</v>
      </c>
      <c r="U256" s="33">
        <f t="shared" ca="1" si="469"/>
        <v>1.5381818181818178E-4</v>
      </c>
      <c r="V256" s="33">
        <f t="shared" ca="1" si="469"/>
        <v>1.5381818181818186E-4</v>
      </c>
      <c r="W256" s="33">
        <f t="shared" ca="1" si="469"/>
        <v>1.5381818181818178E-4</v>
      </c>
      <c r="X256" s="33">
        <f t="shared" ca="1" si="469"/>
        <v>1.5381818181818186E-4</v>
      </c>
      <c r="Y256" s="33">
        <f t="shared" ca="1" si="469"/>
        <v>1.5381818181818178E-4</v>
      </c>
      <c r="Z256" s="33">
        <f t="shared" ca="1" si="469"/>
        <v>1.5381818181818186E-4</v>
      </c>
    </row>
    <row r="257" spans="2:26" x14ac:dyDescent="0.2">
      <c r="B257" s="32" t="s">
        <v>342</v>
      </c>
      <c r="F257" s="150">
        <f>+IF(YEAR(F$140)=YEAR('Assumptions and Sensis'!$F$47),'S&amp;U'!$R$19,0)</f>
        <v>0</v>
      </c>
      <c r="G257" s="150">
        <f>+IF(YEAR(G$140)=YEAR('Assumptions and Sensis'!$F$47),'S&amp;U'!$R$19,0)</f>
        <v>0</v>
      </c>
      <c r="H257" s="150">
        <f>+IF(YEAR(H$140)=YEAR('Assumptions and Sensis'!$F$47),'S&amp;U'!$R$19,0)</f>
        <v>0</v>
      </c>
      <c r="I257" s="150">
        <f ca="1">+IF(YEAR(I$140)=YEAR('Assumptions and Sensis'!$F$47),'S&amp;U'!$R$19,0)</f>
        <v>1.5381818181818178E-4</v>
      </c>
      <c r="J257" s="150">
        <f>+IF(YEAR(J$140)=YEAR('Assumptions and Sensis'!$F$47),'S&amp;U'!$R$19,0)</f>
        <v>0</v>
      </c>
      <c r="K257" s="150">
        <f>+IF(YEAR(K$140)=YEAR('Assumptions and Sensis'!$F$47),'S&amp;U'!$R$19,0)</f>
        <v>0</v>
      </c>
      <c r="L257" s="150">
        <f>+IF(YEAR(L$140)=YEAR('Assumptions and Sensis'!$F$47),'S&amp;U'!$R$19,0)</f>
        <v>0</v>
      </c>
      <c r="M257" s="150">
        <f>+IF(YEAR(M$140)=YEAR('Assumptions and Sensis'!$F$47),'S&amp;U'!$R$19,0)</f>
        <v>0</v>
      </c>
      <c r="N257" s="150">
        <f>+IF(YEAR(N$140)=YEAR('Assumptions and Sensis'!$F$47),'S&amp;U'!$R$19,0)</f>
        <v>0</v>
      </c>
      <c r="O257" s="150">
        <f>+IF(YEAR(O$140)=YEAR('Assumptions and Sensis'!$F$47),'S&amp;U'!$R$19,0)</f>
        <v>0</v>
      </c>
      <c r="P257" s="150">
        <f>+IF(YEAR(P$140)=YEAR('Assumptions and Sensis'!$F$47),'S&amp;U'!$R$19,0)</f>
        <v>0</v>
      </c>
      <c r="Q257" s="150">
        <f>+IF(YEAR(Q$140)=YEAR('Assumptions and Sensis'!$F$47),'S&amp;U'!$R$19,0)</f>
        <v>0</v>
      </c>
      <c r="R257" s="150">
        <f>+IF(YEAR(R$140)=YEAR('Assumptions and Sensis'!$F$47),'S&amp;U'!$R$19,0)</f>
        <v>0</v>
      </c>
      <c r="S257" s="150">
        <f>+IF(YEAR(S$140)=YEAR('Assumptions and Sensis'!$F$47),'S&amp;U'!$R$19,0)</f>
        <v>0</v>
      </c>
      <c r="T257" s="150">
        <f>+IF(YEAR(T$140)=YEAR('Assumptions and Sensis'!$F$47),'S&amp;U'!$R$19,0)</f>
        <v>0</v>
      </c>
      <c r="U257" s="150">
        <f>+IF(YEAR(U$140)=YEAR('Assumptions and Sensis'!$F$47),'S&amp;U'!$R$19,0)</f>
        <v>0</v>
      </c>
      <c r="V257" s="150">
        <f>+IF(YEAR(V$140)=YEAR('Assumptions and Sensis'!$F$47),'S&amp;U'!$R$19,0)</f>
        <v>0</v>
      </c>
      <c r="W257" s="150">
        <f>+IF(YEAR(W$140)=YEAR('Assumptions and Sensis'!$F$47),'S&amp;U'!$R$19,0)</f>
        <v>0</v>
      </c>
      <c r="X257" s="150">
        <f>+IF(YEAR(X$140)=YEAR('Assumptions and Sensis'!$F$47),'S&amp;U'!$R$19,0)</f>
        <v>0</v>
      </c>
      <c r="Y257" s="150">
        <f>+IF(YEAR(Y$140)=YEAR('Assumptions and Sensis'!$F$47),'S&amp;U'!$R$19,0)</f>
        <v>0</v>
      </c>
      <c r="Z257" s="150">
        <f>+IF(YEAR(Z$140)=YEAR('Assumptions and Sensis'!$F$47),'S&amp;U'!$R$19,0)</f>
        <v>0</v>
      </c>
    </row>
    <row r="258" spans="2:26" x14ac:dyDescent="0.2">
      <c r="B258" s="32" t="s">
        <v>162</v>
      </c>
      <c r="F258" s="150">
        <v>0</v>
      </c>
      <c r="G258" s="150">
        <v>0</v>
      </c>
      <c r="H258" s="150">
        <v>0</v>
      </c>
      <c r="I258" s="150">
        <v>0</v>
      </c>
      <c r="J258" s="150">
        <v>0</v>
      </c>
      <c r="K258" s="150">
        <v>0</v>
      </c>
      <c r="L258" s="150">
        <v>0</v>
      </c>
      <c r="M258" s="150">
        <v>0</v>
      </c>
      <c r="N258" s="150">
        <v>0</v>
      </c>
      <c r="O258" s="150">
        <v>0</v>
      </c>
      <c r="P258" s="150">
        <v>0</v>
      </c>
      <c r="Q258" s="150">
        <v>0</v>
      </c>
      <c r="R258" s="150">
        <v>0</v>
      </c>
      <c r="S258" s="150">
        <v>0</v>
      </c>
      <c r="T258" s="150">
        <v>0</v>
      </c>
      <c r="U258" s="150">
        <v>0</v>
      </c>
      <c r="V258" s="150">
        <v>0</v>
      </c>
      <c r="W258" s="150">
        <v>0</v>
      </c>
      <c r="X258" s="150">
        <v>0</v>
      </c>
      <c r="Y258" s="150">
        <v>0</v>
      </c>
      <c r="Z258" s="150">
        <v>0</v>
      </c>
    </row>
    <row r="259" spans="2:26" x14ac:dyDescent="0.2">
      <c r="B259" s="32" t="s">
        <v>333</v>
      </c>
      <c r="F259" s="150">
        <f t="shared" ref="F259:N259" si="470">+SUM(F256:F258)</f>
        <v>0</v>
      </c>
      <c r="G259" s="150">
        <f t="shared" si="470"/>
        <v>0</v>
      </c>
      <c r="H259" s="150">
        <f t="shared" si="470"/>
        <v>0</v>
      </c>
      <c r="I259" s="150">
        <f t="shared" ca="1" si="470"/>
        <v>1.5381818181818178E-4</v>
      </c>
      <c r="J259" s="150">
        <f t="shared" ca="1" si="470"/>
        <v>1.5381818181818186E-4</v>
      </c>
      <c r="K259" s="150">
        <f t="shared" ca="1" si="470"/>
        <v>1.5381818181818178E-4</v>
      </c>
      <c r="L259" s="150">
        <f t="shared" ca="1" si="470"/>
        <v>1.5381818181818186E-4</v>
      </c>
      <c r="M259" s="150">
        <f t="shared" ca="1" si="470"/>
        <v>1.5381818181818178E-4</v>
      </c>
      <c r="N259" s="150">
        <f t="shared" ca="1" si="470"/>
        <v>1.5381818181818186E-4</v>
      </c>
      <c r="O259" s="150">
        <f t="shared" ref="O259" ca="1" si="471">+SUM(O256:O258)</f>
        <v>1.5381818181818178E-4</v>
      </c>
      <c r="P259" s="150">
        <f t="shared" ref="P259" ca="1" si="472">+SUM(P256:P258)</f>
        <v>1.5381818181818186E-4</v>
      </c>
      <c r="Q259" s="150">
        <f t="shared" ref="Q259" ca="1" si="473">+SUM(Q256:Q258)</f>
        <v>1.5381818181818178E-4</v>
      </c>
      <c r="R259" s="150">
        <f t="shared" ref="R259" ca="1" si="474">+SUM(R256:R258)</f>
        <v>1.5381818181818186E-4</v>
      </c>
      <c r="S259" s="150">
        <f t="shared" ref="S259" ca="1" si="475">+SUM(S256:S258)</f>
        <v>1.5381818181818178E-4</v>
      </c>
      <c r="T259" s="150">
        <f t="shared" ref="T259" ca="1" si="476">+SUM(T256:T258)</f>
        <v>1.5381818181818186E-4</v>
      </c>
      <c r="U259" s="150">
        <f t="shared" ref="U259" ca="1" si="477">+SUM(U256:U258)</f>
        <v>1.5381818181818178E-4</v>
      </c>
      <c r="V259" s="150">
        <f t="shared" ref="V259" ca="1" si="478">+SUM(V256:V258)</f>
        <v>1.5381818181818186E-4</v>
      </c>
      <c r="W259" s="150">
        <f t="shared" ref="W259" ca="1" si="479">+SUM(W256:W258)</f>
        <v>1.5381818181818178E-4</v>
      </c>
      <c r="X259" s="150">
        <f t="shared" ref="X259" ca="1" si="480">+SUM(X256:X258)</f>
        <v>1.5381818181818186E-4</v>
      </c>
      <c r="Y259" s="150">
        <f t="shared" ref="Y259" ca="1" si="481">+SUM(Y256:Y258)</f>
        <v>1.5381818181818178E-4</v>
      </c>
      <c r="Z259" s="150">
        <f t="shared" ref="Z259" ca="1" si="482">+SUM(Z256:Z258)</f>
        <v>1.5381818181818186E-4</v>
      </c>
    </row>
    <row r="261" spans="2:26" x14ac:dyDescent="0.2">
      <c r="B261" s="40" t="s">
        <v>332</v>
      </c>
      <c r="F261" s="33">
        <f>+F259*'Assumptions and Sensis'!$N$191</f>
        <v>0</v>
      </c>
      <c r="G261" s="33">
        <f>+G259*'Assumptions and Sensis'!$N$191</f>
        <v>0</v>
      </c>
      <c r="H261" s="33">
        <f>+H259*'Assumptions and Sensis'!$N$191</f>
        <v>0</v>
      </c>
      <c r="I261" s="33">
        <f ca="1">+I259*'Assumptions and Sensis'!$N$191</f>
        <v>8.4599999999999986E-6</v>
      </c>
      <c r="J261" s="33">
        <f ca="1">+J259*'Assumptions and Sensis'!$N$191</f>
        <v>8.460000000000002E-6</v>
      </c>
      <c r="K261" s="33">
        <f ca="1">+K259*'Assumptions and Sensis'!$N$191</f>
        <v>8.4599999999999986E-6</v>
      </c>
      <c r="L261" s="33">
        <f ca="1">+L259*'Assumptions and Sensis'!$N$191</f>
        <v>8.460000000000002E-6</v>
      </c>
      <c r="M261" s="33">
        <f ca="1">+M259*'Assumptions and Sensis'!$N$191</f>
        <v>8.4599999999999986E-6</v>
      </c>
      <c r="N261" s="33">
        <f ca="1">+N259*'Assumptions and Sensis'!$N$191</f>
        <v>8.460000000000002E-6</v>
      </c>
      <c r="O261" s="33">
        <f ca="1">+O259*'Assumptions and Sensis'!$N$191</f>
        <v>8.4599999999999986E-6</v>
      </c>
      <c r="P261" s="33">
        <f ca="1">+P259*'Assumptions and Sensis'!$N$191</f>
        <v>8.460000000000002E-6</v>
      </c>
      <c r="Q261" s="33">
        <f ca="1">+Q259*'Assumptions and Sensis'!$N$191</f>
        <v>8.4599999999999986E-6</v>
      </c>
      <c r="R261" s="33">
        <f ca="1">+R259*'Assumptions and Sensis'!$N$191</f>
        <v>8.460000000000002E-6</v>
      </c>
      <c r="S261" s="33">
        <f ca="1">+S259*'Assumptions and Sensis'!$N$191</f>
        <v>8.4599999999999986E-6</v>
      </c>
      <c r="T261" s="33">
        <f ca="1">+T259*'Assumptions and Sensis'!$N$191</f>
        <v>8.460000000000002E-6</v>
      </c>
      <c r="U261" s="33">
        <f ca="1">+U259*'Assumptions and Sensis'!$N$191</f>
        <v>8.4599999999999986E-6</v>
      </c>
      <c r="V261" s="33">
        <f ca="1">+V259*'Assumptions and Sensis'!$N$191</f>
        <v>8.460000000000002E-6</v>
      </c>
      <c r="W261" s="33">
        <f ca="1">+W259*'Assumptions and Sensis'!$N$191</f>
        <v>8.4599999999999986E-6</v>
      </c>
      <c r="X261" s="33">
        <f ca="1">+X259*'Assumptions and Sensis'!$N$191</f>
        <v>8.460000000000002E-6</v>
      </c>
      <c r="Y261" s="33">
        <f ca="1">+Y259*'Assumptions and Sensis'!$N$191</f>
        <v>8.4599999999999986E-6</v>
      </c>
      <c r="Z261" s="33">
        <f ca="1">+Z259*'Assumptions and Sensis'!$N$191</f>
        <v>8.460000000000002E-6</v>
      </c>
    </row>
    <row r="262" spans="2:26" x14ac:dyDescent="0.2">
      <c r="B262" s="136" t="s">
        <v>341</v>
      </c>
      <c r="C262" s="136"/>
      <c r="D262" s="136"/>
      <c r="E262" s="136"/>
      <c r="F262" s="128">
        <f t="shared" ref="F262" si="483">+F261-F258</f>
        <v>0</v>
      </c>
      <c r="G262" s="128">
        <f t="shared" ref="G262" si="484">+G261-G258</f>
        <v>0</v>
      </c>
      <c r="H262" s="128">
        <f t="shared" ref="H262" si="485">+H261-H258</f>
        <v>0</v>
      </c>
      <c r="I262" s="128">
        <f t="shared" ref="I262" ca="1" si="486">+I261-I258</f>
        <v>8.4599999999999986E-6</v>
      </c>
      <c r="J262" s="128">
        <f t="shared" ref="J262" ca="1" si="487">+J261-J258</f>
        <v>8.460000000000002E-6</v>
      </c>
      <c r="K262" s="128">
        <f t="shared" ref="K262" ca="1" si="488">+K261-K258</f>
        <v>8.4599999999999986E-6</v>
      </c>
      <c r="L262" s="128">
        <f ca="1">+L261-L258</f>
        <v>8.460000000000002E-6</v>
      </c>
      <c r="M262" s="128">
        <f t="shared" ref="M262" ca="1" si="489">+M261-M258</f>
        <v>8.4599999999999986E-6</v>
      </c>
      <c r="N262" s="128">
        <f t="shared" ref="N262" ca="1" si="490">+N261-N258</f>
        <v>8.460000000000002E-6</v>
      </c>
      <c r="O262" s="128">
        <f t="shared" ref="O262" ca="1" si="491">+O261-O258</f>
        <v>8.4599999999999986E-6</v>
      </c>
      <c r="P262" s="128">
        <f t="shared" ref="P262" ca="1" si="492">+P261-P258</f>
        <v>8.460000000000002E-6</v>
      </c>
      <c r="Q262" s="128">
        <f t="shared" ref="Q262" ca="1" si="493">+Q261-Q258</f>
        <v>8.4599999999999986E-6</v>
      </c>
      <c r="R262" s="128">
        <f t="shared" ref="R262" ca="1" si="494">+R261-R258</f>
        <v>8.460000000000002E-6</v>
      </c>
      <c r="S262" s="128">
        <f t="shared" ref="S262" ca="1" si="495">+S261-S258</f>
        <v>8.4599999999999986E-6</v>
      </c>
      <c r="T262" s="128">
        <f t="shared" ref="T262" ca="1" si="496">+T261-T258</f>
        <v>8.460000000000002E-6</v>
      </c>
      <c r="U262" s="128">
        <f t="shared" ref="U262" ca="1" si="497">+U261-U258</f>
        <v>8.4599999999999986E-6</v>
      </c>
      <c r="V262" s="128">
        <f t="shared" ref="V262" ca="1" si="498">+V261-V258</f>
        <v>8.460000000000002E-6</v>
      </c>
      <c r="W262" s="128">
        <f t="shared" ref="W262" ca="1" si="499">+W261-W258</f>
        <v>8.4599999999999986E-6</v>
      </c>
      <c r="X262" s="128">
        <f t="shared" ref="X262" ca="1" si="500">+X261-X258</f>
        <v>8.460000000000002E-6</v>
      </c>
      <c r="Y262" s="128">
        <f t="shared" ref="Y262" ca="1" si="501">+Y261-Y258</f>
        <v>8.4599999999999986E-6</v>
      </c>
      <c r="Z262" s="128">
        <f t="shared" ref="Z262" ca="1" si="502">+Z261-Z258</f>
        <v>8.460000000000002E-6</v>
      </c>
    </row>
    <row r="263" spans="2:26" x14ac:dyDescent="0.2">
      <c r="B263" s="145" t="s">
        <v>181</v>
      </c>
      <c r="F263" s="178" t="str">
        <f t="shared" ref="F263" ca="1" si="503">+IFERROR(F251/F262,"")</f>
        <v/>
      </c>
      <c r="G263" s="178" t="str">
        <f t="shared" ref="G263" ca="1" si="504">+IFERROR(G251/G262,"")</f>
        <v/>
      </c>
      <c r="H263" s="178" t="str">
        <f t="shared" ref="H263" ca="1" si="505">+IFERROR(H251/H262,"")</f>
        <v/>
      </c>
      <c r="I263" s="178">
        <f t="shared" ref="I263" ca="1" si="506">+IFERROR(I251/I262,"")</f>
        <v>0.66666666666666663</v>
      </c>
      <c r="J263" s="178">
        <f t="shared" ref="J263" ca="1" si="507">+IFERROR(J251/J262,"")</f>
        <v>1.3333333333333328</v>
      </c>
      <c r="K263" s="178">
        <f ca="1">+IFERROR(K251/K262,"")</f>
        <v>1.3333333333333333</v>
      </c>
      <c r="L263" s="178">
        <f t="shared" ref="L263" ca="1" si="508">+IFERROR(L251/L262,"")</f>
        <v>1.4666666666666661</v>
      </c>
      <c r="M263" s="178">
        <f t="shared" ref="M263" ca="1" si="509">+IFERROR(M251/M262,"")</f>
        <v>1.466666666666667</v>
      </c>
      <c r="N263" s="178">
        <f t="shared" ref="N263" ca="1" si="510">+IFERROR(N251/N262,"")</f>
        <v>1.4666666666666659</v>
      </c>
      <c r="O263" s="178">
        <f t="shared" ref="O263" ca="1" si="511">+IFERROR(O251/O262,"")</f>
        <v>1.4666666666666666</v>
      </c>
      <c r="P263" s="178">
        <f t="shared" ref="P263" ca="1" si="512">+IFERROR(P251/P262,"")</f>
        <v>1.4666666666666659</v>
      </c>
      <c r="Q263" s="178">
        <f t="shared" ref="Q263" ca="1" si="513">+IFERROR(Q251/Q262,"")</f>
        <v>1.613333333333334</v>
      </c>
      <c r="R263" s="178">
        <f t="shared" ref="R263" ca="1" si="514">+IFERROR(R251/R262,"")</f>
        <v>1.6133333333333331</v>
      </c>
      <c r="S263" s="178">
        <f t="shared" ref="S263" ca="1" si="515">+IFERROR(S251/S262,"")</f>
        <v>1.6133333333333337</v>
      </c>
      <c r="T263" s="178">
        <f t="shared" ref="T263" ca="1" si="516">+IFERROR(T251/T262,"")</f>
        <v>1.6133333333333335</v>
      </c>
      <c r="U263" s="178">
        <f t="shared" ref="U263" ca="1" si="517">+IFERROR(U251/U262,"")</f>
        <v>1.613333333333334</v>
      </c>
      <c r="V263" s="178">
        <f t="shared" ref="V263" ca="1" si="518">+IFERROR(V251/V262,"")</f>
        <v>1.7746666666666664</v>
      </c>
      <c r="W263" s="178">
        <f t="shared" ref="W263" ca="1" si="519">+IFERROR(W251/W262,"")</f>
        <v>1.7746666666666673</v>
      </c>
      <c r="X263" s="178">
        <f t="shared" ref="X263" ca="1" si="520">+IFERROR(X251/X262,"")</f>
        <v>1.7746666666666668</v>
      </c>
      <c r="Y263" s="178">
        <f t="shared" ref="Y263" ca="1" si="521">+IFERROR(Y251/Y262,"")</f>
        <v>1.7746666666666673</v>
      </c>
      <c r="Z263" s="178">
        <f t="shared" ref="Z263" ca="1" si="522">+IFERROR(Z251/Z262,"")</f>
        <v>1.7746666666666666</v>
      </c>
    </row>
    <row r="265" spans="2:26" x14ac:dyDescent="0.2">
      <c r="B265" s="40" t="s">
        <v>156</v>
      </c>
      <c r="F265" s="33">
        <f>+F257*'Assumptions and Sensis'!$N$192</f>
        <v>0</v>
      </c>
      <c r="G265" s="33">
        <f>+G257*'Assumptions and Sensis'!$N$192</f>
        <v>0</v>
      </c>
      <c r="H265" s="33">
        <f>+H257*'Assumptions and Sensis'!$N$192</f>
        <v>0</v>
      </c>
      <c r="I265" s="33">
        <f ca="1">+I257*'Assumptions and Sensis'!$N$192</f>
        <v>1.1536363636363633E-6</v>
      </c>
      <c r="J265" s="33">
        <f>+J257*'Assumptions and Sensis'!$N$192</f>
        <v>0</v>
      </c>
      <c r="K265" s="33">
        <f>+K257*'Assumptions and Sensis'!$N$192</f>
        <v>0</v>
      </c>
      <c r="L265" s="33">
        <f>+L257*'Assumptions and Sensis'!$N$192</f>
        <v>0</v>
      </c>
      <c r="M265" s="33">
        <f>+M257*'Assumptions and Sensis'!$N$192</f>
        <v>0</v>
      </c>
      <c r="N265" s="33">
        <f>+N257*'Assumptions and Sensis'!$N$192</f>
        <v>0</v>
      </c>
      <c r="O265" s="33">
        <f>+O257*'Assumptions and Sensis'!$N$192</f>
        <v>0</v>
      </c>
      <c r="P265" s="33">
        <f>+P257*'Assumptions and Sensis'!$N$192</f>
        <v>0</v>
      </c>
      <c r="Q265" s="33">
        <f>+Q257*'Assumptions and Sensis'!$N$192</f>
        <v>0</v>
      </c>
      <c r="R265" s="33">
        <f>+R257*'Assumptions and Sensis'!$N$192</f>
        <v>0</v>
      </c>
      <c r="S265" s="33">
        <f>+S257*'Assumptions and Sensis'!$N$192</f>
        <v>0</v>
      </c>
      <c r="T265" s="33">
        <f>+T257*'Assumptions and Sensis'!$N$192</f>
        <v>0</v>
      </c>
      <c r="U265" s="33">
        <f>+U257*'Assumptions and Sensis'!$N$192</f>
        <v>0</v>
      </c>
      <c r="V265" s="33">
        <f>+V257*'Assumptions and Sensis'!$N$192</f>
        <v>0</v>
      </c>
      <c r="W265" s="33">
        <f>+W257*'Assumptions and Sensis'!$N$192</f>
        <v>0</v>
      </c>
      <c r="X265" s="33">
        <f>+X257*'Assumptions and Sensis'!$N$192</f>
        <v>0</v>
      </c>
      <c r="Y265" s="33">
        <f>+Y257*'Assumptions and Sensis'!$N$192</f>
        <v>0</v>
      </c>
      <c r="Z265" s="33">
        <f>+Z257*'Assumptions and Sensis'!$N$192</f>
        <v>0</v>
      </c>
    </row>
    <row r="267" spans="2:26" x14ac:dyDescent="0.2">
      <c r="B267" s="136" t="s">
        <v>334</v>
      </c>
      <c r="C267" s="136"/>
      <c r="D267" s="136"/>
      <c r="E267" s="136"/>
      <c r="F267" s="128">
        <f ca="1">+F251-F262-F265</f>
        <v>0</v>
      </c>
      <c r="G267" s="128">
        <f t="shared" ref="G267:Z267" ca="1" si="523">+G251-G262-G265</f>
        <v>0</v>
      </c>
      <c r="H267" s="128">
        <f t="shared" ca="1" si="523"/>
        <v>0</v>
      </c>
      <c r="I267" s="128">
        <f t="shared" ca="1" si="523"/>
        <v>-3.9736363636363634E-6</v>
      </c>
      <c r="J267" s="128">
        <f t="shared" ca="1" si="523"/>
        <v>2.8199999999999967E-6</v>
      </c>
      <c r="K267" s="128">
        <f t="shared" ca="1" si="523"/>
        <v>2.8199999999999984E-6</v>
      </c>
      <c r="L267" s="128">
        <f t="shared" ca="1" si="523"/>
        <v>3.9479999999999968E-6</v>
      </c>
      <c r="M267" s="128">
        <f t="shared" ca="1" si="523"/>
        <v>3.9480000000000018E-6</v>
      </c>
      <c r="N267" s="128">
        <f t="shared" ca="1" si="523"/>
        <v>3.9479999999999951E-6</v>
      </c>
      <c r="O267" s="128">
        <f t="shared" ca="1" si="523"/>
        <v>3.9479999999999985E-6</v>
      </c>
      <c r="P267" s="128">
        <f t="shared" ca="1" si="523"/>
        <v>3.9479999999999951E-6</v>
      </c>
      <c r="Q267" s="128">
        <f t="shared" ca="1" si="523"/>
        <v>5.1888000000000036E-6</v>
      </c>
      <c r="R267" s="128">
        <f t="shared" ca="1" si="523"/>
        <v>5.1887999999999985E-6</v>
      </c>
      <c r="S267" s="128">
        <f t="shared" ca="1" si="523"/>
        <v>5.1888000000000019E-6</v>
      </c>
      <c r="T267" s="128">
        <f t="shared" ca="1" si="523"/>
        <v>5.1888000000000019E-6</v>
      </c>
      <c r="U267" s="128">
        <f t="shared" ca="1" si="523"/>
        <v>5.1888000000000053E-6</v>
      </c>
      <c r="V267" s="128">
        <f t="shared" ca="1" si="523"/>
        <v>6.5536799999999999E-6</v>
      </c>
      <c r="W267" s="128">
        <f t="shared" ca="1" si="523"/>
        <v>6.553680000000005E-6</v>
      </c>
      <c r="X267" s="128">
        <f t="shared" ca="1" si="523"/>
        <v>6.5536800000000033E-6</v>
      </c>
      <c r="Y267" s="128">
        <f t="shared" ca="1" si="523"/>
        <v>6.5536800000000033E-6</v>
      </c>
      <c r="Z267" s="128">
        <f t="shared" ca="1" si="523"/>
        <v>6.5536800000000016E-6</v>
      </c>
    </row>
    <row r="269" spans="2:26" x14ac:dyDescent="0.2">
      <c r="B269" s="147" t="s">
        <v>343</v>
      </c>
    </row>
    <row r="270" spans="2:26" x14ac:dyDescent="0.2">
      <c r="B270" s="32" t="s">
        <v>336</v>
      </c>
      <c r="F270" s="33">
        <f>+IF(YEAR(F$140)=YEAR('Assumptions and Sensis'!$F$51),F253,0)</f>
        <v>0</v>
      </c>
      <c r="G270" s="33">
        <f>+IF(YEAR(G$140)=YEAR('Assumptions and Sensis'!$F$51),G253,0)</f>
        <v>0</v>
      </c>
      <c r="H270" s="33">
        <f>+IF(YEAR(H$140)=YEAR('Assumptions and Sensis'!$F$51),H253,0)</f>
        <v>0</v>
      </c>
      <c r="I270" s="33">
        <f>+IF(YEAR(I$140)=YEAR('Assumptions and Sensis'!$F$51),I253,0)</f>
        <v>0</v>
      </c>
      <c r="J270" s="33">
        <f>+IF(YEAR(J$140)=YEAR('Assumptions and Sensis'!$F$51),J253,0)</f>
        <v>0</v>
      </c>
      <c r="K270" s="33">
        <f>+IF(YEAR(K$140)=YEAR('Assumptions and Sensis'!$F$51),K253,0)</f>
        <v>0</v>
      </c>
      <c r="L270" s="33">
        <f>+IF(YEAR(L$140)=YEAR('Assumptions and Sensis'!$F$51),L253,0)</f>
        <v>0</v>
      </c>
      <c r="M270" s="33">
        <f>+IF(YEAR(M$140)=YEAR('Assumptions and Sensis'!$F$51),M253,0)</f>
        <v>0</v>
      </c>
      <c r="N270" s="33">
        <f>+IF(YEAR(N$140)=YEAR('Assumptions and Sensis'!$F$51),N253,0)</f>
        <v>0</v>
      </c>
      <c r="O270" s="33">
        <f>+IF(YEAR(O$140)=YEAR('Assumptions and Sensis'!$F$51),O253,0)</f>
        <v>0</v>
      </c>
      <c r="P270" s="33">
        <f ca="1">+IF(YEAR(P$140)=YEAR('Assumptions and Sensis'!$F$51),P253,0)</f>
        <v>2.2559999999999995E-4</v>
      </c>
      <c r="Q270" s="33">
        <f>+IF(YEAR(Q$140)=YEAR('Assumptions and Sensis'!$F$51),Q253,0)</f>
        <v>0</v>
      </c>
      <c r="R270" s="33">
        <f>+IF(YEAR(R$140)=YEAR('Assumptions and Sensis'!$F$51),R253,0)</f>
        <v>0</v>
      </c>
      <c r="S270" s="33">
        <f>+IF(YEAR(S$140)=YEAR('Assumptions and Sensis'!$F$51),S253,0)</f>
        <v>0</v>
      </c>
      <c r="T270" s="33">
        <f>+IF(YEAR(T$140)=YEAR('Assumptions and Sensis'!$F$51),T253,0)</f>
        <v>0</v>
      </c>
      <c r="U270" s="33">
        <f>+IF(YEAR(U$140)=YEAR('Assumptions and Sensis'!$F$51),U253,0)</f>
        <v>0</v>
      </c>
      <c r="V270" s="33">
        <f>+IF(YEAR(V$140)=YEAR('Assumptions and Sensis'!$F$51),V253,0)</f>
        <v>0</v>
      </c>
      <c r="W270" s="33">
        <f>+IF(YEAR(W$140)=YEAR('Assumptions and Sensis'!$F$51),W253,0)</f>
        <v>0</v>
      </c>
      <c r="X270" s="33">
        <f>+IF(YEAR(X$140)=YEAR('Assumptions and Sensis'!$F$51),X253,0)</f>
        <v>0</v>
      </c>
      <c r="Y270" s="33">
        <f>+IF(YEAR(Y$140)=YEAR('Assumptions and Sensis'!$F$51),Y253,0)</f>
        <v>0</v>
      </c>
      <c r="Z270" s="33">
        <f>+IF(YEAR(Z$140)=YEAR('Assumptions and Sensis'!$F$51),Z253,0)</f>
        <v>0</v>
      </c>
    </row>
    <row r="271" spans="2:26" x14ac:dyDescent="0.2">
      <c r="B271" s="32" t="s">
        <v>337</v>
      </c>
      <c r="F271" s="150">
        <f>-F270*'Assumptions and Sensis'!$N$161</f>
        <v>0</v>
      </c>
      <c r="G271" s="150">
        <f>-G270*'Assumptions and Sensis'!$N$161</f>
        <v>0</v>
      </c>
      <c r="H271" s="150">
        <f>-H270*'Assumptions and Sensis'!$N$161</f>
        <v>0</v>
      </c>
      <c r="I271" s="150">
        <f>-I270*'Assumptions and Sensis'!$N$161</f>
        <v>0</v>
      </c>
      <c r="J271" s="150">
        <f>-J270*'Assumptions and Sensis'!$N$161</f>
        <v>0</v>
      </c>
      <c r="K271" s="150">
        <f>-K270*'Assumptions and Sensis'!$N$161</f>
        <v>0</v>
      </c>
      <c r="L271" s="150">
        <f>-L270*'Assumptions and Sensis'!$N$161</f>
        <v>0</v>
      </c>
      <c r="M271" s="150">
        <f>-M270*'Assumptions and Sensis'!$N$161</f>
        <v>0</v>
      </c>
      <c r="N271" s="150">
        <f>-N270*'Assumptions and Sensis'!$N$161</f>
        <v>0</v>
      </c>
      <c r="O271" s="150">
        <f>-O270*'Assumptions and Sensis'!$N$161</f>
        <v>0</v>
      </c>
      <c r="P271" s="150">
        <f ca="1">-P270*'Assumptions and Sensis'!$N$161</f>
        <v>-4.5119999999999993E-6</v>
      </c>
      <c r="Q271" s="150">
        <f>-Q270*'Assumptions and Sensis'!$N$161</f>
        <v>0</v>
      </c>
      <c r="R271" s="150">
        <f>-R270*'Assumptions and Sensis'!$N$161</f>
        <v>0</v>
      </c>
      <c r="S271" s="150">
        <f>-S270*'Assumptions and Sensis'!$N$161</f>
        <v>0</v>
      </c>
      <c r="T271" s="150">
        <f>-T270*'Assumptions and Sensis'!$N$161</f>
        <v>0</v>
      </c>
      <c r="U271" s="150">
        <f>-U270*'Assumptions and Sensis'!$N$161</f>
        <v>0</v>
      </c>
      <c r="V271" s="150">
        <f>-V270*'Assumptions and Sensis'!$N$161</f>
        <v>0</v>
      </c>
      <c r="W271" s="150">
        <f>-W270*'Assumptions and Sensis'!$N$161</f>
        <v>0</v>
      </c>
      <c r="X271" s="150">
        <f>-X270*'Assumptions and Sensis'!$N$161</f>
        <v>0</v>
      </c>
      <c r="Y271" s="150">
        <f>-Y270*'Assumptions and Sensis'!$N$161</f>
        <v>0</v>
      </c>
      <c r="Z271" s="150">
        <f>-Z270*'Assumptions and Sensis'!$N$161</f>
        <v>0</v>
      </c>
    </row>
    <row r="272" spans="2:26" x14ac:dyDescent="0.2">
      <c r="B272" s="32" t="s">
        <v>338</v>
      </c>
      <c r="F272" s="150">
        <f>+IF(YEAR(F$140)=YEAR('Assumptions and Sensis'!$F$51),-F259,0)</f>
        <v>0</v>
      </c>
      <c r="G272" s="150">
        <f>+IF(YEAR(G$140)=YEAR('Assumptions and Sensis'!$F$51),-G259,0)</f>
        <v>0</v>
      </c>
      <c r="H272" s="150">
        <f>+IF(YEAR(H$140)=YEAR('Assumptions and Sensis'!$F$51),-H259,0)</f>
        <v>0</v>
      </c>
      <c r="I272" s="150">
        <f>+IF(YEAR(I$140)=YEAR('Assumptions and Sensis'!$F$51),-I259,0)</f>
        <v>0</v>
      </c>
      <c r="J272" s="150">
        <f>+IF(YEAR(J$140)=YEAR('Assumptions and Sensis'!$F$51),-J259,0)</f>
        <v>0</v>
      </c>
      <c r="K272" s="150">
        <f>+IF(YEAR(K$140)=YEAR('Assumptions and Sensis'!$F$51),-K259,0)</f>
        <v>0</v>
      </c>
      <c r="L272" s="150">
        <f>+IF(YEAR(L$140)=YEAR('Assumptions and Sensis'!$F$51),-L259,0)</f>
        <v>0</v>
      </c>
      <c r="M272" s="150">
        <f>+IF(YEAR(M$140)=YEAR('Assumptions and Sensis'!$F$51),-M259,0)</f>
        <v>0</v>
      </c>
      <c r="N272" s="150">
        <f>+IF(YEAR(N$140)=YEAR('Assumptions and Sensis'!$F$51),-N259,0)</f>
        <v>0</v>
      </c>
      <c r="O272" s="150">
        <f>+IF(YEAR(O$140)=YEAR('Assumptions and Sensis'!$F$51),-O259,0)</f>
        <v>0</v>
      </c>
      <c r="P272" s="150">
        <f ca="1">+IF(YEAR(P$140)=YEAR('Assumptions and Sensis'!$F$51),-P259,0)</f>
        <v>-1.5381818181818186E-4</v>
      </c>
      <c r="Q272" s="150">
        <f>+IF(YEAR(Q$140)=YEAR('Assumptions and Sensis'!$F$51),-Q259,0)</f>
        <v>0</v>
      </c>
      <c r="R272" s="150">
        <f>+IF(YEAR(R$140)=YEAR('Assumptions and Sensis'!$F$51),-R259,0)</f>
        <v>0</v>
      </c>
      <c r="S272" s="150">
        <f>+IF(YEAR(S$140)=YEAR('Assumptions and Sensis'!$F$51),-S259,0)</f>
        <v>0</v>
      </c>
      <c r="T272" s="150">
        <f>+IF(YEAR(T$140)=YEAR('Assumptions and Sensis'!$F$51),-T259,0)</f>
        <v>0</v>
      </c>
      <c r="U272" s="150">
        <f>+IF(YEAR(U$140)=YEAR('Assumptions and Sensis'!$F$51),-U259,0)</f>
        <v>0</v>
      </c>
      <c r="V272" s="150">
        <f>+IF(YEAR(V$140)=YEAR('Assumptions and Sensis'!$F$51),-V259,0)</f>
        <v>0</v>
      </c>
      <c r="W272" s="150">
        <f>+IF(YEAR(W$140)=YEAR('Assumptions and Sensis'!$F$51),-W259,0)</f>
        <v>0</v>
      </c>
      <c r="X272" s="150">
        <f>+IF(YEAR(X$140)=YEAR('Assumptions and Sensis'!$F$51),-X259,0)</f>
        <v>0</v>
      </c>
      <c r="Y272" s="150">
        <f>+IF(YEAR(Y$140)=YEAR('Assumptions and Sensis'!$F$51),-Y259,0)</f>
        <v>0</v>
      </c>
      <c r="Z272" s="150">
        <f>+IF(YEAR(Z$140)=YEAR('Assumptions and Sensis'!$F$51),-Z259,0)</f>
        <v>0</v>
      </c>
    </row>
    <row r="273" spans="2:26" x14ac:dyDescent="0.2">
      <c r="B273" s="136" t="s">
        <v>339</v>
      </c>
      <c r="C273" s="136"/>
      <c r="D273" s="136"/>
      <c r="E273" s="136"/>
      <c r="F273" s="128">
        <f t="shared" ref="F273:Z273" si="524">+SUM(F270:F272)</f>
        <v>0</v>
      </c>
      <c r="G273" s="128">
        <f t="shared" si="524"/>
        <v>0</v>
      </c>
      <c r="H273" s="128">
        <f t="shared" si="524"/>
        <v>0</v>
      </c>
      <c r="I273" s="128">
        <f t="shared" si="524"/>
        <v>0</v>
      </c>
      <c r="J273" s="128">
        <f t="shared" si="524"/>
        <v>0</v>
      </c>
      <c r="K273" s="128">
        <f t="shared" si="524"/>
        <v>0</v>
      </c>
      <c r="L273" s="128">
        <f t="shared" si="524"/>
        <v>0</v>
      </c>
      <c r="M273" s="128">
        <f t="shared" si="524"/>
        <v>0</v>
      </c>
      <c r="N273" s="128">
        <f t="shared" si="524"/>
        <v>0</v>
      </c>
      <c r="O273" s="128">
        <f t="shared" si="524"/>
        <v>0</v>
      </c>
      <c r="P273" s="128">
        <f t="shared" ca="1" si="524"/>
        <v>6.7269818181818096E-5</v>
      </c>
      <c r="Q273" s="128">
        <f t="shared" si="524"/>
        <v>0</v>
      </c>
      <c r="R273" s="128">
        <f t="shared" si="524"/>
        <v>0</v>
      </c>
      <c r="S273" s="128">
        <f t="shared" si="524"/>
        <v>0</v>
      </c>
      <c r="T273" s="128">
        <f t="shared" si="524"/>
        <v>0</v>
      </c>
      <c r="U273" s="128">
        <f t="shared" si="524"/>
        <v>0</v>
      </c>
      <c r="V273" s="128">
        <f t="shared" si="524"/>
        <v>0</v>
      </c>
      <c r="W273" s="128">
        <f t="shared" si="524"/>
        <v>0</v>
      </c>
      <c r="X273" s="128">
        <f t="shared" si="524"/>
        <v>0</v>
      </c>
      <c r="Y273" s="128">
        <f t="shared" si="524"/>
        <v>0</v>
      </c>
      <c r="Z273" s="128">
        <f t="shared" si="524"/>
        <v>0</v>
      </c>
    </row>
    <row r="275" spans="2:26" x14ac:dyDescent="0.2">
      <c r="B275" s="137" t="s">
        <v>340</v>
      </c>
      <c r="C275" s="137"/>
      <c r="D275" s="137"/>
      <c r="E275" s="137"/>
      <c r="F275" s="138">
        <f ca="1">+IF(YEAR(F$140)&lt;=YEAR('Assumptions and Sensis'!$F$51),'Phase I Pro Forma'!F273+'Phase I Pro Forma'!F267,0)</f>
        <v>0</v>
      </c>
      <c r="G275" s="138">
        <f ca="1">+IF(YEAR(G$140)&lt;=YEAR('Assumptions and Sensis'!$F$51),'Phase I Pro Forma'!G273+'Phase I Pro Forma'!G267,0)</f>
        <v>0</v>
      </c>
      <c r="H275" s="138">
        <f ca="1">+IF(YEAR(H$140)&lt;=YEAR('Assumptions and Sensis'!$F$51),'Phase I Pro Forma'!H273+'Phase I Pro Forma'!H267,0)</f>
        <v>0</v>
      </c>
      <c r="I275" s="138">
        <f ca="1">+IF(YEAR(I$140)&lt;=YEAR('Assumptions and Sensis'!$F$51),'Phase I Pro Forma'!I273+'Phase I Pro Forma'!I267,0)</f>
        <v>-3.9736363636363634E-6</v>
      </c>
      <c r="J275" s="138">
        <f ca="1">+IF(YEAR(J$140)&lt;=YEAR('Assumptions and Sensis'!$F$51),'Phase I Pro Forma'!J273+'Phase I Pro Forma'!J267,0)</f>
        <v>2.8199999999999967E-6</v>
      </c>
      <c r="K275" s="138">
        <f ca="1">+IF(YEAR(K$140)&lt;=YEAR('Assumptions and Sensis'!$F$51),'Phase I Pro Forma'!K273+'Phase I Pro Forma'!K267,0)</f>
        <v>2.8199999999999984E-6</v>
      </c>
      <c r="L275" s="138">
        <f ca="1">+IF(YEAR(L$140)&lt;=YEAR('Assumptions and Sensis'!$F$51),'Phase I Pro Forma'!L273+'Phase I Pro Forma'!L267,0)</f>
        <v>3.9479999999999968E-6</v>
      </c>
      <c r="M275" s="138">
        <f ca="1">+IF(YEAR(M$140)&lt;=YEAR('Assumptions and Sensis'!$F$51),'Phase I Pro Forma'!M273+'Phase I Pro Forma'!M267,0)</f>
        <v>3.9480000000000018E-6</v>
      </c>
      <c r="N275" s="138">
        <f ca="1">+IF(YEAR(N$140)&lt;=YEAR('Assumptions and Sensis'!$F$51),'Phase I Pro Forma'!N273+'Phase I Pro Forma'!N267,0)</f>
        <v>3.9479999999999951E-6</v>
      </c>
      <c r="O275" s="138">
        <f ca="1">+IF(YEAR(O$140)&lt;=YEAR('Assumptions and Sensis'!$F$51),'Phase I Pro Forma'!O273+'Phase I Pro Forma'!O267,0)</f>
        <v>3.9479999999999985E-6</v>
      </c>
      <c r="P275" s="138">
        <f ca="1">+IF(YEAR(P$140)&lt;=YEAR('Assumptions and Sensis'!$F$51),'Phase I Pro Forma'!P273+'Phase I Pro Forma'!P267,0)</f>
        <v>7.1217818181818092E-5</v>
      </c>
      <c r="Q275" s="138">
        <f>+IF(YEAR(Q$140)&lt;=YEAR('Assumptions and Sensis'!$F$51),'Phase I Pro Forma'!Q273+'Phase I Pro Forma'!Q267,0)</f>
        <v>0</v>
      </c>
      <c r="R275" s="138">
        <f>+IF(YEAR(R$140)&lt;=YEAR('Assumptions and Sensis'!$F$51),'Phase I Pro Forma'!R273+'Phase I Pro Forma'!R267,0)</f>
        <v>0</v>
      </c>
      <c r="S275" s="138">
        <f>+IF(YEAR(S$140)&lt;=YEAR('Assumptions and Sensis'!$F$51),'Phase I Pro Forma'!S273+'Phase I Pro Forma'!S267,0)</f>
        <v>0</v>
      </c>
      <c r="T275" s="138">
        <f>+IF(YEAR(T$140)&lt;=YEAR('Assumptions and Sensis'!$F$51),'Phase I Pro Forma'!T273+'Phase I Pro Forma'!T267,0)</f>
        <v>0</v>
      </c>
      <c r="U275" s="138">
        <f>+IF(YEAR(U$140)&lt;=YEAR('Assumptions and Sensis'!$F$51),'Phase I Pro Forma'!U273+'Phase I Pro Forma'!U267,0)</f>
        <v>0</v>
      </c>
      <c r="V275" s="138">
        <f>+IF(YEAR(V$140)&lt;=YEAR('Assumptions and Sensis'!$F$51),'Phase I Pro Forma'!V273+'Phase I Pro Forma'!V267,0)</f>
        <v>0</v>
      </c>
      <c r="W275" s="138">
        <f>+IF(YEAR(W$140)&lt;=YEAR('Assumptions and Sensis'!$F$51),'Phase I Pro Forma'!W273+'Phase I Pro Forma'!W267,0)</f>
        <v>0</v>
      </c>
      <c r="X275" s="138">
        <f>+IF(YEAR(X$140)&lt;=YEAR('Assumptions and Sensis'!$F$51),'Phase I Pro Forma'!X273+'Phase I Pro Forma'!X267,0)</f>
        <v>0</v>
      </c>
      <c r="Y275" s="138">
        <f>+IF(YEAR(Y$140)&lt;=YEAR('Assumptions and Sensis'!$F$51),'Phase I Pro Forma'!Y273+'Phase I Pro Forma'!Y267,0)</f>
        <v>0</v>
      </c>
      <c r="Z275" s="138">
        <f>+IF(YEAR(Z$140)&lt;=YEAR('Assumptions and Sensis'!$F$51),'Phase I Pro Forma'!Z273+'Phase I Pro Forma'!Z267,0)</f>
        <v>0</v>
      </c>
    </row>
    <row r="277" spans="2:26" x14ac:dyDescent="0.2">
      <c r="B277" s="137" t="s">
        <v>356</v>
      </c>
      <c r="C277" s="137"/>
      <c r="D277" s="137"/>
      <c r="E277" s="137"/>
      <c r="F277" s="138">
        <f t="shared" ref="F277:Z277" ca="1" si="525">+F275+F230+F162</f>
        <v>0</v>
      </c>
      <c r="G277" s="138">
        <f t="shared" ca="1" si="525"/>
        <v>0</v>
      </c>
      <c r="H277" s="138">
        <f t="shared" ca="1" si="525"/>
        <v>0</v>
      </c>
      <c r="I277" s="138">
        <f t="shared" ca="1" si="525"/>
        <v>24891988.041406084</v>
      </c>
      <c r="J277" s="138">
        <f t="shared" ca="1" si="525"/>
        <v>5278132.2857078519</v>
      </c>
      <c r="K277" s="138">
        <f t="shared" ca="1" si="525"/>
        <v>5896598.6043395866</v>
      </c>
      <c r="L277" s="138">
        <f t="shared" ca="1" si="525"/>
        <v>7678126.75579214</v>
      </c>
      <c r="M277" s="138">
        <f t="shared" ca="1" si="525"/>
        <v>8004752.9827835169</v>
      </c>
      <c r="N277" s="138">
        <f t="shared" ca="1" si="525"/>
        <v>8449315.2071530111</v>
      </c>
      <c r="O277" s="138">
        <f t="shared" ca="1" si="525"/>
        <v>8905274.030542098</v>
      </c>
      <c r="P277" s="138">
        <f t="shared" ca="1" si="525"/>
        <v>217092433.51967055</v>
      </c>
      <c r="Q277" s="138">
        <f t="shared" si="525"/>
        <v>0</v>
      </c>
      <c r="R277" s="138">
        <f t="shared" si="525"/>
        <v>0</v>
      </c>
      <c r="S277" s="138">
        <f t="shared" si="525"/>
        <v>0</v>
      </c>
      <c r="T277" s="138">
        <f t="shared" si="525"/>
        <v>0</v>
      </c>
      <c r="U277" s="138">
        <f t="shared" si="525"/>
        <v>0</v>
      </c>
      <c r="V277" s="138">
        <f t="shared" si="525"/>
        <v>0</v>
      </c>
      <c r="W277" s="138">
        <f t="shared" si="525"/>
        <v>0</v>
      </c>
      <c r="X277" s="138">
        <f t="shared" si="525"/>
        <v>0</v>
      </c>
      <c r="Y277" s="138">
        <f t="shared" si="525"/>
        <v>0</v>
      </c>
      <c r="Z277" s="138">
        <f t="shared" si="525"/>
        <v>0</v>
      </c>
    </row>
    <row r="279" spans="2:26" x14ac:dyDescent="0.2">
      <c r="B279" s="40" t="s">
        <v>442</v>
      </c>
      <c r="F279" s="33">
        <f ca="1">+F156+F300</f>
        <v>0</v>
      </c>
      <c r="G279" s="33">
        <f t="shared" ref="G279:Z279" ca="1" si="526">+G156+G300</f>
        <v>137048442.76144266</v>
      </c>
      <c r="H279" s="33">
        <f t="shared" ca="1" si="526"/>
        <v>102747683.57681528</v>
      </c>
      <c r="I279" s="33">
        <f t="shared" ca="1" si="526"/>
        <v>34971568.917374372</v>
      </c>
      <c r="J279" s="33">
        <f t="shared" ca="1" si="526"/>
        <v>0</v>
      </c>
      <c r="K279" s="33">
        <f t="shared" ca="1" si="526"/>
        <v>0</v>
      </c>
      <c r="L279" s="33">
        <f t="shared" ca="1" si="526"/>
        <v>0</v>
      </c>
      <c r="M279" s="33">
        <f t="shared" ca="1" si="526"/>
        <v>0</v>
      </c>
      <c r="N279" s="33">
        <f t="shared" ca="1" si="526"/>
        <v>0</v>
      </c>
      <c r="O279" s="33">
        <f t="shared" ca="1" si="526"/>
        <v>0</v>
      </c>
      <c r="P279" s="33">
        <f t="shared" ca="1" si="526"/>
        <v>0</v>
      </c>
      <c r="Q279" s="33">
        <f t="shared" ca="1" si="526"/>
        <v>0</v>
      </c>
      <c r="R279" s="33">
        <f t="shared" ca="1" si="526"/>
        <v>0</v>
      </c>
      <c r="S279" s="33">
        <f t="shared" ca="1" si="526"/>
        <v>0</v>
      </c>
      <c r="T279" s="33">
        <f t="shared" ca="1" si="526"/>
        <v>0</v>
      </c>
      <c r="U279" s="33">
        <f t="shared" ca="1" si="526"/>
        <v>0</v>
      </c>
      <c r="V279" s="33">
        <f t="shared" ca="1" si="526"/>
        <v>0</v>
      </c>
      <c r="W279" s="33">
        <f t="shared" ca="1" si="526"/>
        <v>0</v>
      </c>
      <c r="X279" s="33">
        <f t="shared" ca="1" si="526"/>
        <v>0</v>
      </c>
      <c r="Y279" s="33">
        <f t="shared" ca="1" si="526"/>
        <v>0</v>
      </c>
      <c r="Z279" s="33">
        <f t="shared" ca="1" si="526"/>
        <v>0</v>
      </c>
    </row>
    <row r="280" spans="2:26" x14ac:dyDescent="0.2">
      <c r="B280" s="40" t="s">
        <v>501</v>
      </c>
      <c r="F280" s="33">
        <f ca="1">-F272+F262-F227+F217-F158+F147+F220+F150+F265</f>
        <v>0</v>
      </c>
      <c r="G280" s="33">
        <f t="shared" ref="G280:Z280" ca="1" si="527">-G272+G262-G227+G217-G158+G147+G220+G150+G265</f>
        <v>0</v>
      </c>
      <c r="H280" s="33">
        <f t="shared" ca="1" si="527"/>
        <v>0</v>
      </c>
      <c r="I280" s="33">
        <f t="shared" ca="1" si="527"/>
        <v>22236112.795499556</v>
      </c>
      <c r="J280" s="33">
        <f t="shared" ca="1" si="527"/>
        <v>20021624.698411778</v>
      </c>
      <c r="K280" s="33">
        <f t="shared" ca="1" si="527"/>
        <v>20021624.698411774</v>
      </c>
      <c r="L280" s="33">
        <f t="shared" ca="1" si="527"/>
        <v>20021624.698411774</v>
      </c>
      <c r="M280" s="33">
        <f t="shared" ca="1" si="527"/>
        <v>20021624.698411774</v>
      </c>
      <c r="N280" s="33">
        <f t="shared" ca="1" si="527"/>
        <v>20021624.698411774</v>
      </c>
      <c r="O280" s="33">
        <f t="shared" ca="1" si="527"/>
        <v>20021624.698411774</v>
      </c>
      <c r="P280" s="33">
        <f t="shared" ca="1" si="527"/>
        <v>269907694.34074235</v>
      </c>
      <c r="Q280" s="33">
        <f t="shared" ca="1" si="527"/>
        <v>20021624.698411774</v>
      </c>
      <c r="R280" s="33">
        <f t="shared" ca="1" si="527"/>
        <v>20021624.698411774</v>
      </c>
      <c r="S280" s="33">
        <f t="shared" ca="1" si="527"/>
        <v>20021624.698411774</v>
      </c>
      <c r="T280" s="33">
        <f t="shared" ca="1" si="527"/>
        <v>20021624.698411774</v>
      </c>
      <c r="U280" s="33">
        <f t="shared" ca="1" si="527"/>
        <v>20021624.698411778</v>
      </c>
      <c r="V280" s="33">
        <f t="shared" ca="1" si="527"/>
        <v>20021624.698411774</v>
      </c>
      <c r="W280" s="33">
        <f t="shared" ca="1" si="527"/>
        <v>20021624.698411774</v>
      </c>
      <c r="X280" s="33">
        <f t="shared" ca="1" si="527"/>
        <v>20021624.698411774</v>
      </c>
      <c r="Y280" s="33">
        <f t="shared" ca="1" si="527"/>
        <v>20021624.698411774</v>
      </c>
      <c r="Z280" s="33">
        <f t="shared" ca="1" si="527"/>
        <v>20021624.698411778</v>
      </c>
    </row>
    <row r="282" spans="2:26" x14ac:dyDescent="0.2">
      <c r="B282" s="36" t="s">
        <v>346</v>
      </c>
      <c r="C282" s="37"/>
      <c r="D282" s="37"/>
      <c r="E282" s="37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4" spans="2:26" x14ac:dyDescent="0.2">
      <c r="B284" s="147" t="s">
        <v>345</v>
      </c>
      <c r="F284" s="149">
        <f>+'Assumptions and Sensis'!$F$43</f>
        <v>44196</v>
      </c>
      <c r="G284" s="149">
        <f>+EOMONTH(F284,12)</f>
        <v>44561</v>
      </c>
      <c r="H284" s="149">
        <f t="shared" ref="H284" si="528">+EOMONTH(G284,12)</f>
        <v>44926</v>
      </c>
      <c r="I284" s="149">
        <f t="shared" ref="I284" si="529">+EOMONTH(H284,12)</f>
        <v>45291</v>
      </c>
      <c r="J284" s="149">
        <f t="shared" ref="J284" si="530">+EOMONTH(I284,12)</f>
        <v>45657</v>
      </c>
      <c r="K284" s="149">
        <f t="shared" ref="K284" si="531">+EOMONTH(J284,12)</f>
        <v>46022</v>
      </c>
      <c r="L284" s="149">
        <f t="shared" ref="L284" si="532">+EOMONTH(K284,12)</f>
        <v>46387</v>
      </c>
      <c r="M284" s="149">
        <f t="shared" ref="M284" si="533">+EOMONTH(L284,12)</f>
        <v>46752</v>
      </c>
      <c r="N284" s="149">
        <f t="shared" ref="N284" si="534">+EOMONTH(M284,12)</f>
        <v>47118</v>
      </c>
      <c r="O284" s="149">
        <f t="shared" ref="O284" si="535">+EOMONTH(N284,12)</f>
        <v>47483</v>
      </c>
      <c r="P284" s="149">
        <f t="shared" ref="P284" si="536">+EOMONTH(O284,12)</f>
        <v>47848</v>
      </c>
      <c r="Q284" s="149">
        <f t="shared" ref="Q284" si="537">+EOMONTH(P284,12)</f>
        <v>48213</v>
      </c>
      <c r="R284" s="149">
        <f t="shared" ref="R284" si="538">+EOMONTH(Q284,12)</f>
        <v>48579</v>
      </c>
      <c r="S284" s="149">
        <f t="shared" ref="S284" si="539">+EOMONTH(R284,12)</f>
        <v>48944</v>
      </c>
      <c r="T284" s="149">
        <f t="shared" ref="T284" si="540">+EOMONTH(S284,12)</f>
        <v>49309</v>
      </c>
      <c r="U284" s="149">
        <f t="shared" ref="U284" si="541">+EOMONTH(T284,12)</f>
        <v>49674</v>
      </c>
      <c r="V284" s="149">
        <f t="shared" ref="V284" si="542">+EOMONTH(U284,12)</f>
        <v>50040</v>
      </c>
      <c r="W284" s="149">
        <f t="shared" ref="W284" si="543">+EOMONTH(V284,12)</f>
        <v>50405</v>
      </c>
      <c r="X284" s="149">
        <f t="shared" ref="X284" si="544">+EOMONTH(W284,12)</f>
        <v>50770</v>
      </c>
      <c r="Y284" s="149">
        <f t="shared" ref="Y284" si="545">+EOMONTH(X284,12)</f>
        <v>51135</v>
      </c>
      <c r="Z284" s="149">
        <f t="shared" ref="Z284" si="546">+EOMONTH(Y284,12)</f>
        <v>51501</v>
      </c>
    </row>
    <row r="285" spans="2:26" x14ac:dyDescent="0.2">
      <c r="B285" s="32" t="s">
        <v>61</v>
      </c>
      <c r="D285" s="47">
        <f>+SUM(F285:Z285)</f>
        <v>6900151</v>
      </c>
      <c r="E285" s="47"/>
      <c r="F285" s="33">
        <f>+IF(AND(F$284&gt;='Assumptions and Sensis'!$F$43,F$284&lt;'Assumptions and Sensis'!$F$45),'S&amp;U'!$H7/ROUNDUP('Assumptions and Sensis'!$F$44/12,0),IF(AND(F$284&gt;='Assumptions and Sensis'!$F$45,F$284&lt;'Assumptions and Sensis'!$F$47),'S&amp;U'!$H39/ROUNDUP('Assumptions and Sensis'!$F$46/12,0),0))</f>
        <v>6900151</v>
      </c>
      <c r="G285" s="33">
        <f>+IF(AND(G$284&gt;='Assumptions and Sensis'!$F$43,G$284&lt;'Assumptions and Sensis'!$F$45),'S&amp;U'!$H7/ROUNDUP('Assumptions and Sensis'!$F$44/12,0),IF(AND(G$284&gt;='Assumptions and Sensis'!$F$45,G$284&lt;'Assumptions and Sensis'!$F$47),'S&amp;U'!$H39/ROUNDUP('Assumptions and Sensis'!$F$46/12,0),0))</f>
        <v>0</v>
      </c>
      <c r="H285" s="33">
        <f>+IF(AND(H$284&gt;='Assumptions and Sensis'!$F$43,H$284&lt;'Assumptions and Sensis'!$F$45),'S&amp;U'!$H7/ROUNDUP('Assumptions and Sensis'!$F$44/12,0),IF(AND(H$284&gt;='Assumptions and Sensis'!$F$45,H$284&lt;'Assumptions and Sensis'!$F$47),'S&amp;U'!$H39/ROUNDUP('Assumptions and Sensis'!$F$46/12,0),0))</f>
        <v>0</v>
      </c>
      <c r="I285" s="33">
        <f>+IF(AND(I$284&gt;='Assumptions and Sensis'!$F$43,I$284&lt;'Assumptions and Sensis'!$F$45),'S&amp;U'!$H7/ROUNDUP('Assumptions and Sensis'!$F$44/12,0),IF(AND(I$284&gt;='Assumptions and Sensis'!$F$45,I$284&lt;'Assumptions and Sensis'!$F$47),'S&amp;U'!$H39/ROUNDUP('Assumptions and Sensis'!$F$46/12,0),0))</f>
        <v>0</v>
      </c>
      <c r="J285" s="33">
        <f>+IF(AND(J$284&gt;='Assumptions and Sensis'!$F$43,J$284&lt;'Assumptions and Sensis'!$F$45),'S&amp;U'!$H7/ROUNDUP('Assumptions and Sensis'!$F$44/12,0),IF(AND(J$284&gt;='Assumptions and Sensis'!$F$45,J$284&lt;'Assumptions and Sensis'!$F$47),'S&amp;U'!$H39/ROUNDUP('Assumptions and Sensis'!$F$46/12,0),0))</f>
        <v>0</v>
      </c>
      <c r="K285" s="33">
        <f>+IF(AND(K$284&gt;='Assumptions and Sensis'!$F$43,K$284&lt;'Assumptions and Sensis'!$F$45),'S&amp;U'!$H7/ROUNDUP('Assumptions and Sensis'!$F$44/12,0),IF(AND(K$284&gt;='Assumptions and Sensis'!$F$45,K$284&lt;'Assumptions and Sensis'!$F$47),'S&amp;U'!$H39/ROUNDUP('Assumptions and Sensis'!$F$46/12,0),0))</f>
        <v>0</v>
      </c>
      <c r="L285" s="33">
        <f>+IF(AND(L$284&gt;='Assumptions and Sensis'!$F$43,L$284&lt;'Assumptions and Sensis'!$F$45),'S&amp;U'!$H7/ROUNDUP('Assumptions and Sensis'!$F$44/12,0),IF(AND(L$284&gt;='Assumptions and Sensis'!$F$45,L$284&lt;'Assumptions and Sensis'!$F$47),'S&amp;U'!$H39/ROUNDUP('Assumptions and Sensis'!$F$46/12,0),0))</f>
        <v>0</v>
      </c>
      <c r="M285" s="33">
        <f>+IF(AND(M$284&gt;='Assumptions and Sensis'!$F$43,M$284&lt;'Assumptions and Sensis'!$F$45),'S&amp;U'!$H7/ROUNDUP('Assumptions and Sensis'!$F$44/12,0),IF(AND(M$284&gt;='Assumptions and Sensis'!$F$45,M$284&lt;'Assumptions and Sensis'!$F$47),'S&amp;U'!$H39/ROUNDUP('Assumptions and Sensis'!$F$46/12,0),0))</f>
        <v>0</v>
      </c>
      <c r="N285" s="33">
        <f>+IF(AND(N$284&gt;='Assumptions and Sensis'!$F$43,N$284&lt;'Assumptions and Sensis'!$F$45),'S&amp;U'!$H7/ROUNDUP('Assumptions and Sensis'!$F$44/12,0),IF(AND(N$284&gt;='Assumptions and Sensis'!$F$45,N$284&lt;'Assumptions and Sensis'!$F$47),'S&amp;U'!$H39/ROUNDUP('Assumptions and Sensis'!$F$46/12,0),0))</f>
        <v>0</v>
      </c>
      <c r="O285" s="33">
        <f>+IF(AND(O$284&gt;='Assumptions and Sensis'!$F$43,O$284&lt;'Assumptions and Sensis'!$F$45),'S&amp;U'!$H7/ROUNDUP('Assumptions and Sensis'!$F$44/12,0),IF(AND(O$284&gt;='Assumptions and Sensis'!$F$45,O$284&lt;'Assumptions and Sensis'!$F$47),'S&amp;U'!$H39/ROUNDUP('Assumptions and Sensis'!$F$46/12,0),0))</f>
        <v>0</v>
      </c>
      <c r="P285" s="33">
        <f>+IF(AND(P$284&gt;='Assumptions and Sensis'!$F$43,P$284&lt;'Assumptions and Sensis'!$F$45),'S&amp;U'!$H7/ROUNDUP('Assumptions and Sensis'!$F$44/12,0),IF(AND(P$284&gt;='Assumptions and Sensis'!$F$45,P$284&lt;'Assumptions and Sensis'!$F$47),'S&amp;U'!$H39/ROUNDUP('Assumptions and Sensis'!$F$46/12,0),0))</f>
        <v>0</v>
      </c>
      <c r="Q285" s="33">
        <f>+IF(AND(Q$284&gt;='Assumptions and Sensis'!$F$43,Q$284&lt;'Assumptions and Sensis'!$F$45),'S&amp;U'!$H7/ROUNDUP('Assumptions and Sensis'!$F$44/12,0),IF(AND(Q$284&gt;='Assumptions and Sensis'!$F$45,Q$284&lt;'Assumptions and Sensis'!$F$47),'S&amp;U'!$H39/ROUNDUP('Assumptions and Sensis'!$F$46/12,0),0))</f>
        <v>0</v>
      </c>
      <c r="R285" s="33">
        <f>+IF(AND(R$284&gt;='Assumptions and Sensis'!$F$43,R$284&lt;'Assumptions and Sensis'!$F$45),'S&amp;U'!$H7/ROUNDUP('Assumptions and Sensis'!$F$44/12,0),IF(AND(R$284&gt;='Assumptions and Sensis'!$F$45,R$284&lt;'Assumptions and Sensis'!$F$47),'S&amp;U'!$H39/ROUNDUP('Assumptions and Sensis'!$F$46/12,0),0))</f>
        <v>0</v>
      </c>
      <c r="S285" s="33">
        <f>+IF(AND(S$284&gt;='Assumptions and Sensis'!$F$43,S$284&lt;'Assumptions and Sensis'!$F$45),'S&amp;U'!$H7/ROUNDUP('Assumptions and Sensis'!$F$44/12,0),IF(AND(S$284&gt;='Assumptions and Sensis'!$F$45,S$284&lt;'Assumptions and Sensis'!$F$47),'S&amp;U'!$H39/ROUNDUP('Assumptions and Sensis'!$F$46/12,0),0))</f>
        <v>0</v>
      </c>
      <c r="T285" s="33">
        <f>+IF(AND(T$284&gt;='Assumptions and Sensis'!$F$43,T$284&lt;'Assumptions and Sensis'!$F$45),'S&amp;U'!$H7/ROUNDUP('Assumptions and Sensis'!$F$44/12,0),IF(AND(T$284&gt;='Assumptions and Sensis'!$F$45,T$284&lt;'Assumptions and Sensis'!$F$47),'S&amp;U'!$H39/ROUNDUP('Assumptions and Sensis'!$F$46/12,0),0))</f>
        <v>0</v>
      </c>
      <c r="U285" s="33">
        <f>+IF(AND(U$284&gt;='Assumptions and Sensis'!$F$43,U$284&lt;'Assumptions and Sensis'!$F$45),'S&amp;U'!$H7/ROUNDUP('Assumptions and Sensis'!$F$44/12,0),IF(AND(U$284&gt;='Assumptions and Sensis'!$F$45,U$284&lt;'Assumptions and Sensis'!$F$47),'S&amp;U'!$H39/ROUNDUP('Assumptions and Sensis'!$F$46/12,0),0))</f>
        <v>0</v>
      </c>
      <c r="V285" s="33">
        <f>+IF(AND(V$284&gt;='Assumptions and Sensis'!$F$43,V$284&lt;'Assumptions and Sensis'!$F$45),'S&amp;U'!$H7/ROUNDUP('Assumptions and Sensis'!$F$44/12,0),IF(AND(V$284&gt;='Assumptions and Sensis'!$F$45,V$284&lt;'Assumptions and Sensis'!$F$47),'S&amp;U'!$H39/ROUNDUP('Assumptions and Sensis'!$F$46/12,0),0))</f>
        <v>0</v>
      </c>
      <c r="W285" s="33">
        <f>+IF(AND(W$284&gt;='Assumptions and Sensis'!$F$43,W$284&lt;'Assumptions and Sensis'!$F$45),'S&amp;U'!$H7/ROUNDUP('Assumptions and Sensis'!$F$44/12,0),IF(AND(W$284&gt;='Assumptions and Sensis'!$F$45,W$284&lt;'Assumptions and Sensis'!$F$47),'S&amp;U'!$H39/ROUNDUP('Assumptions and Sensis'!$F$46/12,0),0))</f>
        <v>0</v>
      </c>
      <c r="X285" s="33">
        <f>+IF(AND(X$284&gt;='Assumptions and Sensis'!$F$43,X$284&lt;'Assumptions and Sensis'!$F$45),'S&amp;U'!$H7/ROUNDUP('Assumptions and Sensis'!$F$44/12,0),IF(AND(X$284&gt;='Assumptions and Sensis'!$F$45,X$284&lt;'Assumptions and Sensis'!$F$47),'S&amp;U'!$H39/ROUNDUP('Assumptions and Sensis'!$F$46/12,0),0))</f>
        <v>0</v>
      </c>
      <c r="Y285" s="33">
        <f>+IF(AND(Y$284&gt;='Assumptions and Sensis'!$F$43,Y$284&lt;'Assumptions and Sensis'!$F$45),'S&amp;U'!$H7/ROUNDUP('Assumptions and Sensis'!$F$44/12,0),IF(AND(Y$284&gt;='Assumptions and Sensis'!$F$45,Y$284&lt;'Assumptions and Sensis'!$F$47),'S&amp;U'!$H39/ROUNDUP('Assumptions and Sensis'!$F$46/12,0),0))</f>
        <v>0</v>
      </c>
      <c r="Z285" s="33">
        <f>+IF(AND(Z$284&gt;='Assumptions and Sensis'!$F$43,Z$284&lt;'Assumptions and Sensis'!$F$45),'S&amp;U'!$H7/ROUNDUP('Assumptions and Sensis'!$F$44/12,0),IF(AND(Z$284&gt;='Assumptions and Sensis'!$F$45,Z$284&lt;'Assumptions and Sensis'!$F$47),'S&amp;U'!$H39/ROUNDUP('Assumptions and Sensis'!$F$46/12,0),0))</f>
        <v>0</v>
      </c>
    </row>
    <row r="286" spans="2:26" x14ac:dyDescent="0.2">
      <c r="B286" s="32" t="s">
        <v>8</v>
      </c>
      <c r="D286" s="47">
        <f t="shared" ref="D286:D291" si="547">+SUM(F286:Z286)</f>
        <v>31353547.897872344</v>
      </c>
      <c r="E286" s="47"/>
      <c r="F286" s="150">
        <f>+IF(AND(F$284&gt;='Assumptions and Sensis'!$F$43,F$284&lt;'Assumptions and Sensis'!$F$45),'S&amp;U'!$H8/ROUNDUP('Assumptions and Sensis'!$F$44/12,0),IF(AND(F$284&gt;='Assumptions and Sensis'!$F$45,F$284&lt;'Assumptions and Sensis'!$F$47),'S&amp;U'!$H40/ROUNDUP('Assumptions and Sensis'!$F$46/12,0),0))</f>
        <v>31353547.897872344</v>
      </c>
      <c r="G286" s="150">
        <f>+IF(AND(G$284&gt;='Assumptions and Sensis'!$F$43,G$284&lt;'Assumptions and Sensis'!$F$45),'S&amp;U'!$H8/ROUNDUP('Assumptions and Sensis'!$F$44/12,0),IF(AND(G$284&gt;='Assumptions and Sensis'!$F$45,G$284&lt;'Assumptions and Sensis'!$F$47),'S&amp;U'!$H40/ROUNDUP('Assumptions and Sensis'!$F$46/12,0),0))</f>
        <v>0</v>
      </c>
      <c r="H286" s="150">
        <f>+IF(AND(H$284&gt;='Assumptions and Sensis'!$F$43,H$284&lt;'Assumptions and Sensis'!$F$45),'S&amp;U'!$H8/ROUNDUP('Assumptions and Sensis'!$F$44/12,0),IF(AND(H$284&gt;='Assumptions and Sensis'!$F$45,H$284&lt;'Assumptions and Sensis'!$F$47),'S&amp;U'!$H40/ROUNDUP('Assumptions and Sensis'!$F$46/12,0),0))</f>
        <v>0</v>
      </c>
      <c r="I286" s="150">
        <f>+IF(AND(I$284&gt;='Assumptions and Sensis'!$F$43,I$284&lt;'Assumptions and Sensis'!$F$45),'S&amp;U'!$H8/ROUNDUP('Assumptions and Sensis'!$F$44/12,0),IF(AND(I$284&gt;='Assumptions and Sensis'!$F$45,I$284&lt;'Assumptions and Sensis'!$F$47),'S&amp;U'!$H40/ROUNDUP('Assumptions and Sensis'!$F$46/12,0),0))</f>
        <v>0</v>
      </c>
      <c r="J286" s="150">
        <f>+IF(AND(J$284&gt;='Assumptions and Sensis'!$F$43,J$284&lt;'Assumptions and Sensis'!$F$45),'S&amp;U'!$H8/ROUNDUP('Assumptions and Sensis'!$F$44/12,0),IF(AND(J$284&gt;='Assumptions and Sensis'!$F$45,J$284&lt;'Assumptions and Sensis'!$F$47),'S&amp;U'!$H40/ROUNDUP('Assumptions and Sensis'!$F$46/12,0),0))</f>
        <v>0</v>
      </c>
      <c r="K286" s="150">
        <f>+IF(AND(K$284&gt;='Assumptions and Sensis'!$F$43,K$284&lt;'Assumptions and Sensis'!$F$45),'S&amp;U'!$H8/ROUNDUP('Assumptions and Sensis'!$F$44/12,0),IF(AND(K$284&gt;='Assumptions and Sensis'!$F$45,K$284&lt;'Assumptions and Sensis'!$F$47),'S&amp;U'!$H40/ROUNDUP('Assumptions and Sensis'!$F$46/12,0),0))</f>
        <v>0</v>
      </c>
      <c r="L286" s="150">
        <f>+IF(AND(L$284&gt;='Assumptions and Sensis'!$F$43,L$284&lt;'Assumptions and Sensis'!$F$45),'S&amp;U'!$H8/ROUNDUP('Assumptions and Sensis'!$F$44/12,0),IF(AND(L$284&gt;='Assumptions and Sensis'!$F$45,L$284&lt;'Assumptions and Sensis'!$F$47),'S&amp;U'!$H40/ROUNDUP('Assumptions and Sensis'!$F$46/12,0),0))</f>
        <v>0</v>
      </c>
      <c r="M286" s="150">
        <f>+IF(AND(M$284&gt;='Assumptions and Sensis'!$F$43,M$284&lt;'Assumptions and Sensis'!$F$45),'S&amp;U'!$H8/ROUNDUP('Assumptions and Sensis'!$F$44/12,0),IF(AND(M$284&gt;='Assumptions and Sensis'!$F$45,M$284&lt;'Assumptions and Sensis'!$F$47),'S&amp;U'!$H40/ROUNDUP('Assumptions and Sensis'!$F$46/12,0),0))</f>
        <v>0</v>
      </c>
      <c r="N286" s="150">
        <f>+IF(AND(N$284&gt;='Assumptions and Sensis'!$F$43,N$284&lt;'Assumptions and Sensis'!$F$45),'S&amp;U'!$H8/ROUNDUP('Assumptions and Sensis'!$F$44/12,0),IF(AND(N$284&gt;='Assumptions and Sensis'!$F$45,N$284&lt;'Assumptions and Sensis'!$F$47),'S&amp;U'!$H40/ROUNDUP('Assumptions and Sensis'!$F$46/12,0),0))</f>
        <v>0</v>
      </c>
      <c r="O286" s="150">
        <f>+IF(AND(O$284&gt;='Assumptions and Sensis'!$F$43,O$284&lt;'Assumptions and Sensis'!$F$45),'S&amp;U'!$H8/ROUNDUP('Assumptions and Sensis'!$F$44/12,0),IF(AND(O$284&gt;='Assumptions and Sensis'!$F$45,O$284&lt;'Assumptions and Sensis'!$F$47),'S&amp;U'!$H40/ROUNDUP('Assumptions and Sensis'!$F$46/12,0),0))</f>
        <v>0</v>
      </c>
      <c r="P286" s="150">
        <f>+IF(AND(P$284&gt;='Assumptions and Sensis'!$F$43,P$284&lt;'Assumptions and Sensis'!$F$45),'S&amp;U'!$H8/ROUNDUP('Assumptions and Sensis'!$F$44/12,0),IF(AND(P$284&gt;='Assumptions and Sensis'!$F$45,P$284&lt;'Assumptions and Sensis'!$F$47),'S&amp;U'!$H40/ROUNDUP('Assumptions and Sensis'!$F$46/12,0),0))</f>
        <v>0</v>
      </c>
      <c r="Q286" s="150">
        <f>+IF(AND(Q$284&gt;='Assumptions and Sensis'!$F$43,Q$284&lt;'Assumptions and Sensis'!$F$45),'S&amp;U'!$H8/ROUNDUP('Assumptions and Sensis'!$F$44/12,0),IF(AND(Q$284&gt;='Assumptions and Sensis'!$F$45,Q$284&lt;'Assumptions and Sensis'!$F$47),'S&amp;U'!$H40/ROUNDUP('Assumptions and Sensis'!$F$46/12,0),0))</f>
        <v>0</v>
      </c>
      <c r="R286" s="150">
        <f>+IF(AND(R$284&gt;='Assumptions and Sensis'!$F$43,R$284&lt;'Assumptions and Sensis'!$F$45),'S&amp;U'!$H8/ROUNDUP('Assumptions and Sensis'!$F$44/12,0),IF(AND(R$284&gt;='Assumptions and Sensis'!$F$45,R$284&lt;'Assumptions and Sensis'!$F$47),'S&amp;U'!$H40/ROUNDUP('Assumptions and Sensis'!$F$46/12,0),0))</f>
        <v>0</v>
      </c>
      <c r="S286" s="150">
        <f>+IF(AND(S$284&gt;='Assumptions and Sensis'!$F$43,S$284&lt;'Assumptions and Sensis'!$F$45),'S&amp;U'!$H8/ROUNDUP('Assumptions and Sensis'!$F$44/12,0),IF(AND(S$284&gt;='Assumptions and Sensis'!$F$45,S$284&lt;'Assumptions and Sensis'!$F$47),'S&amp;U'!$H40/ROUNDUP('Assumptions and Sensis'!$F$46/12,0),0))</f>
        <v>0</v>
      </c>
      <c r="T286" s="150">
        <f>+IF(AND(T$284&gt;='Assumptions and Sensis'!$F$43,T$284&lt;'Assumptions and Sensis'!$F$45),'S&amp;U'!$H8/ROUNDUP('Assumptions and Sensis'!$F$44/12,0),IF(AND(T$284&gt;='Assumptions and Sensis'!$F$45,T$284&lt;'Assumptions and Sensis'!$F$47),'S&amp;U'!$H40/ROUNDUP('Assumptions and Sensis'!$F$46/12,0),0))</f>
        <v>0</v>
      </c>
      <c r="U286" s="150">
        <f>+IF(AND(U$284&gt;='Assumptions and Sensis'!$F$43,U$284&lt;'Assumptions and Sensis'!$F$45),'S&amp;U'!$H8/ROUNDUP('Assumptions and Sensis'!$F$44/12,0),IF(AND(U$284&gt;='Assumptions and Sensis'!$F$45,U$284&lt;'Assumptions and Sensis'!$F$47),'S&amp;U'!$H40/ROUNDUP('Assumptions and Sensis'!$F$46/12,0),0))</f>
        <v>0</v>
      </c>
      <c r="V286" s="150">
        <f>+IF(AND(V$284&gt;='Assumptions and Sensis'!$F$43,V$284&lt;'Assumptions and Sensis'!$F$45),'S&amp;U'!$H8/ROUNDUP('Assumptions and Sensis'!$F$44/12,0),IF(AND(V$284&gt;='Assumptions and Sensis'!$F$45,V$284&lt;'Assumptions and Sensis'!$F$47),'S&amp;U'!$H40/ROUNDUP('Assumptions and Sensis'!$F$46/12,0),0))</f>
        <v>0</v>
      </c>
      <c r="W286" s="150">
        <f>+IF(AND(W$284&gt;='Assumptions and Sensis'!$F$43,W$284&lt;'Assumptions and Sensis'!$F$45),'S&amp;U'!$H8/ROUNDUP('Assumptions and Sensis'!$F$44/12,0),IF(AND(W$284&gt;='Assumptions and Sensis'!$F$45,W$284&lt;'Assumptions and Sensis'!$F$47),'S&amp;U'!$H40/ROUNDUP('Assumptions and Sensis'!$F$46/12,0),0))</f>
        <v>0</v>
      </c>
      <c r="X286" s="150">
        <f>+IF(AND(X$284&gt;='Assumptions and Sensis'!$F$43,X$284&lt;'Assumptions and Sensis'!$F$45),'S&amp;U'!$H8/ROUNDUP('Assumptions and Sensis'!$F$44/12,0),IF(AND(X$284&gt;='Assumptions and Sensis'!$F$45,X$284&lt;'Assumptions and Sensis'!$F$47),'S&amp;U'!$H40/ROUNDUP('Assumptions and Sensis'!$F$46/12,0),0))</f>
        <v>0</v>
      </c>
      <c r="Y286" s="150">
        <f>+IF(AND(Y$284&gt;='Assumptions and Sensis'!$F$43,Y$284&lt;'Assumptions and Sensis'!$F$45),'S&amp;U'!$H8/ROUNDUP('Assumptions and Sensis'!$F$44/12,0),IF(AND(Y$284&gt;='Assumptions and Sensis'!$F$45,Y$284&lt;'Assumptions and Sensis'!$F$47),'S&amp;U'!$H40/ROUNDUP('Assumptions and Sensis'!$F$46/12,0),0))</f>
        <v>0</v>
      </c>
      <c r="Z286" s="150">
        <f>+IF(AND(Z$284&gt;='Assumptions and Sensis'!$F$43,Z$284&lt;'Assumptions and Sensis'!$F$45),'S&amp;U'!$H8/ROUNDUP('Assumptions and Sensis'!$F$44/12,0),IF(AND(Z$284&gt;='Assumptions and Sensis'!$F$45,Z$284&lt;'Assumptions and Sensis'!$F$47),'S&amp;U'!$H40/ROUNDUP('Assumptions and Sensis'!$F$46/12,0),0))</f>
        <v>0</v>
      </c>
    </row>
    <row r="287" spans="2:26" x14ac:dyDescent="0.2">
      <c r="B287" s="32" t="s">
        <v>57</v>
      </c>
      <c r="D287" s="47">
        <f t="shared" ca="1" si="547"/>
        <v>297663456.66999996</v>
      </c>
      <c r="E287" s="47"/>
      <c r="F287" s="150">
        <f>+IF(AND(F$284&gt;='Assumptions and Sensis'!$F$43,F$284&lt;'Assumptions and Sensis'!$F$45),'S&amp;U'!$H9/ROUNDUP('Assumptions and Sensis'!$F$44/12,0),IF(AND(F$284&gt;='Assumptions and Sensis'!$F$45,F$284&lt;'Assumptions and Sensis'!$F$47),'S&amp;U'!$H41/ROUNDUP('Assumptions and Sensis'!$F$46/12,0),0))</f>
        <v>160000</v>
      </c>
      <c r="G287" s="150">
        <f ca="1">+IF(AND(G$284&gt;='Assumptions and Sensis'!$F$43,G$284&lt;'Assumptions and Sensis'!$F$45),'S&amp;U'!$H9/ROUNDUP('Assumptions and Sensis'!$F$44/12,0),IF(AND(G$284&gt;='Assumptions and Sensis'!$F$45,G$284&lt;'Assumptions and Sensis'!$F$47),'S&amp;U'!$H41/ROUNDUP('Assumptions and Sensis'!$F$46/12,0),0))</f>
        <v>148751728.33499998</v>
      </c>
      <c r="H287" s="150">
        <f ca="1">+IF(AND(H$284&gt;='Assumptions and Sensis'!$F$43,H$284&lt;'Assumptions and Sensis'!$F$45),'S&amp;U'!$H9/ROUNDUP('Assumptions and Sensis'!$F$44/12,0),IF(AND(H$284&gt;='Assumptions and Sensis'!$F$45,H$284&lt;'Assumptions and Sensis'!$F$47),'S&amp;U'!$H41/ROUNDUP('Assumptions and Sensis'!$F$46/12,0),0))</f>
        <v>148751728.33499998</v>
      </c>
      <c r="I287" s="150">
        <f>+IF(AND(I$284&gt;='Assumptions and Sensis'!$F$43,I$284&lt;'Assumptions and Sensis'!$F$45),'S&amp;U'!$H9/ROUNDUP('Assumptions and Sensis'!$F$44/12,0),IF(AND(I$284&gt;='Assumptions and Sensis'!$F$45,I$284&lt;'Assumptions and Sensis'!$F$47),'S&amp;U'!$H41/ROUNDUP('Assumptions and Sensis'!$F$46/12,0),0))</f>
        <v>0</v>
      </c>
      <c r="J287" s="150">
        <f>+IF(AND(J$284&gt;='Assumptions and Sensis'!$F$43,J$284&lt;'Assumptions and Sensis'!$F$45),'S&amp;U'!$H9/ROUNDUP('Assumptions and Sensis'!$F$44/12,0),IF(AND(J$284&gt;='Assumptions and Sensis'!$F$45,J$284&lt;'Assumptions and Sensis'!$F$47),'S&amp;U'!$H41/ROUNDUP('Assumptions and Sensis'!$F$46/12,0),0))</f>
        <v>0</v>
      </c>
      <c r="K287" s="150">
        <f>+IF(AND(K$284&gt;='Assumptions and Sensis'!$F$43,K$284&lt;'Assumptions and Sensis'!$F$45),'S&amp;U'!$H9/ROUNDUP('Assumptions and Sensis'!$F$44/12,0),IF(AND(K$284&gt;='Assumptions and Sensis'!$F$45,K$284&lt;'Assumptions and Sensis'!$F$47),'S&amp;U'!$H41/ROUNDUP('Assumptions and Sensis'!$F$46/12,0),0))</f>
        <v>0</v>
      </c>
      <c r="L287" s="150">
        <f>+IF(AND(L$284&gt;='Assumptions and Sensis'!$F$43,L$284&lt;'Assumptions and Sensis'!$F$45),'S&amp;U'!$H9/ROUNDUP('Assumptions and Sensis'!$F$44/12,0),IF(AND(L$284&gt;='Assumptions and Sensis'!$F$45,L$284&lt;'Assumptions and Sensis'!$F$47),'S&amp;U'!$H41/ROUNDUP('Assumptions and Sensis'!$F$46/12,0),0))</f>
        <v>0</v>
      </c>
      <c r="M287" s="150">
        <f>+IF(AND(M$284&gt;='Assumptions and Sensis'!$F$43,M$284&lt;'Assumptions and Sensis'!$F$45),'S&amp;U'!$H9/ROUNDUP('Assumptions and Sensis'!$F$44/12,0),IF(AND(M$284&gt;='Assumptions and Sensis'!$F$45,M$284&lt;'Assumptions and Sensis'!$F$47),'S&amp;U'!$H41/ROUNDUP('Assumptions and Sensis'!$F$46/12,0),0))</f>
        <v>0</v>
      </c>
      <c r="N287" s="150">
        <f>+IF(AND(N$284&gt;='Assumptions and Sensis'!$F$43,N$284&lt;'Assumptions and Sensis'!$F$45),'S&amp;U'!$H9/ROUNDUP('Assumptions and Sensis'!$F$44/12,0),IF(AND(N$284&gt;='Assumptions and Sensis'!$F$45,N$284&lt;'Assumptions and Sensis'!$F$47),'S&amp;U'!$H41/ROUNDUP('Assumptions and Sensis'!$F$46/12,0),0))</f>
        <v>0</v>
      </c>
      <c r="O287" s="150">
        <f>+IF(AND(O$284&gt;='Assumptions and Sensis'!$F$43,O$284&lt;'Assumptions and Sensis'!$F$45),'S&amp;U'!$H9/ROUNDUP('Assumptions and Sensis'!$F$44/12,0),IF(AND(O$284&gt;='Assumptions and Sensis'!$F$45,O$284&lt;'Assumptions and Sensis'!$F$47),'S&amp;U'!$H41/ROUNDUP('Assumptions and Sensis'!$F$46/12,0),0))</f>
        <v>0</v>
      </c>
      <c r="P287" s="150">
        <f>+IF(AND(P$284&gt;='Assumptions and Sensis'!$F$43,P$284&lt;'Assumptions and Sensis'!$F$45),'S&amp;U'!$H9/ROUNDUP('Assumptions and Sensis'!$F$44/12,0),IF(AND(P$284&gt;='Assumptions and Sensis'!$F$45,P$284&lt;'Assumptions and Sensis'!$F$47),'S&amp;U'!$H41/ROUNDUP('Assumptions and Sensis'!$F$46/12,0),0))</f>
        <v>0</v>
      </c>
      <c r="Q287" s="150">
        <f>+IF(AND(Q$284&gt;='Assumptions and Sensis'!$F$43,Q$284&lt;'Assumptions and Sensis'!$F$45),'S&amp;U'!$H9/ROUNDUP('Assumptions and Sensis'!$F$44/12,0),IF(AND(Q$284&gt;='Assumptions and Sensis'!$F$45,Q$284&lt;'Assumptions and Sensis'!$F$47),'S&amp;U'!$H41/ROUNDUP('Assumptions and Sensis'!$F$46/12,0),0))</f>
        <v>0</v>
      </c>
      <c r="R287" s="150">
        <f>+IF(AND(R$284&gt;='Assumptions and Sensis'!$F$43,R$284&lt;'Assumptions and Sensis'!$F$45),'S&amp;U'!$H9/ROUNDUP('Assumptions and Sensis'!$F$44/12,0),IF(AND(R$284&gt;='Assumptions and Sensis'!$F$45,R$284&lt;'Assumptions and Sensis'!$F$47),'S&amp;U'!$H41/ROUNDUP('Assumptions and Sensis'!$F$46/12,0),0))</f>
        <v>0</v>
      </c>
      <c r="S287" s="150">
        <f>+IF(AND(S$284&gt;='Assumptions and Sensis'!$F$43,S$284&lt;'Assumptions and Sensis'!$F$45),'S&amp;U'!$H9/ROUNDUP('Assumptions and Sensis'!$F$44/12,0),IF(AND(S$284&gt;='Assumptions and Sensis'!$F$45,S$284&lt;'Assumptions and Sensis'!$F$47),'S&amp;U'!$H41/ROUNDUP('Assumptions and Sensis'!$F$46/12,0),0))</f>
        <v>0</v>
      </c>
      <c r="T287" s="150">
        <f>+IF(AND(T$284&gt;='Assumptions and Sensis'!$F$43,T$284&lt;'Assumptions and Sensis'!$F$45),'S&amp;U'!$H9/ROUNDUP('Assumptions and Sensis'!$F$44/12,0),IF(AND(T$284&gt;='Assumptions and Sensis'!$F$45,T$284&lt;'Assumptions and Sensis'!$F$47),'S&amp;U'!$H41/ROUNDUP('Assumptions and Sensis'!$F$46/12,0),0))</f>
        <v>0</v>
      </c>
      <c r="U287" s="150">
        <f>+IF(AND(U$284&gt;='Assumptions and Sensis'!$F$43,U$284&lt;'Assumptions and Sensis'!$F$45),'S&amp;U'!$H9/ROUNDUP('Assumptions and Sensis'!$F$44/12,0),IF(AND(U$284&gt;='Assumptions and Sensis'!$F$45,U$284&lt;'Assumptions and Sensis'!$F$47),'S&amp;U'!$H41/ROUNDUP('Assumptions and Sensis'!$F$46/12,0),0))</f>
        <v>0</v>
      </c>
      <c r="V287" s="150">
        <f>+IF(AND(V$284&gt;='Assumptions and Sensis'!$F$43,V$284&lt;'Assumptions and Sensis'!$F$45),'S&amp;U'!$H9/ROUNDUP('Assumptions and Sensis'!$F$44/12,0),IF(AND(V$284&gt;='Assumptions and Sensis'!$F$45,V$284&lt;'Assumptions and Sensis'!$F$47),'S&amp;U'!$H41/ROUNDUP('Assumptions and Sensis'!$F$46/12,0),0))</f>
        <v>0</v>
      </c>
      <c r="W287" s="150">
        <f>+IF(AND(W$284&gt;='Assumptions and Sensis'!$F$43,W$284&lt;'Assumptions and Sensis'!$F$45),'S&amp;U'!$H9/ROUNDUP('Assumptions and Sensis'!$F$44/12,0),IF(AND(W$284&gt;='Assumptions and Sensis'!$F$45,W$284&lt;'Assumptions and Sensis'!$F$47),'S&amp;U'!$H41/ROUNDUP('Assumptions and Sensis'!$F$46/12,0),0))</f>
        <v>0</v>
      </c>
      <c r="X287" s="150">
        <f>+IF(AND(X$284&gt;='Assumptions and Sensis'!$F$43,X$284&lt;'Assumptions and Sensis'!$F$45),'S&amp;U'!$H9/ROUNDUP('Assumptions and Sensis'!$F$44/12,0),IF(AND(X$284&gt;='Assumptions and Sensis'!$F$45,X$284&lt;'Assumptions and Sensis'!$F$47),'S&amp;U'!$H41/ROUNDUP('Assumptions and Sensis'!$F$46/12,0),0))</f>
        <v>0</v>
      </c>
      <c r="Y287" s="150">
        <f>+IF(AND(Y$284&gt;='Assumptions and Sensis'!$F$43,Y$284&lt;'Assumptions and Sensis'!$F$45),'S&amp;U'!$H9/ROUNDUP('Assumptions and Sensis'!$F$44/12,0),IF(AND(Y$284&gt;='Assumptions and Sensis'!$F$45,Y$284&lt;'Assumptions and Sensis'!$F$47),'S&amp;U'!$H41/ROUNDUP('Assumptions and Sensis'!$F$46/12,0),0))</f>
        <v>0</v>
      </c>
      <c r="Z287" s="150">
        <f>+IF(AND(Z$284&gt;='Assumptions and Sensis'!$F$43,Z$284&lt;'Assumptions and Sensis'!$F$45),'S&amp;U'!$H9/ROUNDUP('Assumptions and Sensis'!$F$44/12,0),IF(AND(Z$284&gt;='Assumptions and Sensis'!$F$45,Z$284&lt;'Assumptions and Sensis'!$F$47),'S&amp;U'!$H41/ROUNDUP('Assumptions and Sensis'!$F$46/12,0),0))</f>
        <v>0</v>
      </c>
    </row>
    <row r="288" spans="2:26" x14ac:dyDescent="0.2">
      <c r="B288" s="32" t="s">
        <v>58</v>
      </c>
      <c r="D288" s="47">
        <f t="shared" ca="1" si="547"/>
        <v>23373365.864354212</v>
      </c>
      <c r="E288" s="47"/>
      <c r="F288" s="150">
        <f ca="1">+IF(AND(F$284&gt;='Assumptions and Sensis'!$F$43,F$284&lt;'Assumptions and Sensis'!$F$45),'S&amp;U'!$H10/ROUNDUP('Assumptions and Sensis'!$F$44/12,0),IF(AND(F$284&gt;='Assumptions and Sensis'!$F$45,F$284&lt;'Assumptions and Sensis'!$F$47),'S&amp;U'!$H42/ROUNDUP('Assumptions and Sensis'!$F$46/12,0),0))</f>
        <v>13091415.721346911</v>
      </c>
      <c r="G288" s="150">
        <f ca="1">+IF(AND(G$284&gt;='Assumptions and Sensis'!$F$43,G$284&lt;'Assumptions and Sensis'!$F$45),'S&amp;U'!$H10/ROUNDUP('Assumptions and Sensis'!$F$44/12,0),IF(AND(G$284&gt;='Assumptions and Sensis'!$F$45,G$284&lt;'Assumptions and Sensis'!$F$47),'S&amp;U'!$H42/ROUNDUP('Assumptions and Sensis'!$F$46/12,0),0))</f>
        <v>5140975.0715036504</v>
      </c>
      <c r="H288" s="150">
        <f ca="1">+IF(AND(H$284&gt;='Assumptions and Sensis'!$F$43,H$284&lt;'Assumptions and Sensis'!$F$45),'S&amp;U'!$H10/ROUNDUP('Assumptions and Sensis'!$F$44/12,0),IF(AND(H$284&gt;='Assumptions and Sensis'!$F$45,H$284&lt;'Assumptions and Sensis'!$F$47),'S&amp;U'!$H42/ROUNDUP('Assumptions and Sensis'!$F$46/12,0),0))</f>
        <v>5140975.0715036504</v>
      </c>
      <c r="I288" s="150">
        <f>+IF(AND(I$284&gt;='Assumptions and Sensis'!$F$43,I$284&lt;'Assumptions and Sensis'!$F$45),'S&amp;U'!$H10/ROUNDUP('Assumptions and Sensis'!$F$44/12,0),IF(AND(I$284&gt;='Assumptions and Sensis'!$F$45,I$284&lt;'Assumptions and Sensis'!$F$47),'S&amp;U'!$H42/ROUNDUP('Assumptions and Sensis'!$F$46/12,0),0))</f>
        <v>0</v>
      </c>
      <c r="J288" s="150">
        <f>+IF(AND(J$284&gt;='Assumptions and Sensis'!$F$43,J$284&lt;'Assumptions and Sensis'!$F$45),'S&amp;U'!$H10/ROUNDUP('Assumptions and Sensis'!$F$44/12,0),IF(AND(J$284&gt;='Assumptions and Sensis'!$F$45,J$284&lt;'Assumptions and Sensis'!$F$47),'S&amp;U'!$H42/ROUNDUP('Assumptions and Sensis'!$F$46/12,0),0))</f>
        <v>0</v>
      </c>
      <c r="K288" s="150">
        <f>+IF(AND(K$284&gt;='Assumptions and Sensis'!$F$43,K$284&lt;'Assumptions and Sensis'!$F$45),'S&amp;U'!$H10/ROUNDUP('Assumptions and Sensis'!$F$44/12,0),IF(AND(K$284&gt;='Assumptions and Sensis'!$F$45,K$284&lt;'Assumptions and Sensis'!$F$47),'S&amp;U'!$H42/ROUNDUP('Assumptions and Sensis'!$F$46/12,0),0))</f>
        <v>0</v>
      </c>
      <c r="L288" s="150">
        <f>+IF(AND(L$284&gt;='Assumptions and Sensis'!$F$43,L$284&lt;'Assumptions and Sensis'!$F$45),'S&amp;U'!$H10/ROUNDUP('Assumptions and Sensis'!$F$44/12,0),IF(AND(L$284&gt;='Assumptions and Sensis'!$F$45,L$284&lt;'Assumptions and Sensis'!$F$47),'S&amp;U'!$H42/ROUNDUP('Assumptions and Sensis'!$F$46/12,0),0))</f>
        <v>0</v>
      </c>
      <c r="M288" s="150">
        <f>+IF(AND(M$284&gt;='Assumptions and Sensis'!$F$43,M$284&lt;'Assumptions and Sensis'!$F$45),'S&amp;U'!$H10/ROUNDUP('Assumptions and Sensis'!$F$44/12,0),IF(AND(M$284&gt;='Assumptions and Sensis'!$F$45,M$284&lt;'Assumptions and Sensis'!$F$47),'S&amp;U'!$H42/ROUNDUP('Assumptions and Sensis'!$F$46/12,0),0))</f>
        <v>0</v>
      </c>
      <c r="N288" s="150">
        <f>+IF(AND(N$284&gt;='Assumptions and Sensis'!$F$43,N$284&lt;'Assumptions and Sensis'!$F$45),'S&amp;U'!$H10/ROUNDUP('Assumptions and Sensis'!$F$44/12,0),IF(AND(N$284&gt;='Assumptions and Sensis'!$F$45,N$284&lt;'Assumptions and Sensis'!$F$47),'S&amp;U'!$H42/ROUNDUP('Assumptions and Sensis'!$F$46/12,0),0))</f>
        <v>0</v>
      </c>
      <c r="O288" s="150">
        <f>+IF(AND(O$284&gt;='Assumptions and Sensis'!$F$43,O$284&lt;'Assumptions and Sensis'!$F$45),'S&amp;U'!$H10/ROUNDUP('Assumptions and Sensis'!$F$44/12,0),IF(AND(O$284&gt;='Assumptions and Sensis'!$F$45,O$284&lt;'Assumptions and Sensis'!$F$47),'S&amp;U'!$H42/ROUNDUP('Assumptions and Sensis'!$F$46/12,0),0))</f>
        <v>0</v>
      </c>
      <c r="P288" s="150">
        <f>+IF(AND(P$284&gt;='Assumptions and Sensis'!$F$43,P$284&lt;'Assumptions and Sensis'!$F$45),'S&amp;U'!$H10/ROUNDUP('Assumptions and Sensis'!$F$44/12,0),IF(AND(P$284&gt;='Assumptions and Sensis'!$F$45,P$284&lt;'Assumptions and Sensis'!$F$47),'S&amp;U'!$H42/ROUNDUP('Assumptions and Sensis'!$F$46/12,0),0))</f>
        <v>0</v>
      </c>
      <c r="Q288" s="150">
        <f>+IF(AND(Q$284&gt;='Assumptions and Sensis'!$F$43,Q$284&lt;'Assumptions and Sensis'!$F$45),'S&amp;U'!$H10/ROUNDUP('Assumptions and Sensis'!$F$44/12,0),IF(AND(Q$284&gt;='Assumptions and Sensis'!$F$45,Q$284&lt;'Assumptions and Sensis'!$F$47),'S&amp;U'!$H42/ROUNDUP('Assumptions and Sensis'!$F$46/12,0),0))</f>
        <v>0</v>
      </c>
      <c r="R288" s="150">
        <f>+IF(AND(R$284&gt;='Assumptions and Sensis'!$F$43,R$284&lt;'Assumptions and Sensis'!$F$45),'S&amp;U'!$H10/ROUNDUP('Assumptions and Sensis'!$F$44/12,0),IF(AND(R$284&gt;='Assumptions and Sensis'!$F$45,R$284&lt;'Assumptions and Sensis'!$F$47),'S&amp;U'!$H42/ROUNDUP('Assumptions and Sensis'!$F$46/12,0),0))</f>
        <v>0</v>
      </c>
      <c r="S288" s="150">
        <f>+IF(AND(S$284&gt;='Assumptions and Sensis'!$F$43,S$284&lt;'Assumptions and Sensis'!$F$45),'S&amp;U'!$H10/ROUNDUP('Assumptions and Sensis'!$F$44/12,0),IF(AND(S$284&gt;='Assumptions and Sensis'!$F$45,S$284&lt;'Assumptions and Sensis'!$F$47),'S&amp;U'!$H42/ROUNDUP('Assumptions and Sensis'!$F$46/12,0),0))</f>
        <v>0</v>
      </c>
      <c r="T288" s="150">
        <f>+IF(AND(T$284&gt;='Assumptions and Sensis'!$F$43,T$284&lt;'Assumptions and Sensis'!$F$45),'S&amp;U'!$H10/ROUNDUP('Assumptions and Sensis'!$F$44/12,0),IF(AND(T$284&gt;='Assumptions and Sensis'!$F$45,T$284&lt;'Assumptions and Sensis'!$F$47),'S&amp;U'!$H42/ROUNDUP('Assumptions and Sensis'!$F$46/12,0),0))</f>
        <v>0</v>
      </c>
      <c r="U288" s="150">
        <f>+IF(AND(U$284&gt;='Assumptions and Sensis'!$F$43,U$284&lt;'Assumptions and Sensis'!$F$45),'S&amp;U'!$H10/ROUNDUP('Assumptions and Sensis'!$F$44/12,0),IF(AND(U$284&gt;='Assumptions and Sensis'!$F$45,U$284&lt;'Assumptions and Sensis'!$F$47),'S&amp;U'!$H42/ROUNDUP('Assumptions and Sensis'!$F$46/12,0),0))</f>
        <v>0</v>
      </c>
      <c r="V288" s="150">
        <f>+IF(AND(V$284&gt;='Assumptions and Sensis'!$F$43,V$284&lt;'Assumptions and Sensis'!$F$45),'S&amp;U'!$H10/ROUNDUP('Assumptions and Sensis'!$F$44/12,0),IF(AND(V$284&gt;='Assumptions and Sensis'!$F$45,V$284&lt;'Assumptions and Sensis'!$F$47),'S&amp;U'!$H42/ROUNDUP('Assumptions and Sensis'!$F$46/12,0),0))</f>
        <v>0</v>
      </c>
      <c r="W288" s="150">
        <f>+IF(AND(W$284&gt;='Assumptions and Sensis'!$F$43,W$284&lt;'Assumptions and Sensis'!$F$45),'S&amp;U'!$H10/ROUNDUP('Assumptions and Sensis'!$F$44/12,0),IF(AND(W$284&gt;='Assumptions and Sensis'!$F$45,W$284&lt;'Assumptions and Sensis'!$F$47),'S&amp;U'!$H42/ROUNDUP('Assumptions and Sensis'!$F$46/12,0),0))</f>
        <v>0</v>
      </c>
      <c r="X288" s="150">
        <f>+IF(AND(X$284&gt;='Assumptions and Sensis'!$F$43,X$284&lt;'Assumptions and Sensis'!$F$45),'S&amp;U'!$H10/ROUNDUP('Assumptions and Sensis'!$F$44/12,0),IF(AND(X$284&gt;='Assumptions and Sensis'!$F$45,X$284&lt;'Assumptions and Sensis'!$F$47),'S&amp;U'!$H42/ROUNDUP('Assumptions and Sensis'!$F$46/12,0),0))</f>
        <v>0</v>
      </c>
      <c r="Y288" s="150">
        <f>+IF(AND(Y$284&gt;='Assumptions and Sensis'!$F$43,Y$284&lt;'Assumptions and Sensis'!$F$45),'S&amp;U'!$H10/ROUNDUP('Assumptions and Sensis'!$F$44/12,0),IF(AND(Y$284&gt;='Assumptions and Sensis'!$F$45,Y$284&lt;'Assumptions and Sensis'!$F$47),'S&amp;U'!$H42/ROUNDUP('Assumptions and Sensis'!$F$46/12,0),0))</f>
        <v>0</v>
      </c>
      <c r="Z288" s="150">
        <f>+IF(AND(Z$284&gt;='Assumptions and Sensis'!$F$43,Z$284&lt;'Assumptions and Sensis'!$F$45),'S&amp;U'!$H10/ROUNDUP('Assumptions and Sensis'!$F$44/12,0),IF(AND(Z$284&gt;='Assumptions and Sensis'!$F$45,Z$284&lt;'Assumptions and Sensis'!$F$47),'S&amp;U'!$H42/ROUNDUP('Assumptions and Sensis'!$F$46/12,0),0))</f>
        <v>0</v>
      </c>
    </row>
    <row r="289" spans="1:26" x14ac:dyDescent="0.2">
      <c r="B289" s="32" t="s">
        <v>80</v>
      </c>
      <c r="D289" s="47">
        <f t="shared" ca="1" si="547"/>
        <v>28165752.64513075</v>
      </c>
      <c r="E289" s="47"/>
      <c r="F289" s="150">
        <f>+IF(AND(F$284&gt;='Assumptions and Sensis'!$F$43,F$284&lt;'Assumptions and Sensis'!$F$45),'S&amp;U'!$H11/ROUNDUP('Assumptions and Sensis'!$F$44/12,0),IF(AND(F$284&gt;='Assumptions and Sensis'!$F$45,F$284&lt;'Assumptions and Sensis'!$F$47),'S&amp;U'!$H43/ROUNDUP('Assumptions and Sensis'!$F$46/12,0),0))</f>
        <v>0</v>
      </c>
      <c r="G289" s="150">
        <f ca="1">+IF(AND(G$284&gt;='Assumptions and Sensis'!$F$43,G$284&lt;'Assumptions and Sensis'!$F$45),'S&amp;U'!$H11/ROUNDUP('Assumptions and Sensis'!$F$44/12,0),IF(AND(G$284&gt;='Assumptions and Sensis'!$F$45,G$284&lt;'Assumptions and Sensis'!$F$47),'S&amp;U'!$H43/ROUNDUP('Assumptions and Sensis'!$F$46/12,0),0))</f>
        <v>14082876.322565375</v>
      </c>
      <c r="H289" s="150">
        <f ca="1">+IF(AND(H$284&gt;='Assumptions and Sensis'!$F$43,H$284&lt;'Assumptions and Sensis'!$F$45),'S&amp;U'!$H11/ROUNDUP('Assumptions and Sensis'!$F$44/12,0),IF(AND(H$284&gt;='Assumptions and Sensis'!$F$45,H$284&lt;'Assumptions and Sensis'!$F$47),'S&amp;U'!$H43/ROUNDUP('Assumptions and Sensis'!$F$46/12,0),0))</f>
        <v>14082876.322565375</v>
      </c>
      <c r="I289" s="150">
        <f>+IF(AND(I$284&gt;='Assumptions and Sensis'!$F$43,I$284&lt;'Assumptions and Sensis'!$F$45),'S&amp;U'!$H11/ROUNDUP('Assumptions and Sensis'!$F$44/12,0),IF(AND(I$284&gt;='Assumptions and Sensis'!$F$45,I$284&lt;'Assumptions and Sensis'!$F$47),'S&amp;U'!$H43/ROUNDUP('Assumptions and Sensis'!$F$46/12,0),0))</f>
        <v>0</v>
      </c>
      <c r="J289" s="150">
        <f>+IF(AND(J$284&gt;='Assumptions and Sensis'!$F$43,J$284&lt;'Assumptions and Sensis'!$F$45),'S&amp;U'!$H11/ROUNDUP('Assumptions and Sensis'!$F$44/12,0),IF(AND(J$284&gt;='Assumptions and Sensis'!$F$45,J$284&lt;'Assumptions and Sensis'!$F$47),'S&amp;U'!$H43/ROUNDUP('Assumptions and Sensis'!$F$46/12,0),0))</f>
        <v>0</v>
      </c>
      <c r="K289" s="150">
        <f>+IF(AND(K$284&gt;='Assumptions and Sensis'!$F$43,K$284&lt;'Assumptions and Sensis'!$F$45),'S&amp;U'!$H11/ROUNDUP('Assumptions and Sensis'!$F$44/12,0),IF(AND(K$284&gt;='Assumptions and Sensis'!$F$45,K$284&lt;'Assumptions and Sensis'!$F$47),'S&amp;U'!$H43/ROUNDUP('Assumptions and Sensis'!$F$46/12,0),0))</f>
        <v>0</v>
      </c>
      <c r="L289" s="150">
        <f>+IF(AND(L$284&gt;='Assumptions and Sensis'!$F$43,L$284&lt;'Assumptions and Sensis'!$F$45),'S&amp;U'!$H11/ROUNDUP('Assumptions and Sensis'!$F$44/12,0),IF(AND(L$284&gt;='Assumptions and Sensis'!$F$45,L$284&lt;'Assumptions and Sensis'!$F$47),'S&amp;U'!$H43/ROUNDUP('Assumptions and Sensis'!$F$46/12,0),0))</f>
        <v>0</v>
      </c>
      <c r="M289" s="150">
        <f>+IF(AND(M$284&gt;='Assumptions and Sensis'!$F$43,M$284&lt;'Assumptions and Sensis'!$F$45),'S&amp;U'!$H11/ROUNDUP('Assumptions and Sensis'!$F$44/12,0),IF(AND(M$284&gt;='Assumptions and Sensis'!$F$45,M$284&lt;'Assumptions and Sensis'!$F$47),'S&amp;U'!$H43/ROUNDUP('Assumptions and Sensis'!$F$46/12,0),0))</f>
        <v>0</v>
      </c>
      <c r="N289" s="150">
        <f>+IF(AND(N$284&gt;='Assumptions and Sensis'!$F$43,N$284&lt;'Assumptions and Sensis'!$F$45),'S&amp;U'!$H11/ROUNDUP('Assumptions and Sensis'!$F$44/12,0),IF(AND(N$284&gt;='Assumptions and Sensis'!$F$45,N$284&lt;'Assumptions and Sensis'!$F$47),'S&amp;U'!$H43/ROUNDUP('Assumptions and Sensis'!$F$46/12,0),0))</f>
        <v>0</v>
      </c>
      <c r="O289" s="150">
        <f>+IF(AND(O$284&gt;='Assumptions and Sensis'!$F$43,O$284&lt;'Assumptions and Sensis'!$F$45),'S&amp;U'!$H11/ROUNDUP('Assumptions and Sensis'!$F$44/12,0),IF(AND(O$284&gt;='Assumptions and Sensis'!$F$45,O$284&lt;'Assumptions and Sensis'!$F$47),'S&amp;U'!$H43/ROUNDUP('Assumptions and Sensis'!$F$46/12,0),0))</f>
        <v>0</v>
      </c>
      <c r="P289" s="150">
        <f>+IF(AND(P$284&gt;='Assumptions and Sensis'!$F$43,P$284&lt;'Assumptions and Sensis'!$F$45),'S&amp;U'!$H11/ROUNDUP('Assumptions and Sensis'!$F$44/12,0),IF(AND(P$284&gt;='Assumptions and Sensis'!$F$45,P$284&lt;'Assumptions and Sensis'!$F$47),'S&amp;U'!$H43/ROUNDUP('Assumptions and Sensis'!$F$46/12,0),0))</f>
        <v>0</v>
      </c>
      <c r="Q289" s="150">
        <f>+IF(AND(Q$284&gt;='Assumptions and Sensis'!$F$43,Q$284&lt;'Assumptions and Sensis'!$F$45),'S&amp;U'!$H11/ROUNDUP('Assumptions and Sensis'!$F$44/12,0),IF(AND(Q$284&gt;='Assumptions and Sensis'!$F$45,Q$284&lt;'Assumptions and Sensis'!$F$47),'S&amp;U'!$H43/ROUNDUP('Assumptions and Sensis'!$F$46/12,0),0))</f>
        <v>0</v>
      </c>
      <c r="R289" s="150">
        <f>+IF(AND(R$284&gt;='Assumptions and Sensis'!$F$43,R$284&lt;'Assumptions and Sensis'!$F$45),'S&amp;U'!$H11/ROUNDUP('Assumptions and Sensis'!$F$44/12,0),IF(AND(R$284&gt;='Assumptions and Sensis'!$F$45,R$284&lt;'Assumptions and Sensis'!$F$47),'S&amp;U'!$H43/ROUNDUP('Assumptions and Sensis'!$F$46/12,0),0))</f>
        <v>0</v>
      </c>
      <c r="S289" s="150">
        <f>+IF(AND(S$284&gt;='Assumptions and Sensis'!$F$43,S$284&lt;'Assumptions and Sensis'!$F$45),'S&amp;U'!$H11/ROUNDUP('Assumptions and Sensis'!$F$44/12,0),IF(AND(S$284&gt;='Assumptions and Sensis'!$F$45,S$284&lt;'Assumptions and Sensis'!$F$47),'S&amp;U'!$H43/ROUNDUP('Assumptions and Sensis'!$F$46/12,0),0))</f>
        <v>0</v>
      </c>
      <c r="T289" s="150">
        <f>+IF(AND(T$284&gt;='Assumptions and Sensis'!$F$43,T$284&lt;'Assumptions and Sensis'!$F$45),'S&amp;U'!$H11/ROUNDUP('Assumptions and Sensis'!$F$44/12,0),IF(AND(T$284&gt;='Assumptions and Sensis'!$F$45,T$284&lt;'Assumptions and Sensis'!$F$47),'S&amp;U'!$H43/ROUNDUP('Assumptions and Sensis'!$F$46/12,0),0))</f>
        <v>0</v>
      </c>
      <c r="U289" s="150">
        <f>+IF(AND(U$284&gt;='Assumptions and Sensis'!$F$43,U$284&lt;'Assumptions and Sensis'!$F$45),'S&amp;U'!$H11/ROUNDUP('Assumptions and Sensis'!$F$44/12,0),IF(AND(U$284&gt;='Assumptions and Sensis'!$F$45,U$284&lt;'Assumptions and Sensis'!$F$47),'S&amp;U'!$H43/ROUNDUP('Assumptions and Sensis'!$F$46/12,0),0))</f>
        <v>0</v>
      </c>
      <c r="V289" s="150">
        <f>+IF(AND(V$284&gt;='Assumptions and Sensis'!$F$43,V$284&lt;'Assumptions and Sensis'!$F$45),'S&amp;U'!$H11/ROUNDUP('Assumptions and Sensis'!$F$44/12,0),IF(AND(V$284&gt;='Assumptions and Sensis'!$F$45,V$284&lt;'Assumptions and Sensis'!$F$47),'S&amp;U'!$H43/ROUNDUP('Assumptions and Sensis'!$F$46/12,0),0))</f>
        <v>0</v>
      </c>
      <c r="W289" s="150">
        <f>+IF(AND(W$284&gt;='Assumptions and Sensis'!$F$43,W$284&lt;'Assumptions and Sensis'!$F$45),'S&amp;U'!$H11/ROUNDUP('Assumptions and Sensis'!$F$44/12,0),IF(AND(W$284&gt;='Assumptions and Sensis'!$F$45,W$284&lt;'Assumptions and Sensis'!$F$47),'S&amp;U'!$H43/ROUNDUP('Assumptions and Sensis'!$F$46/12,0),0))</f>
        <v>0</v>
      </c>
      <c r="X289" s="150">
        <f>+IF(AND(X$284&gt;='Assumptions and Sensis'!$F$43,X$284&lt;'Assumptions and Sensis'!$F$45),'S&amp;U'!$H11/ROUNDUP('Assumptions and Sensis'!$F$44/12,0),IF(AND(X$284&gt;='Assumptions and Sensis'!$F$45,X$284&lt;'Assumptions and Sensis'!$F$47),'S&amp;U'!$H43/ROUNDUP('Assumptions and Sensis'!$F$46/12,0),0))</f>
        <v>0</v>
      </c>
      <c r="Y289" s="150">
        <f>+IF(AND(Y$284&gt;='Assumptions and Sensis'!$F$43,Y$284&lt;'Assumptions and Sensis'!$F$45),'S&amp;U'!$H11/ROUNDUP('Assumptions and Sensis'!$F$44/12,0),IF(AND(Y$284&gt;='Assumptions and Sensis'!$F$45,Y$284&lt;'Assumptions and Sensis'!$F$47),'S&amp;U'!$H43/ROUNDUP('Assumptions and Sensis'!$F$46/12,0),0))</f>
        <v>0</v>
      </c>
      <c r="Z289" s="150">
        <f>+IF(AND(Z$284&gt;='Assumptions and Sensis'!$F$43,Z$284&lt;'Assumptions and Sensis'!$F$45),'S&amp;U'!$H11/ROUNDUP('Assumptions and Sensis'!$F$44/12,0),IF(AND(Z$284&gt;='Assumptions and Sensis'!$F$45,Z$284&lt;'Assumptions and Sensis'!$F$47),'S&amp;U'!$H43/ROUNDUP('Assumptions and Sensis'!$F$46/12,0),0))</f>
        <v>0</v>
      </c>
    </row>
    <row r="290" spans="1:26" x14ac:dyDescent="0.2">
      <c r="B290" s="32" t="s">
        <v>83</v>
      </c>
      <c r="D290" s="47">
        <f t="shared" ca="1" si="547"/>
        <v>764323.10105370777</v>
      </c>
      <c r="E290" s="47"/>
      <c r="F290" s="150">
        <f>+IF(AND(F$284&gt;='Assumptions and Sensis'!$F$43,F$284&lt;'Assumptions and Sensis'!$F$45),'S&amp;U'!$H12/ROUNDUP('Assumptions and Sensis'!$F$44/12,0),IF(AND(F$284&gt;='Assumptions and Sensis'!$F$45,F$284&lt;'Assumptions and Sensis'!$F$47),'S&amp;U'!$H44/ROUNDUP('Assumptions and Sensis'!$F$46/12,0),0))</f>
        <v>0</v>
      </c>
      <c r="G290" s="150">
        <f ca="1">+IF(AND(G$284&gt;='Assumptions and Sensis'!$F$43,G$284&lt;'Assumptions and Sensis'!$F$45),'S&amp;U'!$H12/ROUNDUP('Assumptions and Sensis'!$F$44/12,0),IF(AND(G$284&gt;='Assumptions and Sensis'!$F$45,G$284&lt;'Assumptions and Sensis'!$F$47),'S&amp;U'!$H44/ROUNDUP('Assumptions and Sensis'!$F$46/12,0),0))</f>
        <v>382161.55052685388</v>
      </c>
      <c r="H290" s="150">
        <f ca="1">+IF(AND(H$284&gt;='Assumptions and Sensis'!$F$43,H$284&lt;'Assumptions and Sensis'!$F$45),'S&amp;U'!$H12/ROUNDUP('Assumptions and Sensis'!$F$44/12,0),IF(AND(H$284&gt;='Assumptions and Sensis'!$F$45,H$284&lt;'Assumptions and Sensis'!$F$47),'S&amp;U'!$H44/ROUNDUP('Assumptions and Sensis'!$F$46/12,0),0))</f>
        <v>382161.55052685388</v>
      </c>
      <c r="I290" s="150">
        <f>+IF(AND(I$284&gt;='Assumptions and Sensis'!$F$43,I$284&lt;'Assumptions and Sensis'!$F$45),'S&amp;U'!$H12/ROUNDUP('Assumptions and Sensis'!$F$44/12,0),IF(AND(I$284&gt;='Assumptions and Sensis'!$F$45,I$284&lt;'Assumptions and Sensis'!$F$47),'S&amp;U'!$H44/ROUNDUP('Assumptions and Sensis'!$F$46/12,0),0))</f>
        <v>0</v>
      </c>
      <c r="J290" s="150">
        <f>+IF(AND(J$284&gt;='Assumptions and Sensis'!$F$43,J$284&lt;'Assumptions and Sensis'!$F$45),'S&amp;U'!$H12/ROUNDUP('Assumptions and Sensis'!$F$44/12,0),IF(AND(J$284&gt;='Assumptions and Sensis'!$F$45,J$284&lt;'Assumptions and Sensis'!$F$47),'S&amp;U'!$H44/ROUNDUP('Assumptions and Sensis'!$F$46/12,0),0))</f>
        <v>0</v>
      </c>
      <c r="K290" s="150">
        <f>+IF(AND(K$284&gt;='Assumptions and Sensis'!$F$43,K$284&lt;'Assumptions and Sensis'!$F$45),'S&amp;U'!$H12/ROUNDUP('Assumptions and Sensis'!$F$44/12,0),IF(AND(K$284&gt;='Assumptions and Sensis'!$F$45,K$284&lt;'Assumptions and Sensis'!$F$47),'S&amp;U'!$H44/ROUNDUP('Assumptions and Sensis'!$F$46/12,0),0))</f>
        <v>0</v>
      </c>
      <c r="L290" s="150">
        <f>+IF(AND(L$284&gt;='Assumptions and Sensis'!$F$43,L$284&lt;'Assumptions and Sensis'!$F$45),'S&amp;U'!$H12/ROUNDUP('Assumptions and Sensis'!$F$44/12,0),IF(AND(L$284&gt;='Assumptions and Sensis'!$F$45,L$284&lt;'Assumptions and Sensis'!$F$47),'S&amp;U'!$H44/ROUNDUP('Assumptions and Sensis'!$F$46/12,0),0))</f>
        <v>0</v>
      </c>
      <c r="M290" s="150">
        <f>+IF(AND(M$284&gt;='Assumptions and Sensis'!$F$43,M$284&lt;'Assumptions and Sensis'!$F$45),'S&amp;U'!$H12/ROUNDUP('Assumptions and Sensis'!$F$44/12,0),IF(AND(M$284&gt;='Assumptions and Sensis'!$F$45,M$284&lt;'Assumptions and Sensis'!$F$47),'S&amp;U'!$H44/ROUNDUP('Assumptions and Sensis'!$F$46/12,0),0))</f>
        <v>0</v>
      </c>
      <c r="N290" s="150">
        <f>+IF(AND(N$284&gt;='Assumptions and Sensis'!$F$43,N$284&lt;'Assumptions and Sensis'!$F$45),'S&amp;U'!$H12/ROUNDUP('Assumptions and Sensis'!$F$44/12,0),IF(AND(N$284&gt;='Assumptions and Sensis'!$F$45,N$284&lt;'Assumptions and Sensis'!$F$47),'S&amp;U'!$H44/ROUNDUP('Assumptions and Sensis'!$F$46/12,0),0))</f>
        <v>0</v>
      </c>
      <c r="O290" s="150">
        <f>+IF(AND(O$284&gt;='Assumptions and Sensis'!$F$43,O$284&lt;'Assumptions and Sensis'!$F$45),'S&amp;U'!$H12/ROUNDUP('Assumptions and Sensis'!$F$44/12,0),IF(AND(O$284&gt;='Assumptions and Sensis'!$F$45,O$284&lt;'Assumptions and Sensis'!$F$47),'S&amp;U'!$H44/ROUNDUP('Assumptions and Sensis'!$F$46/12,0),0))</f>
        <v>0</v>
      </c>
      <c r="P290" s="150">
        <f>+IF(AND(P$284&gt;='Assumptions and Sensis'!$F$43,P$284&lt;'Assumptions and Sensis'!$F$45),'S&amp;U'!$H12/ROUNDUP('Assumptions and Sensis'!$F$44/12,0),IF(AND(P$284&gt;='Assumptions and Sensis'!$F$45,P$284&lt;'Assumptions and Sensis'!$F$47),'S&amp;U'!$H44/ROUNDUP('Assumptions and Sensis'!$F$46/12,0),0))</f>
        <v>0</v>
      </c>
      <c r="Q290" s="150">
        <f>+IF(AND(Q$284&gt;='Assumptions and Sensis'!$F$43,Q$284&lt;'Assumptions and Sensis'!$F$45),'S&amp;U'!$H12/ROUNDUP('Assumptions and Sensis'!$F$44/12,0),IF(AND(Q$284&gt;='Assumptions and Sensis'!$F$45,Q$284&lt;'Assumptions and Sensis'!$F$47),'S&amp;U'!$H44/ROUNDUP('Assumptions and Sensis'!$F$46/12,0),0))</f>
        <v>0</v>
      </c>
      <c r="R290" s="150">
        <f>+IF(AND(R$284&gt;='Assumptions and Sensis'!$F$43,R$284&lt;'Assumptions and Sensis'!$F$45),'S&amp;U'!$H12/ROUNDUP('Assumptions and Sensis'!$F$44/12,0),IF(AND(R$284&gt;='Assumptions and Sensis'!$F$45,R$284&lt;'Assumptions and Sensis'!$F$47),'S&amp;U'!$H44/ROUNDUP('Assumptions and Sensis'!$F$46/12,0),0))</f>
        <v>0</v>
      </c>
      <c r="S290" s="150">
        <f>+IF(AND(S$284&gt;='Assumptions and Sensis'!$F$43,S$284&lt;'Assumptions and Sensis'!$F$45),'S&amp;U'!$H12/ROUNDUP('Assumptions and Sensis'!$F$44/12,0),IF(AND(S$284&gt;='Assumptions and Sensis'!$F$45,S$284&lt;'Assumptions and Sensis'!$F$47),'S&amp;U'!$H44/ROUNDUP('Assumptions and Sensis'!$F$46/12,0),0))</f>
        <v>0</v>
      </c>
      <c r="T290" s="150">
        <f>+IF(AND(T$284&gt;='Assumptions and Sensis'!$F$43,T$284&lt;'Assumptions and Sensis'!$F$45),'S&amp;U'!$H12/ROUNDUP('Assumptions and Sensis'!$F$44/12,0),IF(AND(T$284&gt;='Assumptions and Sensis'!$F$45,T$284&lt;'Assumptions and Sensis'!$F$47),'S&amp;U'!$H44/ROUNDUP('Assumptions and Sensis'!$F$46/12,0),0))</f>
        <v>0</v>
      </c>
      <c r="U290" s="150">
        <f>+IF(AND(U$284&gt;='Assumptions and Sensis'!$F$43,U$284&lt;'Assumptions and Sensis'!$F$45),'S&amp;U'!$H12/ROUNDUP('Assumptions and Sensis'!$F$44/12,0),IF(AND(U$284&gt;='Assumptions and Sensis'!$F$45,U$284&lt;'Assumptions and Sensis'!$F$47),'S&amp;U'!$H44/ROUNDUP('Assumptions and Sensis'!$F$46/12,0),0))</f>
        <v>0</v>
      </c>
      <c r="V290" s="150">
        <f>+IF(AND(V$284&gt;='Assumptions and Sensis'!$F$43,V$284&lt;'Assumptions and Sensis'!$F$45),'S&amp;U'!$H12/ROUNDUP('Assumptions and Sensis'!$F$44/12,0),IF(AND(V$284&gt;='Assumptions and Sensis'!$F$45,V$284&lt;'Assumptions and Sensis'!$F$47),'S&amp;U'!$H44/ROUNDUP('Assumptions and Sensis'!$F$46/12,0),0))</f>
        <v>0</v>
      </c>
      <c r="W290" s="150">
        <f>+IF(AND(W$284&gt;='Assumptions and Sensis'!$F$43,W$284&lt;'Assumptions and Sensis'!$F$45),'S&amp;U'!$H12/ROUNDUP('Assumptions and Sensis'!$F$44/12,0),IF(AND(W$284&gt;='Assumptions and Sensis'!$F$45,W$284&lt;'Assumptions and Sensis'!$F$47),'S&amp;U'!$H44/ROUNDUP('Assumptions and Sensis'!$F$46/12,0),0))</f>
        <v>0</v>
      </c>
      <c r="X290" s="150">
        <f>+IF(AND(X$284&gt;='Assumptions and Sensis'!$F$43,X$284&lt;'Assumptions and Sensis'!$F$45),'S&amp;U'!$H12/ROUNDUP('Assumptions and Sensis'!$F$44/12,0),IF(AND(X$284&gt;='Assumptions and Sensis'!$F$45,X$284&lt;'Assumptions and Sensis'!$F$47),'S&amp;U'!$H44/ROUNDUP('Assumptions and Sensis'!$F$46/12,0),0))</f>
        <v>0</v>
      </c>
      <c r="Y290" s="150">
        <f>+IF(AND(Y$284&gt;='Assumptions and Sensis'!$F$43,Y$284&lt;'Assumptions and Sensis'!$F$45),'S&amp;U'!$H12/ROUNDUP('Assumptions and Sensis'!$F$44/12,0),IF(AND(Y$284&gt;='Assumptions and Sensis'!$F$45,Y$284&lt;'Assumptions and Sensis'!$F$47),'S&amp;U'!$H44/ROUNDUP('Assumptions and Sensis'!$F$46/12,0),0))</f>
        <v>0</v>
      </c>
      <c r="Z290" s="150">
        <f>+IF(AND(Z$284&gt;='Assumptions and Sensis'!$F$43,Z$284&lt;'Assumptions and Sensis'!$F$45),'S&amp;U'!$H12/ROUNDUP('Assumptions and Sensis'!$F$44/12,0),IF(AND(Z$284&gt;='Assumptions and Sensis'!$F$45,Z$284&lt;'Assumptions and Sensis'!$F$47),'S&amp;U'!$H44/ROUNDUP('Assumptions and Sensis'!$F$46/12,0),0))</f>
        <v>0</v>
      </c>
    </row>
    <row r="291" spans="1:26" x14ac:dyDescent="0.2">
      <c r="B291" s="32" t="s">
        <v>60</v>
      </c>
      <c r="D291" s="47">
        <f t="shared" ca="1" si="547"/>
        <v>11439613.385352328</v>
      </c>
      <c r="E291" s="47"/>
      <c r="F291" s="150">
        <f ca="1">+IF(AND(F$284&gt;='Assumptions and Sensis'!$F$43,F$284&lt;'Assumptions and Sensis'!$F$45),'S&amp;U'!$H13/ROUNDUP('Assumptions and Sensis'!$F$44/12,0),IF(AND(F$284&gt;='Assumptions and Sensis'!$F$45,F$284&lt;'Assumptions and Sensis'!$F$49),'S&amp;U'!$H45/ROUNDUP(('Assumptions and Sensis'!$F$46+'Assumptions and Sensis'!$F$48)/12,0),0))</f>
        <v>0</v>
      </c>
      <c r="G291" s="150">
        <f ca="1">+IF(AND(G$284&gt;='Assumptions and Sensis'!$F$43,G$284&lt;'Assumptions and Sensis'!$F$45),'S&amp;U'!$H13/ROUNDUP('Assumptions and Sensis'!$F$44/12,0),IF(AND(G$284&gt;='Assumptions and Sensis'!$F$45,G$284&lt;'Assumptions and Sensis'!$F$49),'S&amp;U'!$H45/ROUNDUP(('Assumptions and Sensis'!$F$46+'Assumptions and Sensis'!$F$48)/12,0),0))</f>
        <v>2859903.3463380821</v>
      </c>
      <c r="H291" s="150">
        <f ca="1">+IF(AND(H$284&gt;='Assumptions and Sensis'!$F$43,H$284&lt;'Assumptions and Sensis'!$F$45),'S&amp;U'!$H13/ROUNDUP('Assumptions and Sensis'!$F$44/12,0),IF(AND(H$284&gt;='Assumptions and Sensis'!$F$45,H$284&lt;'Assumptions and Sensis'!$F$49),'S&amp;U'!$H45/ROUNDUP(('Assumptions and Sensis'!$F$46+'Assumptions and Sensis'!$F$48)/12,0),0))</f>
        <v>2859903.3463380821</v>
      </c>
      <c r="I291" s="150">
        <f ca="1">+IF(AND(I$284&gt;='Assumptions and Sensis'!$F$43,I$284&lt;'Assumptions and Sensis'!$F$45),'S&amp;U'!$H13/ROUNDUP('Assumptions and Sensis'!$F$44/12,0),IF(AND(I$284&gt;='Assumptions and Sensis'!$F$45,I$284&lt;'Assumptions and Sensis'!$F$49),'S&amp;U'!$H45/ROUNDUP(('Assumptions and Sensis'!$F$46+'Assumptions and Sensis'!$F$48)/12,0),0))</f>
        <v>2859903.3463380821</v>
      </c>
      <c r="J291" s="150">
        <f ca="1">+IF(AND(J$284&gt;='Assumptions and Sensis'!$F$43,J$284&lt;'Assumptions and Sensis'!$F$45),'S&amp;U'!$H13/ROUNDUP('Assumptions and Sensis'!$F$44/12,0),IF(AND(J$284&gt;='Assumptions and Sensis'!$F$45,J$284&lt;'Assumptions and Sensis'!$F$49),'S&amp;U'!$H45/ROUNDUP(('Assumptions and Sensis'!$F$46+'Assumptions and Sensis'!$F$48)/12,0),0))</f>
        <v>2859903.3463380821</v>
      </c>
      <c r="K291" s="150">
        <f>+IF(AND(K$284&gt;='Assumptions and Sensis'!$F$43,K$284&lt;'Assumptions and Sensis'!$F$45),'S&amp;U'!$H13/ROUNDUP('Assumptions and Sensis'!$F$44/12,0),IF(AND(K$284&gt;='Assumptions and Sensis'!$F$45,K$284&lt;'Assumptions and Sensis'!$F$49),'S&amp;U'!$H45/ROUNDUP(('Assumptions and Sensis'!$F$46+'Assumptions and Sensis'!$F$48)/12,0),0))</f>
        <v>0</v>
      </c>
      <c r="L291" s="150">
        <f>+IF(AND(L$284&gt;='Assumptions and Sensis'!$F$43,L$284&lt;'Assumptions and Sensis'!$F$45),'S&amp;U'!$H13/ROUNDUP('Assumptions and Sensis'!$F$44/12,0),IF(AND(L$284&gt;='Assumptions and Sensis'!$F$45,L$284&lt;'Assumptions and Sensis'!$F$49),'S&amp;U'!$H45/ROUNDUP(('Assumptions and Sensis'!$F$46+'Assumptions and Sensis'!$F$48)/12,0),0))</f>
        <v>0</v>
      </c>
      <c r="M291" s="150">
        <f>+IF(AND(M$284&gt;='Assumptions and Sensis'!$F$43,M$284&lt;'Assumptions and Sensis'!$F$45),'S&amp;U'!$H13/ROUNDUP('Assumptions and Sensis'!$F$44/12,0),IF(AND(M$284&gt;='Assumptions and Sensis'!$F$45,M$284&lt;'Assumptions and Sensis'!$F$49),'S&amp;U'!$H45/ROUNDUP(('Assumptions and Sensis'!$F$46+'Assumptions and Sensis'!$F$48)/12,0),0))</f>
        <v>0</v>
      </c>
      <c r="N291" s="150">
        <f>+IF(AND(N$284&gt;='Assumptions and Sensis'!$F$43,N$284&lt;'Assumptions and Sensis'!$F$45),'S&amp;U'!$H13/ROUNDUP('Assumptions and Sensis'!$F$44/12,0),IF(AND(N$284&gt;='Assumptions and Sensis'!$F$45,N$284&lt;'Assumptions and Sensis'!$F$49),'S&amp;U'!$H45/ROUNDUP(('Assumptions and Sensis'!$F$46+'Assumptions and Sensis'!$F$48)/12,0),0))</f>
        <v>0</v>
      </c>
      <c r="O291" s="150">
        <f>+IF(AND(O$284&gt;='Assumptions and Sensis'!$F$43,O$284&lt;'Assumptions and Sensis'!$F$45),'S&amp;U'!$H13/ROUNDUP('Assumptions and Sensis'!$F$44/12,0),IF(AND(O$284&gt;='Assumptions and Sensis'!$F$45,O$284&lt;'Assumptions and Sensis'!$F$49),'S&amp;U'!$H45/ROUNDUP(('Assumptions and Sensis'!$F$46+'Assumptions and Sensis'!$F$48)/12,0),0))</f>
        <v>0</v>
      </c>
      <c r="P291" s="150">
        <f>+IF(AND(P$284&gt;='Assumptions and Sensis'!$F$43,P$284&lt;'Assumptions and Sensis'!$F$45),'S&amp;U'!$H13/ROUNDUP('Assumptions and Sensis'!$F$44/12,0),IF(AND(P$284&gt;='Assumptions and Sensis'!$F$45,P$284&lt;'Assumptions and Sensis'!$F$49),'S&amp;U'!$H45/ROUNDUP(('Assumptions and Sensis'!$F$46+'Assumptions and Sensis'!$F$48)/12,0),0))</f>
        <v>0</v>
      </c>
      <c r="Q291" s="150">
        <f>+IF(AND(Q$284&gt;='Assumptions and Sensis'!$F$43,Q$284&lt;'Assumptions and Sensis'!$F$45),'S&amp;U'!$H13/ROUNDUP('Assumptions and Sensis'!$F$44/12,0),IF(AND(Q$284&gt;='Assumptions and Sensis'!$F$45,Q$284&lt;'Assumptions and Sensis'!$F$49),'S&amp;U'!$H45/ROUNDUP(('Assumptions and Sensis'!$F$46+'Assumptions and Sensis'!$F$48)/12,0),0))</f>
        <v>0</v>
      </c>
      <c r="R291" s="150">
        <f>+IF(AND(R$284&gt;='Assumptions and Sensis'!$F$43,R$284&lt;'Assumptions and Sensis'!$F$45),'S&amp;U'!$H13/ROUNDUP('Assumptions and Sensis'!$F$44/12,0),IF(AND(R$284&gt;='Assumptions and Sensis'!$F$45,R$284&lt;'Assumptions and Sensis'!$F$49),'S&amp;U'!$H45/ROUNDUP(('Assumptions and Sensis'!$F$46+'Assumptions and Sensis'!$F$48)/12,0),0))</f>
        <v>0</v>
      </c>
      <c r="S291" s="150">
        <f>+IF(AND(S$284&gt;='Assumptions and Sensis'!$F$43,S$284&lt;'Assumptions and Sensis'!$F$45),'S&amp;U'!$H13/ROUNDUP('Assumptions and Sensis'!$F$44/12,0),IF(AND(S$284&gt;='Assumptions and Sensis'!$F$45,S$284&lt;'Assumptions and Sensis'!$F$49),'S&amp;U'!$H45/ROUNDUP(('Assumptions and Sensis'!$F$46+'Assumptions and Sensis'!$F$48)/12,0),0))</f>
        <v>0</v>
      </c>
      <c r="T291" s="150">
        <f>+IF(AND(T$284&gt;='Assumptions and Sensis'!$F$43,T$284&lt;'Assumptions and Sensis'!$F$45),'S&amp;U'!$H13/ROUNDUP('Assumptions and Sensis'!$F$44/12,0),IF(AND(T$284&gt;='Assumptions and Sensis'!$F$45,T$284&lt;'Assumptions and Sensis'!$F$49),'S&amp;U'!$H45/ROUNDUP(('Assumptions and Sensis'!$F$46+'Assumptions and Sensis'!$F$48)/12,0),0))</f>
        <v>0</v>
      </c>
      <c r="U291" s="150">
        <f>+IF(AND(U$284&gt;='Assumptions and Sensis'!$F$43,U$284&lt;'Assumptions and Sensis'!$F$45),'S&amp;U'!$H13/ROUNDUP('Assumptions and Sensis'!$F$44/12,0),IF(AND(U$284&gt;='Assumptions and Sensis'!$F$45,U$284&lt;'Assumptions and Sensis'!$F$49),'S&amp;U'!$H45/ROUNDUP(('Assumptions and Sensis'!$F$46+'Assumptions and Sensis'!$F$48)/12,0),0))</f>
        <v>0</v>
      </c>
      <c r="V291" s="150">
        <f>+IF(AND(V$284&gt;='Assumptions and Sensis'!$F$43,V$284&lt;'Assumptions and Sensis'!$F$45),'S&amp;U'!$H13/ROUNDUP('Assumptions and Sensis'!$F$44/12,0),IF(AND(V$284&gt;='Assumptions and Sensis'!$F$45,V$284&lt;'Assumptions and Sensis'!$F$49),'S&amp;U'!$H45/ROUNDUP(('Assumptions and Sensis'!$F$46+'Assumptions and Sensis'!$F$48)/12,0),0))</f>
        <v>0</v>
      </c>
      <c r="W291" s="150">
        <f>+IF(AND(W$284&gt;='Assumptions and Sensis'!$F$43,W$284&lt;'Assumptions and Sensis'!$F$45),'S&amp;U'!$H13/ROUNDUP('Assumptions and Sensis'!$F$44/12,0),IF(AND(W$284&gt;='Assumptions and Sensis'!$F$45,W$284&lt;'Assumptions and Sensis'!$F$49),'S&amp;U'!$H45/ROUNDUP(('Assumptions and Sensis'!$F$46+'Assumptions and Sensis'!$F$48)/12,0),0))</f>
        <v>0</v>
      </c>
      <c r="X291" s="150">
        <f>+IF(AND(X$284&gt;='Assumptions and Sensis'!$F$43,X$284&lt;'Assumptions and Sensis'!$F$45),'S&amp;U'!$H13/ROUNDUP('Assumptions and Sensis'!$F$44/12,0),IF(AND(X$284&gt;='Assumptions and Sensis'!$F$45,X$284&lt;'Assumptions and Sensis'!$F$49),'S&amp;U'!$H45/ROUNDUP(('Assumptions and Sensis'!$F$46+'Assumptions and Sensis'!$F$48)/12,0),0))</f>
        <v>0</v>
      </c>
      <c r="Y291" s="150">
        <f>+IF(AND(Y$284&gt;='Assumptions and Sensis'!$F$43,Y$284&lt;'Assumptions and Sensis'!$F$45),'S&amp;U'!$H13/ROUNDUP('Assumptions and Sensis'!$F$44/12,0),IF(AND(Y$284&gt;='Assumptions and Sensis'!$F$45,Y$284&lt;'Assumptions and Sensis'!$F$49),'S&amp;U'!$H45/ROUNDUP(('Assumptions and Sensis'!$F$46+'Assumptions and Sensis'!$F$48)/12,0),0))</f>
        <v>0</v>
      </c>
      <c r="Z291" s="150">
        <f>+IF(AND(Z$284&gt;='Assumptions and Sensis'!$F$43,Z$284&lt;'Assumptions and Sensis'!$F$45),'S&amp;U'!$H13/ROUNDUP('Assumptions and Sensis'!$F$44/12,0),IF(AND(Z$284&gt;='Assumptions and Sensis'!$F$45,Z$284&lt;'Assumptions and Sensis'!$F$49),'S&amp;U'!$H45/ROUNDUP(('Assumptions and Sensis'!$F$46+'Assumptions and Sensis'!$F$48)/12,0),0))</f>
        <v>0</v>
      </c>
    </row>
    <row r="292" spans="1:26" x14ac:dyDescent="0.2">
      <c r="B292" s="137" t="s">
        <v>20</v>
      </c>
      <c r="C292" s="137"/>
      <c r="D292" s="138">
        <f ca="1">+SUM(F292:Z292)</f>
        <v>399660210.56376332</v>
      </c>
      <c r="E292" s="138"/>
      <c r="F292" s="138">
        <f ca="1">+SUM(F285:F291)</f>
        <v>51505114.619219258</v>
      </c>
      <c r="G292" s="138">
        <f t="shared" ref="G292:Z292" ca="1" si="548">+SUM(G285:G291)</f>
        <v>171217644.62593395</v>
      </c>
      <c r="H292" s="138">
        <f t="shared" ca="1" si="548"/>
        <v>171217644.62593395</v>
      </c>
      <c r="I292" s="138">
        <f t="shared" ca="1" si="548"/>
        <v>2859903.3463380821</v>
      </c>
      <c r="J292" s="138">
        <f t="shared" ca="1" si="548"/>
        <v>2859903.3463380821</v>
      </c>
      <c r="K292" s="138">
        <f t="shared" si="548"/>
        <v>0</v>
      </c>
      <c r="L292" s="138">
        <f t="shared" si="548"/>
        <v>0</v>
      </c>
      <c r="M292" s="138">
        <f t="shared" si="548"/>
        <v>0</v>
      </c>
      <c r="N292" s="138">
        <f t="shared" si="548"/>
        <v>0</v>
      </c>
      <c r="O292" s="138">
        <f t="shared" si="548"/>
        <v>0</v>
      </c>
      <c r="P292" s="138">
        <f t="shared" si="548"/>
        <v>0</v>
      </c>
      <c r="Q292" s="138">
        <f t="shared" si="548"/>
        <v>0</v>
      </c>
      <c r="R292" s="138">
        <f t="shared" si="548"/>
        <v>0</v>
      </c>
      <c r="S292" s="138">
        <f t="shared" si="548"/>
        <v>0</v>
      </c>
      <c r="T292" s="138">
        <f t="shared" si="548"/>
        <v>0</v>
      </c>
      <c r="U292" s="138">
        <f t="shared" si="548"/>
        <v>0</v>
      </c>
      <c r="V292" s="138">
        <f t="shared" si="548"/>
        <v>0</v>
      </c>
      <c r="W292" s="138">
        <f t="shared" si="548"/>
        <v>0</v>
      </c>
      <c r="X292" s="138">
        <f t="shared" si="548"/>
        <v>0</v>
      </c>
      <c r="Y292" s="138">
        <f t="shared" si="548"/>
        <v>0</v>
      </c>
      <c r="Z292" s="138">
        <f t="shared" si="548"/>
        <v>0</v>
      </c>
    </row>
    <row r="294" spans="1:26" x14ac:dyDescent="0.2">
      <c r="B294" s="147" t="s">
        <v>347</v>
      </c>
      <c r="F294" s="149">
        <f>+'Assumptions and Sensis'!$F$43</f>
        <v>44196</v>
      </c>
      <c r="G294" s="149">
        <f>+EOMONTH(F294,12)</f>
        <v>44561</v>
      </c>
      <c r="H294" s="149">
        <f t="shared" ref="H294" si="549">+EOMONTH(G294,12)</f>
        <v>44926</v>
      </c>
      <c r="I294" s="149">
        <f t="shared" ref="I294" si="550">+EOMONTH(H294,12)</f>
        <v>45291</v>
      </c>
      <c r="J294" s="149">
        <f t="shared" ref="J294" si="551">+EOMONTH(I294,12)</f>
        <v>45657</v>
      </c>
      <c r="K294" s="149">
        <f t="shared" ref="K294" si="552">+EOMONTH(J294,12)</f>
        <v>46022</v>
      </c>
      <c r="L294" s="149">
        <f t="shared" ref="L294" si="553">+EOMONTH(K294,12)</f>
        <v>46387</v>
      </c>
      <c r="M294" s="149">
        <f t="shared" ref="M294" si="554">+EOMONTH(L294,12)</f>
        <v>46752</v>
      </c>
      <c r="N294" s="149">
        <f t="shared" ref="N294" si="555">+EOMONTH(M294,12)</f>
        <v>47118</v>
      </c>
      <c r="O294" s="149">
        <f t="shared" ref="O294" si="556">+EOMONTH(N294,12)</f>
        <v>47483</v>
      </c>
      <c r="P294" s="149">
        <f t="shared" ref="P294" si="557">+EOMONTH(O294,12)</f>
        <v>47848</v>
      </c>
      <c r="Q294" s="149">
        <f t="shared" ref="Q294" si="558">+EOMONTH(P294,12)</f>
        <v>48213</v>
      </c>
      <c r="R294" s="149">
        <f t="shared" ref="R294" si="559">+EOMONTH(Q294,12)</f>
        <v>48579</v>
      </c>
      <c r="S294" s="149">
        <f t="shared" ref="S294" si="560">+EOMONTH(R294,12)</f>
        <v>48944</v>
      </c>
      <c r="T294" s="149">
        <f t="shared" ref="T294" si="561">+EOMONTH(S294,12)</f>
        <v>49309</v>
      </c>
      <c r="U294" s="149">
        <f t="shared" ref="U294" si="562">+EOMONTH(T294,12)</f>
        <v>49674</v>
      </c>
      <c r="V294" s="149">
        <f t="shared" ref="V294" si="563">+EOMONTH(U294,12)</f>
        <v>50040</v>
      </c>
      <c r="W294" s="149">
        <f t="shared" ref="W294" si="564">+EOMONTH(V294,12)</f>
        <v>50405</v>
      </c>
      <c r="X294" s="149">
        <f t="shared" ref="X294" si="565">+EOMONTH(W294,12)</f>
        <v>50770</v>
      </c>
      <c r="Y294" s="149">
        <f t="shared" ref="Y294" si="566">+EOMONTH(X294,12)</f>
        <v>51135</v>
      </c>
      <c r="Z294" s="149">
        <f t="shared" ref="Z294" si="567">+EOMONTH(Y294,12)</f>
        <v>51501</v>
      </c>
    </row>
    <row r="295" spans="1:26" x14ac:dyDescent="0.2">
      <c r="A295" s="107"/>
      <c r="B295" s="32" t="s">
        <v>29</v>
      </c>
      <c r="D295" s="47">
        <f t="shared" ref="D295:D304" ca="1" si="568">+SUM(F295:Z295)</f>
        <v>64165219.326269209</v>
      </c>
      <c r="E295" s="47"/>
      <c r="F295" s="33">
        <f ca="1">+MIN('S&amp;U'!$H23-SUM('Phase I Pro Forma'!$E295:E295),'Phase I Pro Forma'!F$292)</f>
        <v>51505114.619219258</v>
      </c>
      <c r="G295" s="33">
        <f ca="1">+MIN('S&amp;U'!$H23-SUM('Phase I Pro Forma'!$E295:F295),'Phase I Pro Forma'!G$292)</f>
        <v>12660104.707049951</v>
      </c>
      <c r="H295" s="33">
        <f ca="1">+MIN('S&amp;U'!$H23-SUM('Phase I Pro Forma'!$E295:G295),'Phase I Pro Forma'!H$292)</f>
        <v>0</v>
      </c>
      <c r="I295" s="33">
        <f ca="1">+MIN('S&amp;U'!$H23-SUM('Phase I Pro Forma'!$E295:H295),'Phase I Pro Forma'!I$292)</f>
        <v>0</v>
      </c>
      <c r="J295" s="33">
        <f ca="1">+MIN('S&amp;U'!$H23-SUM('Phase I Pro Forma'!$E295:I295),'Phase I Pro Forma'!J$292)</f>
        <v>0</v>
      </c>
      <c r="K295" s="33">
        <f ca="1">+MIN('S&amp;U'!$H23-SUM('Phase I Pro Forma'!$E295:J295),'Phase I Pro Forma'!K$292)</f>
        <v>0</v>
      </c>
      <c r="L295" s="33">
        <f ca="1">+MIN('S&amp;U'!$H23-SUM('Phase I Pro Forma'!$E295:K295),'Phase I Pro Forma'!L$292)</f>
        <v>0</v>
      </c>
      <c r="M295" s="33">
        <f ca="1">+MIN('S&amp;U'!$H23-SUM('Phase I Pro Forma'!$E295:L295),'Phase I Pro Forma'!M$292)</f>
        <v>0</v>
      </c>
      <c r="N295" s="33">
        <f ca="1">+MIN('S&amp;U'!$H23-SUM('Phase I Pro Forma'!$E295:M295),'Phase I Pro Forma'!N$292)</f>
        <v>0</v>
      </c>
      <c r="O295" s="33">
        <f ca="1">+MIN('S&amp;U'!$H23-SUM('Phase I Pro Forma'!$E295:N295),'Phase I Pro Forma'!O$292)</f>
        <v>0</v>
      </c>
      <c r="P295" s="33">
        <f ca="1">+MIN('S&amp;U'!$H23-SUM('Phase I Pro Forma'!$E295:O295),'Phase I Pro Forma'!P$292)</f>
        <v>0</v>
      </c>
      <c r="Q295" s="33">
        <f ca="1">+MIN('S&amp;U'!$H23-SUM('Phase I Pro Forma'!$E295:P295),'Phase I Pro Forma'!Q$292)</f>
        <v>0</v>
      </c>
      <c r="R295" s="33">
        <f ca="1">+MIN('S&amp;U'!$H23-SUM('Phase I Pro Forma'!$E295:Q295),'Phase I Pro Forma'!R$292)</f>
        <v>0</v>
      </c>
      <c r="S295" s="33">
        <f ca="1">+MIN('S&amp;U'!$H23-SUM('Phase I Pro Forma'!$E295:R295),'Phase I Pro Forma'!S$292)</f>
        <v>0</v>
      </c>
      <c r="T295" s="33">
        <f ca="1">+MIN('S&amp;U'!$H23-SUM('Phase I Pro Forma'!$E295:S295),'Phase I Pro Forma'!T$292)</f>
        <v>0</v>
      </c>
      <c r="U295" s="33">
        <f ca="1">+MIN('S&amp;U'!$H23-SUM('Phase I Pro Forma'!$E295:T295),'Phase I Pro Forma'!U$292)</f>
        <v>0</v>
      </c>
      <c r="V295" s="33">
        <f ca="1">+MIN('S&amp;U'!$H23-SUM('Phase I Pro Forma'!$E295:U295),'Phase I Pro Forma'!V$292)</f>
        <v>0</v>
      </c>
      <c r="W295" s="33">
        <f ca="1">+MIN('S&amp;U'!$H23-SUM('Phase I Pro Forma'!$E295:V295),'Phase I Pro Forma'!W$292)</f>
        <v>0</v>
      </c>
      <c r="X295" s="33">
        <f ca="1">+MIN('S&amp;U'!$H23-SUM('Phase I Pro Forma'!$E295:W295),'Phase I Pro Forma'!X$292)</f>
        <v>0</v>
      </c>
      <c r="Y295" s="33">
        <f ca="1">+MIN('S&amp;U'!$H23-SUM('Phase I Pro Forma'!$E295:X295),'Phase I Pro Forma'!Y$292)</f>
        <v>0</v>
      </c>
      <c r="Z295" s="33">
        <f ca="1">+MIN('S&amp;U'!$H23-SUM('Phase I Pro Forma'!$E295:Y295),'Phase I Pro Forma'!Z$292)</f>
        <v>0</v>
      </c>
    </row>
    <row r="296" spans="1:26" x14ac:dyDescent="0.2">
      <c r="B296" s="32" t="s">
        <v>326</v>
      </c>
      <c r="D296" s="47">
        <f t="shared" ca="1" si="568"/>
        <v>0</v>
      </c>
      <c r="E296" s="47"/>
      <c r="F296" s="150">
        <f ca="1">+MIN('S&amp;U'!$H19-SUM('Phase I Pro Forma'!$E296:E296),'Phase I Pro Forma'!F$292-SUM(F$295:F295))</f>
        <v>0</v>
      </c>
      <c r="G296" s="150">
        <f ca="1">+MIN('S&amp;U'!$H19-SUM('Phase I Pro Forma'!$E296:F296),'Phase I Pro Forma'!G$292-SUM(G$295:G295))</f>
        <v>0</v>
      </c>
      <c r="H296" s="150">
        <f ca="1">+MIN('S&amp;U'!$H19-SUM('Phase I Pro Forma'!$E296:G296),'Phase I Pro Forma'!H$292-SUM(H$295:H295))</f>
        <v>0</v>
      </c>
      <c r="I296" s="150">
        <f ca="1">+MIN('S&amp;U'!$H19-SUM('Phase I Pro Forma'!$E296:H296),'Phase I Pro Forma'!I$292-SUM(I$295:I295))</f>
        <v>0</v>
      </c>
      <c r="J296" s="150">
        <f ca="1">+MIN('S&amp;U'!$H19-SUM('Phase I Pro Forma'!$E296:I296),'Phase I Pro Forma'!J$292-SUM(J$295:J295))</f>
        <v>0</v>
      </c>
      <c r="K296" s="150">
        <f ca="1">+MIN('S&amp;U'!$H19-SUM('Phase I Pro Forma'!$E296:J296),'Phase I Pro Forma'!K$292-SUM(K$295:K295))</f>
        <v>0</v>
      </c>
      <c r="L296" s="150">
        <f ca="1">+MIN('S&amp;U'!$H19-SUM('Phase I Pro Forma'!$E296:K296),'Phase I Pro Forma'!L$292-SUM(L$295:L295))</f>
        <v>0</v>
      </c>
      <c r="M296" s="150">
        <f ca="1">+MIN('S&amp;U'!$H19-SUM('Phase I Pro Forma'!$E296:L296),'Phase I Pro Forma'!M$292-SUM(M$295:M295))</f>
        <v>0</v>
      </c>
      <c r="N296" s="150">
        <f ca="1">+MIN('S&amp;U'!$H19-SUM('Phase I Pro Forma'!$E296:M296),'Phase I Pro Forma'!N$292-SUM(N$295:N295))</f>
        <v>0</v>
      </c>
      <c r="O296" s="150">
        <f ca="1">+MIN('S&amp;U'!$H19-SUM('Phase I Pro Forma'!$E296:N296),'Phase I Pro Forma'!O$292-SUM(O$295:O295))</f>
        <v>0</v>
      </c>
      <c r="P296" s="150">
        <f ca="1">+MIN('S&amp;U'!$H19-SUM('Phase I Pro Forma'!$E296:O296),'Phase I Pro Forma'!P$292-SUM(P$295:P295))</f>
        <v>0</v>
      </c>
      <c r="Q296" s="150">
        <f ca="1">+MIN('S&amp;U'!$H19-SUM('Phase I Pro Forma'!$E296:P296),'Phase I Pro Forma'!Q$292-SUM(Q$295:Q295))</f>
        <v>0</v>
      </c>
      <c r="R296" s="150">
        <f ca="1">+MIN('S&amp;U'!$H19-SUM('Phase I Pro Forma'!$E296:Q296),'Phase I Pro Forma'!R$292-SUM(R$295:R295))</f>
        <v>0</v>
      </c>
      <c r="S296" s="150">
        <f ca="1">+MIN('S&amp;U'!$H19-SUM('Phase I Pro Forma'!$E296:R296),'Phase I Pro Forma'!S$292-SUM(S$295:S295))</f>
        <v>0</v>
      </c>
      <c r="T296" s="150">
        <f ca="1">+MIN('S&amp;U'!$H19-SUM('Phase I Pro Forma'!$E296:S296),'Phase I Pro Forma'!T$292-SUM(T$295:T295))</f>
        <v>0</v>
      </c>
      <c r="U296" s="150">
        <f ca="1">+MIN('S&amp;U'!$H19-SUM('Phase I Pro Forma'!$E296:T296),'Phase I Pro Forma'!U$292-SUM(U$295:U295))</f>
        <v>0</v>
      </c>
      <c r="V296" s="150">
        <f ca="1">+MIN('S&amp;U'!$H19-SUM('Phase I Pro Forma'!$E296:U296),'Phase I Pro Forma'!V$292-SUM(V$295:V295))</f>
        <v>0</v>
      </c>
      <c r="W296" s="150">
        <f ca="1">+MIN('S&amp;U'!$H19-SUM('Phase I Pro Forma'!$E296:V296),'Phase I Pro Forma'!W$292-SUM(W$295:W295))</f>
        <v>0</v>
      </c>
      <c r="X296" s="150">
        <f ca="1">+MIN('S&amp;U'!$H19-SUM('Phase I Pro Forma'!$E296:W296),'Phase I Pro Forma'!X$292-SUM(X$295:X295))</f>
        <v>0</v>
      </c>
      <c r="Y296" s="150">
        <f ca="1">+MIN('S&amp;U'!$H19-SUM('Phase I Pro Forma'!$E296:X296),'Phase I Pro Forma'!Y$292-SUM(Y$295:Y295))</f>
        <v>0</v>
      </c>
      <c r="Z296" s="150">
        <f ca="1">+MIN('S&amp;U'!$H19-SUM('Phase I Pro Forma'!$E296:Y296),'Phase I Pro Forma'!Z$292-SUM(Z$295:Z295))</f>
        <v>0</v>
      </c>
    </row>
    <row r="297" spans="1:26" x14ac:dyDescent="0.2">
      <c r="B297" s="32" t="s">
        <v>99</v>
      </c>
      <c r="D297" s="47">
        <f t="shared" ca="1" si="568"/>
        <v>12714766.389964083</v>
      </c>
      <c r="E297" s="47"/>
      <c r="F297" s="150">
        <f ca="1">+MIN('S&amp;U'!$H20-SUM('Phase I Pro Forma'!$E297:E297),'Phase I Pro Forma'!F$292-SUM(F$295:F296))</f>
        <v>0</v>
      </c>
      <c r="G297" s="150">
        <f ca="1">+MIN('S&amp;U'!$H20-SUM('Phase I Pro Forma'!$E297:F297),'Phase I Pro Forma'!G$292-SUM(G$295:G296))</f>
        <v>12714766.389964083</v>
      </c>
      <c r="H297" s="150">
        <f ca="1">+MIN('S&amp;U'!$H20-SUM('Phase I Pro Forma'!$E297:G297),'Phase I Pro Forma'!H$292-SUM(H$295:H296))</f>
        <v>0</v>
      </c>
      <c r="I297" s="150">
        <f ca="1">+MIN('S&amp;U'!$H20-SUM('Phase I Pro Forma'!$E297:H297),'Phase I Pro Forma'!I$292-SUM(I$295:I296))</f>
        <v>0</v>
      </c>
      <c r="J297" s="150">
        <f ca="1">+MIN('S&amp;U'!$H20-SUM('Phase I Pro Forma'!$E297:I297),'Phase I Pro Forma'!J$292-SUM(J$295:J296))</f>
        <v>0</v>
      </c>
      <c r="K297" s="150">
        <f ca="1">+MIN('S&amp;U'!$H20-SUM('Phase I Pro Forma'!$E297:J297),'Phase I Pro Forma'!K$292-SUM(K$295:K296))</f>
        <v>0</v>
      </c>
      <c r="L297" s="150">
        <f ca="1">+MIN('S&amp;U'!$H20-SUM('Phase I Pro Forma'!$E297:K297),'Phase I Pro Forma'!L$292-SUM(L$295:L296))</f>
        <v>0</v>
      </c>
      <c r="M297" s="150">
        <f ca="1">+MIN('S&amp;U'!$H20-SUM('Phase I Pro Forma'!$E297:L297),'Phase I Pro Forma'!M$292-SUM(M$295:M296))</f>
        <v>0</v>
      </c>
      <c r="N297" s="150">
        <f ca="1">+MIN('S&amp;U'!$H20-SUM('Phase I Pro Forma'!$E297:M297),'Phase I Pro Forma'!N$292-SUM(N$295:N296))</f>
        <v>0</v>
      </c>
      <c r="O297" s="150">
        <f ca="1">+MIN('S&amp;U'!$H20-SUM('Phase I Pro Forma'!$E297:N297),'Phase I Pro Forma'!O$292-SUM(O$295:O296))</f>
        <v>0</v>
      </c>
      <c r="P297" s="150">
        <f ca="1">+MIN('S&amp;U'!$H20-SUM('Phase I Pro Forma'!$E297:O297),'Phase I Pro Forma'!P$292-SUM(P$295:P296))</f>
        <v>0</v>
      </c>
      <c r="Q297" s="150">
        <f ca="1">+MIN('S&amp;U'!$H20-SUM('Phase I Pro Forma'!$E297:P297),'Phase I Pro Forma'!Q$292-SUM(Q$295:Q296))</f>
        <v>0</v>
      </c>
      <c r="R297" s="150">
        <f ca="1">+MIN('S&amp;U'!$H20-SUM('Phase I Pro Forma'!$E297:Q297),'Phase I Pro Forma'!R$292-SUM(R$295:R296))</f>
        <v>0</v>
      </c>
      <c r="S297" s="150">
        <f ca="1">+MIN('S&amp;U'!$H20-SUM('Phase I Pro Forma'!$E297:R297),'Phase I Pro Forma'!S$292-SUM(S$295:S296))</f>
        <v>0</v>
      </c>
      <c r="T297" s="150">
        <f ca="1">+MIN('S&amp;U'!$H20-SUM('Phase I Pro Forma'!$E297:S297),'Phase I Pro Forma'!T$292-SUM(T$295:T296))</f>
        <v>0</v>
      </c>
      <c r="U297" s="150">
        <f ca="1">+MIN('S&amp;U'!$H20-SUM('Phase I Pro Forma'!$E297:T297),'Phase I Pro Forma'!U$292-SUM(U$295:U296))</f>
        <v>0</v>
      </c>
      <c r="V297" s="150">
        <f ca="1">+MIN('S&amp;U'!$H20-SUM('Phase I Pro Forma'!$E297:U297),'Phase I Pro Forma'!V$292-SUM(V$295:V296))</f>
        <v>0</v>
      </c>
      <c r="W297" s="150">
        <f ca="1">+MIN('S&amp;U'!$H20-SUM('Phase I Pro Forma'!$E297:V297),'Phase I Pro Forma'!W$292-SUM(W$295:W296))</f>
        <v>0</v>
      </c>
      <c r="X297" s="150">
        <f ca="1">+MIN('S&amp;U'!$H20-SUM('Phase I Pro Forma'!$E297:W297),'Phase I Pro Forma'!X$292-SUM(X$295:X296))</f>
        <v>0</v>
      </c>
      <c r="Y297" s="150">
        <f ca="1">+MIN('S&amp;U'!$H20-SUM('Phase I Pro Forma'!$E297:X297),'Phase I Pro Forma'!Y$292-SUM(Y$295:Y296))</f>
        <v>0</v>
      </c>
      <c r="Z297" s="150">
        <f ca="1">+MIN('S&amp;U'!$H20-SUM('Phase I Pro Forma'!$E297:Y297),'Phase I Pro Forma'!Z$292-SUM(Z$295:Z296))</f>
        <v>0</v>
      </c>
    </row>
    <row r="298" spans="1:26" x14ac:dyDescent="0.2">
      <c r="B298" s="32" t="s">
        <v>100</v>
      </c>
      <c r="D298" s="47">
        <f t="shared" ca="1" si="568"/>
        <v>5538000</v>
      </c>
      <c r="E298" s="47"/>
      <c r="F298" s="150">
        <f ca="1">+MIN('S&amp;U'!$H21-SUM('Phase I Pro Forma'!$E298:E298),'Phase I Pro Forma'!F$292-SUM(F$295:F297))</f>
        <v>0</v>
      </c>
      <c r="G298" s="150">
        <f ca="1">+MIN('S&amp;U'!$H21-SUM('Phase I Pro Forma'!$E298:F298),'Phase I Pro Forma'!G$292-SUM(G$295:G297))</f>
        <v>5538000</v>
      </c>
      <c r="H298" s="150">
        <f ca="1">+MIN('S&amp;U'!$H21-SUM('Phase I Pro Forma'!$E298:G298),'Phase I Pro Forma'!H$292-SUM(H$295:H297))</f>
        <v>0</v>
      </c>
      <c r="I298" s="150">
        <f ca="1">+MIN('S&amp;U'!$H21-SUM('Phase I Pro Forma'!$E298:H298),'Phase I Pro Forma'!I$292-SUM(I$295:I297))</f>
        <v>0</v>
      </c>
      <c r="J298" s="150">
        <f ca="1">+MIN('S&amp;U'!$H21-SUM('Phase I Pro Forma'!$E298:I298),'Phase I Pro Forma'!J$292-SUM(J$295:J297))</f>
        <v>0</v>
      </c>
      <c r="K298" s="150">
        <f ca="1">+MIN('S&amp;U'!$H21-SUM('Phase I Pro Forma'!$E298:J298),'Phase I Pro Forma'!K$292-SUM(K$295:K297))</f>
        <v>0</v>
      </c>
      <c r="L298" s="150">
        <f ca="1">+MIN('S&amp;U'!$H21-SUM('Phase I Pro Forma'!$E298:K298),'Phase I Pro Forma'!L$292-SUM(L$295:L297))</f>
        <v>0</v>
      </c>
      <c r="M298" s="150">
        <f ca="1">+MIN('S&amp;U'!$H21-SUM('Phase I Pro Forma'!$E298:L298),'Phase I Pro Forma'!M$292-SUM(M$295:M297))</f>
        <v>0</v>
      </c>
      <c r="N298" s="150">
        <f ca="1">+MIN('S&amp;U'!$H21-SUM('Phase I Pro Forma'!$E298:M298),'Phase I Pro Forma'!N$292-SUM(N$295:N297))</f>
        <v>0</v>
      </c>
      <c r="O298" s="150">
        <f ca="1">+MIN('S&amp;U'!$H21-SUM('Phase I Pro Forma'!$E298:N298),'Phase I Pro Forma'!O$292-SUM(O$295:O297))</f>
        <v>0</v>
      </c>
      <c r="P298" s="150">
        <f ca="1">+MIN('S&amp;U'!$H21-SUM('Phase I Pro Forma'!$E298:O298),'Phase I Pro Forma'!P$292-SUM(P$295:P297))</f>
        <v>0</v>
      </c>
      <c r="Q298" s="150">
        <f ca="1">+MIN('S&amp;U'!$H21-SUM('Phase I Pro Forma'!$E298:P298),'Phase I Pro Forma'!Q$292-SUM(Q$295:Q297))</f>
        <v>0</v>
      </c>
      <c r="R298" s="150">
        <f ca="1">+MIN('S&amp;U'!$H21-SUM('Phase I Pro Forma'!$E298:Q298),'Phase I Pro Forma'!R$292-SUM(R$295:R297))</f>
        <v>0</v>
      </c>
      <c r="S298" s="150">
        <f ca="1">+MIN('S&amp;U'!$H21-SUM('Phase I Pro Forma'!$E298:R298),'Phase I Pro Forma'!S$292-SUM(S$295:S297))</f>
        <v>0</v>
      </c>
      <c r="T298" s="150">
        <f ca="1">+MIN('S&amp;U'!$H21-SUM('Phase I Pro Forma'!$E298:S298),'Phase I Pro Forma'!T$292-SUM(T$295:T297))</f>
        <v>0</v>
      </c>
      <c r="U298" s="150">
        <f ca="1">+MIN('S&amp;U'!$H21-SUM('Phase I Pro Forma'!$E298:T298),'Phase I Pro Forma'!U$292-SUM(U$295:U297))</f>
        <v>0</v>
      </c>
      <c r="V298" s="150">
        <f ca="1">+MIN('S&amp;U'!$H21-SUM('Phase I Pro Forma'!$E298:U298),'Phase I Pro Forma'!V$292-SUM(V$295:V297))</f>
        <v>0</v>
      </c>
      <c r="W298" s="150">
        <f ca="1">+MIN('S&amp;U'!$H21-SUM('Phase I Pro Forma'!$E298:V298),'Phase I Pro Forma'!W$292-SUM(W$295:W297))</f>
        <v>0</v>
      </c>
      <c r="X298" s="150">
        <f ca="1">+MIN('S&amp;U'!$H21-SUM('Phase I Pro Forma'!$E298:W298),'Phase I Pro Forma'!X$292-SUM(X$295:X297))</f>
        <v>0</v>
      </c>
      <c r="Y298" s="150">
        <f ca="1">+MIN('S&amp;U'!$H21-SUM('Phase I Pro Forma'!$E298:X298),'Phase I Pro Forma'!Y$292-SUM(Y$295:Y297))</f>
        <v>0</v>
      </c>
      <c r="Z298" s="150">
        <f ca="1">+MIN('S&amp;U'!$H21-SUM('Phase I Pro Forma'!$E298:Y298),'Phase I Pro Forma'!Z$292-SUM(Z$295:Z297))</f>
        <v>0</v>
      </c>
    </row>
    <row r="299" spans="1:26" x14ac:dyDescent="0.2">
      <c r="B299" s="32" t="s">
        <v>613</v>
      </c>
      <c r="D299" s="47">
        <f t="shared" ca="1" si="568"/>
        <v>3256330.7674772362</v>
      </c>
      <c r="E299" s="47"/>
      <c r="F299" s="150">
        <f ca="1">+MIN('S&amp;U'!$H22-SUM('Phase I Pro Forma'!$E299:E299),'Phase I Pro Forma'!F$292-SUM(F$295:F298))</f>
        <v>0</v>
      </c>
      <c r="G299" s="150">
        <f ca="1">+MIN('S&amp;U'!$H22-SUM('Phase I Pro Forma'!$E299:F299),'Phase I Pro Forma'!G$292-SUM(G$295:G298))</f>
        <v>3256330.7674772362</v>
      </c>
      <c r="H299" s="150">
        <f ca="1">+MIN('S&amp;U'!$H22-SUM('Phase I Pro Forma'!$E299:G299),'Phase I Pro Forma'!H$292-SUM(H$295:H298))</f>
        <v>0</v>
      </c>
      <c r="I299" s="150">
        <f ca="1">+MIN('S&amp;U'!$H22-SUM('Phase I Pro Forma'!$E299:H299),'Phase I Pro Forma'!I$292-SUM(I$295:I298))</f>
        <v>0</v>
      </c>
      <c r="J299" s="150">
        <f ca="1">+MIN('S&amp;U'!$H22-SUM('Phase I Pro Forma'!$E299:I299),'Phase I Pro Forma'!J$292-SUM(J$295:J298))</f>
        <v>0</v>
      </c>
      <c r="K299" s="150">
        <f ca="1">+MIN('S&amp;U'!$H22-SUM('Phase I Pro Forma'!$E299:J299),'Phase I Pro Forma'!K$292-SUM(K$295:K298))</f>
        <v>0</v>
      </c>
      <c r="L299" s="150">
        <f ca="1">+MIN('S&amp;U'!$H22-SUM('Phase I Pro Forma'!$E299:K299),'Phase I Pro Forma'!L$292-SUM(L$295:L298))</f>
        <v>0</v>
      </c>
      <c r="M299" s="150">
        <f ca="1">+MIN('S&amp;U'!$H22-SUM('Phase I Pro Forma'!$E299:L299),'Phase I Pro Forma'!M$292-SUM(M$295:M298))</f>
        <v>0</v>
      </c>
      <c r="N299" s="150">
        <f ca="1">+MIN('S&amp;U'!$H22-SUM('Phase I Pro Forma'!$E299:M299),'Phase I Pro Forma'!N$292-SUM(N$295:N298))</f>
        <v>0</v>
      </c>
      <c r="O299" s="150">
        <f ca="1">+MIN('S&amp;U'!$H22-SUM('Phase I Pro Forma'!$E299:N299),'Phase I Pro Forma'!O$292-SUM(O$295:O298))</f>
        <v>0</v>
      </c>
      <c r="P299" s="150">
        <f ca="1">+MIN('S&amp;U'!$H22-SUM('Phase I Pro Forma'!$E299:O299),'Phase I Pro Forma'!P$292-SUM(P$295:P298))</f>
        <v>0</v>
      </c>
      <c r="Q299" s="150">
        <f ca="1">+MIN('S&amp;U'!$H22-SUM('Phase I Pro Forma'!$E299:P299),'Phase I Pro Forma'!Q$292-SUM(Q$295:Q298))</f>
        <v>0</v>
      </c>
      <c r="R299" s="150">
        <f ca="1">+MIN('S&amp;U'!$H22-SUM('Phase I Pro Forma'!$E299:Q299),'Phase I Pro Forma'!R$292-SUM(R$295:R298))</f>
        <v>0</v>
      </c>
      <c r="S299" s="150">
        <f ca="1">+MIN('S&amp;U'!$H22-SUM('Phase I Pro Forma'!$E299:R299),'Phase I Pro Forma'!S$292-SUM(S$295:S298))</f>
        <v>0</v>
      </c>
      <c r="T299" s="150">
        <f ca="1">+MIN('S&amp;U'!$H22-SUM('Phase I Pro Forma'!$E299:S299),'Phase I Pro Forma'!T$292-SUM(T$295:T298))</f>
        <v>0</v>
      </c>
      <c r="U299" s="150">
        <f ca="1">+MIN('S&amp;U'!$H22-SUM('Phase I Pro Forma'!$E299:T299),'Phase I Pro Forma'!U$292-SUM(U$295:U298))</f>
        <v>0</v>
      </c>
      <c r="V299" s="150">
        <f ca="1">+MIN('S&amp;U'!$H22-SUM('Phase I Pro Forma'!$E299:U299),'Phase I Pro Forma'!V$292-SUM(V$295:V298))</f>
        <v>0</v>
      </c>
      <c r="W299" s="150">
        <f ca="1">+MIN('S&amp;U'!$H22-SUM('Phase I Pro Forma'!$E299:V299),'Phase I Pro Forma'!W$292-SUM(W$295:W298))</f>
        <v>0</v>
      </c>
      <c r="X299" s="150">
        <f ca="1">+MIN('S&amp;U'!$H22-SUM('Phase I Pro Forma'!$E299:W299),'Phase I Pro Forma'!X$292-SUM(X$295:X298))</f>
        <v>0</v>
      </c>
      <c r="Y299" s="150">
        <f ca="1">+MIN('S&amp;U'!$H22-SUM('Phase I Pro Forma'!$E299:X299),'Phase I Pro Forma'!Y$292-SUM(Y$295:Y298))</f>
        <v>0</v>
      </c>
      <c r="Z299" s="150">
        <f ca="1">+MIN('S&amp;U'!$H22-SUM('Phase I Pro Forma'!$E299:Y299),'Phase I Pro Forma'!Z$292-SUM(Z$295:Z298))</f>
        <v>0</v>
      </c>
    </row>
    <row r="300" spans="1:26" x14ac:dyDescent="0.2">
      <c r="A300" s="107"/>
      <c r="B300" s="32" t="s">
        <v>330</v>
      </c>
      <c r="D300" s="47">
        <f t="shared" ca="1" si="568"/>
        <v>239796126.33825794</v>
      </c>
      <c r="E300" s="47"/>
      <c r="F300" s="150">
        <f ca="1">+MIN('S&amp;U'!$H17-SUM('Phase I Pro Forma'!$E300:E300),'Phase I Pro Forma'!F$292-SUM(F$295:F299))</f>
        <v>0</v>
      </c>
      <c r="G300" s="150">
        <f ca="1">+MIN('S&amp;U'!$H17-SUM('Phase I Pro Forma'!$E300:F300),'Phase I Pro Forma'!G$292-SUM(G$295:G299))</f>
        <v>137048442.76144266</v>
      </c>
      <c r="H300" s="150">
        <f ca="1">+MIN('S&amp;U'!$H17-SUM('Phase I Pro Forma'!$E300:G300),'Phase I Pro Forma'!H$292-SUM(H$295:H299))</f>
        <v>102747683.57681528</v>
      </c>
      <c r="I300" s="150">
        <f ca="1">+MIN('S&amp;U'!$H17-SUM('Phase I Pro Forma'!$E300:H300),'Phase I Pro Forma'!I$292-SUM(I$295:I299))</f>
        <v>0</v>
      </c>
      <c r="J300" s="150">
        <f ca="1">+MIN('S&amp;U'!$H17-SUM('Phase I Pro Forma'!$E300:I300),'Phase I Pro Forma'!J$292-SUM(J$295:J299))</f>
        <v>0</v>
      </c>
      <c r="K300" s="150">
        <f ca="1">+MIN('S&amp;U'!$H17-SUM('Phase I Pro Forma'!$E300:J300),'Phase I Pro Forma'!K$292-SUM(K$295:K299))</f>
        <v>0</v>
      </c>
      <c r="L300" s="150">
        <f ca="1">+MIN('S&amp;U'!$H17-SUM('Phase I Pro Forma'!$E300:K300),'Phase I Pro Forma'!L$292-SUM(L$295:L299))</f>
        <v>0</v>
      </c>
      <c r="M300" s="150">
        <f ca="1">+MIN('S&amp;U'!$H17-SUM('Phase I Pro Forma'!$E300:L300),'Phase I Pro Forma'!M$292-SUM(M$295:M299))</f>
        <v>0</v>
      </c>
      <c r="N300" s="150">
        <f ca="1">+MIN('S&amp;U'!$H17-SUM('Phase I Pro Forma'!$E300:M300),'Phase I Pro Forma'!N$292-SUM(N$295:N299))</f>
        <v>0</v>
      </c>
      <c r="O300" s="150">
        <f ca="1">+MIN('S&amp;U'!$H17-SUM('Phase I Pro Forma'!$E300:N300),'Phase I Pro Forma'!O$292-SUM(O$295:O299))</f>
        <v>0</v>
      </c>
      <c r="P300" s="150">
        <f ca="1">+MIN('S&amp;U'!$H17-SUM('Phase I Pro Forma'!$E300:O300),'Phase I Pro Forma'!P$292-SUM(P$295:P299))</f>
        <v>0</v>
      </c>
      <c r="Q300" s="150">
        <f ca="1">+MIN('S&amp;U'!$H17-SUM('Phase I Pro Forma'!$E300:P300),'Phase I Pro Forma'!Q$292-SUM(Q$295:Q299))</f>
        <v>0</v>
      </c>
      <c r="R300" s="150">
        <f ca="1">+MIN('S&amp;U'!$H17-SUM('Phase I Pro Forma'!$E300:Q300),'Phase I Pro Forma'!R$292-SUM(R$295:R299))</f>
        <v>0</v>
      </c>
      <c r="S300" s="150">
        <f ca="1">+MIN('S&amp;U'!$H17-SUM('Phase I Pro Forma'!$E300:R300),'Phase I Pro Forma'!S$292-SUM(S$295:S299))</f>
        <v>0</v>
      </c>
      <c r="T300" s="150">
        <f ca="1">+MIN('S&amp;U'!$H17-SUM('Phase I Pro Forma'!$E300:S300),'Phase I Pro Forma'!T$292-SUM(T$295:T299))</f>
        <v>0</v>
      </c>
      <c r="U300" s="150">
        <f ca="1">+MIN('S&amp;U'!$H17-SUM('Phase I Pro Forma'!$E300:T300),'Phase I Pro Forma'!U$292-SUM(U$295:U299))</f>
        <v>0</v>
      </c>
      <c r="V300" s="150">
        <f ca="1">+MIN('S&amp;U'!$H17-SUM('Phase I Pro Forma'!$E300:U300),'Phase I Pro Forma'!V$292-SUM(V$295:V299))</f>
        <v>0</v>
      </c>
      <c r="W300" s="150">
        <f ca="1">+MIN('S&amp;U'!$H17-SUM('Phase I Pro Forma'!$E300:V300),'Phase I Pro Forma'!W$292-SUM(W$295:W299))</f>
        <v>0</v>
      </c>
      <c r="X300" s="150">
        <f ca="1">+MIN('S&amp;U'!$H17-SUM('Phase I Pro Forma'!$E300:W300),'Phase I Pro Forma'!X$292-SUM(X$295:X299))</f>
        <v>0</v>
      </c>
      <c r="Y300" s="150">
        <f ca="1">+MIN('S&amp;U'!$H17-SUM('Phase I Pro Forma'!$E300:X300),'Phase I Pro Forma'!Y$292-SUM(Y$295:Y299))</f>
        <v>0</v>
      </c>
      <c r="Z300" s="150">
        <f ca="1">+MIN('S&amp;U'!$H17-SUM('Phase I Pro Forma'!$E300:Y300),'Phase I Pro Forma'!Z$292-SUM(Z$295:Z299))</f>
        <v>0</v>
      </c>
    </row>
    <row r="301" spans="1:26" x14ac:dyDescent="0.2">
      <c r="A301" s="107"/>
      <c r="B301" s="32" t="s">
        <v>98</v>
      </c>
      <c r="D301" s="47">
        <f t="shared" ca="1" si="568"/>
        <v>74189767.741794825</v>
      </c>
      <c r="E301" s="47"/>
      <c r="F301" s="150">
        <f ca="1">+MIN('S&amp;U'!$H18-SUM('Phase I Pro Forma'!$E301:E301),'Phase I Pro Forma'!F$292-SUM(F$295:F300))</f>
        <v>0</v>
      </c>
      <c r="G301" s="150">
        <f ca="1">+MIN('S&amp;U'!$H18-SUM('Phase I Pro Forma'!$E301:F301),'Phase I Pro Forma'!G$292-SUM(G$295:G300))</f>
        <v>0</v>
      </c>
      <c r="H301" s="150">
        <f ca="1">+MIN('S&amp;U'!$H18-SUM('Phase I Pro Forma'!$E301:G301),'Phase I Pro Forma'!H$292-SUM(H$295:H300))</f>
        <v>68469961.049118668</v>
      </c>
      <c r="I301" s="150">
        <f ca="1">+MIN('S&amp;U'!$H18-SUM('Phase I Pro Forma'!$E301:H301),'Phase I Pro Forma'!I$292-SUM(I$295:I300))</f>
        <v>2859903.3463380821</v>
      </c>
      <c r="J301" s="150">
        <f ca="1">+MIN('S&amp;U'!$H18-SUM('Phase I Pro Forma'!$E301:I301),'Phase I Pro Forma'!J$292-SUM(J$295:J300))</f>
        <v>2859903.3463380784</v>
      </c>
      <c r="K301" s="150">
        <f ca="1">+MIN('S&amp;U'!$H18-SUM('Phase I Pro Forma'!$E301:J301),'Phase I Pro Forma'!K$292-SUM(K$295:K300))</f>
        <v>0</v>
      </c>
      <c r="L301" s="150">
        <f ca="1">+MIN('S&amp;U'!$H18-SUM('Phase I Pro Forma'!$E301:K301),'Phase I Pro Forma'!L$292-SUM(L$295:L300))</f>
        <v>0</v>
      </c>
      <c r="M301" s="150">
        <f ca="1">+MIN('S&amp;U'!$H18-SUM('Phase I Pro Forma'!$E301:L301),'Phase I Pro Forma'!M$292-SUM(M$295:M300))</f>
        <v>0</v>
      </c>
      <c r="N301" s="150">
        <f ca="1">+MIN('S&amp;U'!$H18-SUM('Phase I Pro Forma'!$E301:M301),'Phase I Pro Forma'!N$292-SUM(N$295:N300))</f>
        <v>0</v>
      </c>
      <c r="O301" s="150">
        <f ca="1">+MIN('S&amp;U'!$H18-SUM('Phase I Pro Forma'!$E301:N301),'Phase I Pro Forma'!O$292-SUM(O$295:O300))</f>
        <v>0</v>
      </c>
      <c r="P301" s="150">
        <f ca="1">+MIN('S&amp;U'!$H18-SUM('Phase I Pro Forma'!$E301:O301),'Phase I Pro Forma'!P$292-SUM(P$295:P300))</f>
        <v>0</v>
      </c>
      <c r="Q301" s="150">
        <f ca="1">+MIN('S&amp;U'!$H18-SUM('Phase I Pro Forma'!$E301:P301),'Phase I Pro Forma'!Q$292-SUM(Q$295:Q300))</f>
        <v>0</v>
      </c>
      <c r="R301" s="150">
        <f ca="1">+MIN('S&amp;U'!$H18-SUM('Phase I Pro Forma'!$E301:Q301),'Phase I Pro Forma'!R$292-SUM(R$295:R300))</f>
        <v>0</v>
      </c>
      <c r="S301" s="150">
        <f ca="1">+MIN('S&amp;U'!$H18-SUM('Phase I Pro Forma'!$E301:R301),'Phase I Pro Forma'!S$292-SUM(S$295:S300))</f>
        <v>0</v>
      </c>
      <c r="T301" s="150">
        <f ca="1">+MIN('S&amp;U'!$H18-SUM('Phase I Pro Forma'!$E301:S301),'Phase I Pro Forma'!T$292-SUM(T$295:T300))</f>
        <v>0</v>
      </c>
      <c r="U301" s="150">
        <f ca="1">+MIN('S&amp;U'!$H18-SUM('Phase I Pro Forma'!$E301:T301),'Phase I Pro Forma'!U$292-SUM(U$295:U300))</f>
        <v>0</v>
      </c>
      <c r="V301" s="150">
        <f ca="1">+MIN('S&amp;U'!$H18-SUM('Phase I Pro Forma'!$E301:U301),'Phase I Pro Forma'!V$292-SUM(V$295:V300))</f>
        <v>0</v>
      </c>
      <c r="W301" s="150">
        <f ca="1">+MIN('S&amp;U'!$H18-SUM('Phase I Pro Forma'!$E301:V301),'Phase I Pro Forma'!W$292-SUM(W$295:W300))</f>
        <v>0</v>
      </c>
      <c r="X301" s="150">
        <f ca="1">+MIN('S&amp;U'!$H18-SUM('Phase I Pro Forma'!$E301:W301),'Phase I Pro Forma'!X$292-SUM(X$295:X300))</f>
        <v>0</v>
      </c>
      <c r="Y301" s="150">
        <f ca="1">+MIN('S&amp;U'!$H18-SUM('Phase I Pro Forma'!$E301:X301),'Phase I Pro Forma'!Y$292-SUM(Y$295:Y300))</f>
        <v>0</v>
      </c>
      <c r="Z301" s="150">
        <f ca="1">+MIN('S&amp;U'!$H18-SUM('Phase I Pro Forma'!$E301:Y301),'Phase I Pro Forma'!Z$292-SUM(Z$295:Z300))</f>
        <v>0</v>
      </c>
    </row>
    <row r="302" spans="1:26" x14ac:dyDescent="0.2">
      <c r="B302" s="137" t="s">
        <v>377</v>
      </c>
      <c r="C302" s="137"/>
      <c r="D302" s="138">
        <f t="shared" ca="1" si="568"/>
        <v>399660210.56376332</v>
      </c>
      <c r="E302" s="138"/>
      <c r="F302" s="138">
        <f t="shared" ref="F302:Z302" ca="1" si="569">+SUM(F295:F301)</f>
        <v>51505114.619219258</v>
      </c>
      <c r="G302" s="138">
        <f t="shared" ca="1" si="569"/>
        <v>171217644.62593395</v>
      </c>
      <c r="H302" s="138">
        <f t="shared" ca="1" si="569"/>
        <v>171217644.62593395</v>
      </c>
      <c r="I302" s="138">
        <f t="shared" ca="1" si="569"/>
        <v>2859903.3463380821</v>
      </c>
      <c r="J302" s="138">
        <f t="shared" ca="1" si="569"/>
        <v>2859903.3463380784</v>
      </c>
      <c r="K302" s="138">
        <f t="shared" ca="1" si="569"/>
        <v>0</v>
      </c>
      <c r="L302" s="138">
        <f t="shared" ca="1" si="569"/>
        <v>0</v>
      </c>
      <c r="M302" s="138">
        <f t="shared" ca="1" si="569"/>
        <v>0</v>
      </c>
      <c r="N302" s="138">
        <f t="shared" ca="1" si="569"/>
        <v>0</v>
      </c>
      <c r="O302" s="138">
        <f t="shared" ca="1" si="569"/>
        <v>0</v>
      </c>
      <c r="P302" s="138">
        <f t="shared" ca="1" si="569"/>
        <v>0</v>
      </c>
      <c r="Q302" s="138">
        <f t="shared" ca="1" si="569"/>
        <v>0</v>
      </c>
      <c r="R302" s="138">
        <f t="shared" ca="1" si="569"/>
        <v>0</v>
      </c>
      <c r="S302" s="138">
        <f t="shared" ca="1" si="569"/>
        <v>0</v>
      </c>
      <c r="T302" s="138">
        <f t="shared" ca="1" si="569"/>
        <v>0</v>
      </c>
      <c r="U302" s="138">
        <f t="shared" ca="1" si="569"/>
        <v>0</v>
      </c>
      <c r="V302" s="138">
        <f t="shared" ca="1" si="569"/>
        <v>0</v>
      </c>
      <c r="W302" s="138">
        <f t="shared" ca="1" si="569"/>
        <v>0</v>
      </c>
      <c r="X302" s="138">
        <f t="shared" ca="1" si="569"/>
        <v>0</v>
      </c>
      <c r="Y302" s="138">
        <f t="shared" ca="1" si="569"/>
        <v>0</v>
      </c>
      <c r="Z302" s="138">
        <f t="shared" ca="1" si="569"/>
        <v>0</v>
      </c>
    </row>
    <row r="304" spans="1:26" x14ac:dyDescent="0.2">
      <c r="B304" s="32" t="s">
        <v>437</v>
      </c>
      <c r="D304" s="47">
        <f t="shared" ca="1" si="568"/>
        <v>95698864.899236143</v>
      </c>
      <c r="F304" s="41">
        <f ca="1">+SUM(F296:F299,F301)</f>
        <v>0</v>
      </c>
      <c r="G304" s="41">
        <f t="shared" ref="G304:Z304" ca="1" si="570">+SUM(G296:G299,G301)</f>
        <v>21509097.157441318</v>
      </c>
      <c r="H304" s="41">
        <f t="shared" ca="1" si="570"/>
        <v>68469961.049118668</v>
      </c>
      <c r="I304" s="41">
        <f t="shared" ca="1" si="570"/>
        <v>2859903.3463380821</v>
      </c>
      <c r="J304" s="41">
        <f t="shared" ca="1" si="570"/>
        <v>2859903.3463380784</v>
      </c>
      <c r="K304" s="41">
        <f t="shared" ca="1" si="570"/>
        <v>0</v>
      </c>
      <c r="L304" s="41">
        <f t="shared" ca="1" si="570"/>
        <v>0</v>
      </c>
      <c r="M304" s="41">
        <f t="shared" ca="1" si="570"/>
        <v>0</v>
      </c>
      <c r="N304" s="41">
        <f t="shared" ca="1" si="570"/>
        <v>0</v>
      </c>
      <c r="O304" s="41">
        <f t="shared" ca="1" si="570"/>
        <v>0</v>
      </c>
      <c r="P304" s="41">
        <f t="shared" ca="1" si="570"/>
        <v>0</v>
      </c>
      <c r="Q304" s="41">
        <f t="shared" ca="1" si="570"/>
        <v>0</v>
      </c>
      <c r="R304" s="41">
        <f t="shared" ca="1" si="570"/>
        <v>0</v>
      </c>
      <c r="S304" s="41">
        <f t="shared" ca="1" si="570"/>
        <v>0</v>
      </c>
      <c r="T304" s="41">
        <f t="shared" ca="1" si="570"/>
        <v>0</v>
      </c>
      <c r="U304" s="41">
        <f t="shared" ca="1" si="570"/>
        <v>0</v>
      </c>
      <c r="V304" s="41">
        <f t="shared" ca="1" si="570"/>
        <v>0</v>
      </c>
      <c r="W304" s="41">
        <f t="shared" ca="1" si="570"/>
        <v>0</v>
      </c>
      <c r="X304" s="41">
        <f t="shared" ca="1" si="570"/>
        <v>0</v>
      </c>
      <c r="Y304" s="41">
        <f t="shared" ca="1" si="570"/>
        <v>0</v>
      </c>
      <c r="Z304" s="41">
        <f t="shared" ca="1" si="570"/>
        <v>0</v>
      </c>
    </row>
    <row r="306" spans="2:26" x14ac:dyDescent="0.2">
      <c r="B306" s="147" t="s">
        <v>348</v>
      </c>
    </row>
    <row r="307" spans="2:26" x14ac:dyDescent="0.2">
      <c r="B307" s="32" t="s">
        <v>349</v>
      </c>
      <c r="D307" s="47">
        <f ca="1">+SUM(F307:Z307)</f>
        <v>-64165219.326269209</v>
      </c>
      <c r="E307" s="47"/>
      <c r="F307" s="33">
        <f t="shared" ref="F307:Z307" ca="1" si="571">-F295</f>
        <v>-51505114.619219258</v>
      </c>
      <c r="G307" s="33">
        <f t="shared" ca="1" si="571"/>
        <v>-12660104.707049951</v>
      </c>
      <c r="H307" s="33">
        <f t="shared" ca="1" si="571"/>
        <v>0</v>
      </c>
      <c r="I307" s="33">
        <f t="shared" ca="1" si="571"/>
        <v>0</v>
      </c>
      <c r="J307" s="33">
        <f t="shared" ca="1" si="571"/>
        <v>0</v>
      </c>
      <c r="K307" s="33">
        <f t="shared" ca="1" si="571"/>
        <v>0</v>
      </c>
      <c r="L307" s="33">
        <f t="shared" ca="1" si="571"/>
        <v>0</v>
      </c>
      <c r="M307" s="33">
        <f t="shared" ca="1" si="571"/>
        <v>0</v>
      </c>
      <c r="N307" s="33">
        <f t="shared" ca="1" si="571"/>
        <v>0</v>
      </c>
      <c r="O307" s="33">
        <f t="shared" ca="1" si="571"/>
        <v>0</v>
      </c>
      <c r="P307" s="33">
        <f t="shared" ca="1" si="571"/>
        <v>0</v>
      </c>
      <c r="Q307" s="33">
        <f t="shared" ca="1" si="571"/>
        <v>0</v>
      </c>
      <c r="R307" s="33">
        <f t="shared" ca="1" si="571"/>
        <v>0</v>
      </c>
      <c r="S307" s="33">
        <f t="shared" ca="1" si="571"/>
        <v>0</v>
      </c>
      <c r="T307" s="33">
        <f t="shared" ca="1" si="571"/>
        <v>0</v>
      </c>
      <c r="U307" s="33">
        <f t="shared" ca="1" si="571"/>
        <v>0</v>
      </c>
      <c r="V307" s="33">
        <f t="shared" ca="1" si="571"/>
        <v>0</v>
      </c>
      <c r="W307" s="33">
        <f t="shared" ca="1" si="571"/>
        <v>0</v>
      </c>
      <c r="X307" s="33">
        <f t="shared" ca="1" si="571"/>
        <v>0</v>
      </c>
      <c r="Y307" s="33">
        <f t="shared" ca="1" si="571"/>
        <v>0</v>
      </c>
      <c r="Z307" s="33">
        <f t="shared" ca="1" si="571"/>
        <v>0</v>
      </c>
    </row>
    <row r="308" spans="2:26" x14ac:dyDescent="0.2">
      <c r="B308" s="32" t="s">
        <v>350</v>
      </c>
      <c r="D308" s="47">
        <f t="shared" ref="D308" ca="1" si="572">+SUM(F308:Z308)</f>
        <v>286196621.42739487</v>
      </c>
      <c r="E308" s="47"/>
      <c r="F308" s="150">
        <f ca="1">+F277</f>
        <v>0</v>
      </c>
      <c r="G308" s="150">
        <f t="shared" ref="G308:Z308" ca="1" si="573">+G277</f>
        <v>0</v>
      </c>
      <c r="H308" s="150">
        <f t="shared" ca="1" si="573"/>
        <v>0</v>
      </c>
      <c r="I308" s="150">
        <f t="shared" ca="1" si="573"/>
        <v>24891988.041406084</v>
      </c>
      <c r="J308" s="150">
        <f t="shared" ca="1" si="573"/>
        <v>5278132.2857078519</v>
      </c>
      <c r="K308" s="150">
        <f t="shared" ca="1" si="573"/>
        <v>5896598.6043395866</v>
      </c>
      <c r="L308" s="150">
        <f t="shared" ca="1" si="573"/>
        <v>7678126.75579214</v>
      </c>
      <c r="M308" s="150">
        <f t="shared" ca="1" si="573"/>
        <v>8004752.9827835169</v>
      </c>
      <c r="N308" s="150">
        <f t="shared" ca="1" si="573"/>
        <v>8449315.2071530111</v>
      </c>
      <c r="O308" s="150">
        <f t="shared" ca="1" si="573"/>
        <v>8905274.030542098</v>
      </c>
      <c r="P308" s="150">
        <f t="shared" ca="1" si="573"/>
        <v>217092433.51967055</v>
      </c>
      <c r="Q308" s="150">
        <f t="shared" si="573"/>
        <v>0</v>
      </c>
      <c r="R308" s="150">
        <f t="shared" si="573"/>
        <v>0</v>
      </c>
      <c r="S308" s="150">
        <f t="shared" si="573"/>
        <v>0</v>
      </c>
      <c r="T308" s="150">
        <f t="shared" si="573"/>
        <v>0</v>
      </c>
      <c r="U308" s="150">
        <f t="shared" si="573"/>
        <v>0</v>
      </c>
      <c r="V308" s="150">
        <f t="shared" si="573"/>
        <v>0</v>
      </c>
      <c r="W308" s="150">
        <f t="shared" si="573"/>
        <v>0</v>
      </c>
      <c r="X308" s="150">
        <f t="shared" si="573"/>
        <v>0</v>
      </c>
      <c r="Y308" s="150">
        <f t="shared" si="573"/>
        <v>0</v>
      </c>
      <c r="Z308" s="150">
        <f t="shared" si="573"/>
        <v>0</v>
      </c>
    </row>
    <row r="309" spans="2:26" x14ac:dyDescent="0.2">
      <c r="B309" s="137" t="s">
        <v>351</v>
      </c>
      <c r="C309" s="137"/>
      <c r="D309" s="138">
        <f ca="1">+SUM(F309:Z309)</f>
        <v>222031402.10112563</v>
      </c>
      <c r="E309" s="138"/>
      <c r="F309" s="138">
        <f ca="1">+SUM(F307:F308)</f>
        <v>-51505114.619219258</v>
      </c>
      <c r="G309" s="138">
        <f t="shared" ref="G309:Z309" ca="1" si="574">+SUM(G307:G308)</f>
        <v>-12660104.707049951</v>
      </c>
      <c r="H309" s="138">
        <f t="shared" ca="1" si="574"/>
        <v>0</v>
      </c>
      <c r="I309" s="138">
        <f t="shared" ca="1" si="574"/>
        <v>24891988.041406084</v>
      </c>
      <c r="J309" s="138">
        <f t="shared" ca="1" si="574"/>
        <v>5278132.2857078519</v>
      </c>
      <c r="K309" s="138">
        <f t="shared" ca="1" si="574"/>
        <v>5896598.6043395866</v>
      </c>
      <c r="L309" s="138">
        <f t="shared" ca="1" si="574"/>
        <v>7678126.75579214</v>
      </c>
      <c r="M309" s="138">
        <f t="shared" ca="1" si="574"/>
        <v>8004752.9827835169</v>
      </c>
      <c r="N309" s="138">
        <f t="shared" ca="1" si="574"/>
        <v>8449315.2071530111</v>
      </c>
      <c r="O309" s="138">
        <f t="shared" ca="1" si="574"/>
        <v>8905274.030542098</v>
      </c>
      <c r="P309" s="138">
        <f t="shared" ca="1" si="574"/>
        <v>217092433.51967055</v>
      </c>
      <c r="Q309" s="138">
        <f t="shared" ca="1" si="574"/>
        <v>0</v>
      </c>
      <c r="R309" s="138">
        <f t="shared" ca="1" si="574"/>
        <v>0</v>
      </c>
      <c r="S309" s="138">
        <f t="shared" ca="1" si="574"/>
        <v>0</v>
      </c>
      <c r="T309" s="138">
        <f t="shared" ca="1" si="574"/>
        <v>0</v>
      </c>
      <c r="U309" s="138">
        <f t="shared" ca="1" si="574"/>
        <v>0</v>
      </c>
      <c r="V309" s="138">
        <f t="shared" ca="1" si="574"/>
        <v>0</v>
      </c>
      <c r="W309" s="138">
        <f t="shared" ca="1" si="574"/>
        <v>0</v>
      </c>
      <c r="X309" s="138">
        <f t="shared" ca="1" si="574"/>
        <v>0</v>
      </c>
      <c r="Y309" s="138">
        <f t="shared" ca="1" si="574"/>
        <v>0</v>
      </c>
      <c r="Z309" s="138">
        <f t="shared" ca="1" si="574"/>
        <v>0</v>
      </c>
    </row>
    <row r="311" spans="2:26" x14ac:dyDescent="0.2">
      <c r="B311" s="188" t="s">
        <v>355</v>
      </c>
      <c r="C311" s="188"/>
      <c r="D311" s="189">
        <f ca="1">+IRR(F309:Z309)</f>
        <v>0.20213049169868547</v>
      </c>
      <c r="I311" s="41"/>
    </row>
    <row r="312" spans="2:26" x14ac:dyDescent="0.2">
      <c r="B312" s="140" t="s">
        <v>353</v>
      </c>
      <c r="C312" s="190"/>
      <c r="D312" s="141">
        <f ca="1">+SUM(F309:Z309)</f>
        <v>222031402.10112563</v>
      </c>
    </row>
    <row r="313" spans="2:26" x14ac:dyDescent="0.2">
      <c r="B313" s="192" t="s">
        <v>354</v>
      </c>
      <c r="C313" s="191"/>
      <c r="D313" s="193">
        <f ca="1">+D308/-D307</f>
        <v>4.4603076936764419</v>
      </c>
    </row>
    <row r="315" spans="2:26" x14ac:dyDescent="0.2">
      <c r="B315" s="36" t="s">
        <v>391</v>
      </c>
      <c r="C315" s="37"/>
      <c r="D315" s="37"/>
      <c r="E315" s="37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7" spans="2:26" x14ac:dyDescent="0.2">
      <c r="B317" s="147" t="s">
        <v>248</v>
      </c>
      <c r="F317" s="149">
        <f>+F$294</f>
        <v>44196</v>
      </c>
      <c r="G317" s="149">
        <f t="shared" ref="G317:Z317" si="575">+G$294</f>
        <v>44561</v>
      </c>
      <c r="H317" s="149">
        <f t="shared" si="575"/>
        <v>44926</v>
      </c>
      <c r="I317" s="149">
        <f t="shared" si="575"/>
        <v>45291</v>
      </c>
      <c r="J317" s="149">
        <f t="shared" si="575"/>
        <v>45657</v>
      </c>
      <c r="K317" s="149">
        <f t="shared" si="575"/>
        <v>46022</v>
      </c>
      <c r="L317" s="149">
        <f t="shared" si="575"/>
        <v>46387</v>
      </c>
      <c r="M317" s="149">
        <f t="shared" si="575"/>
        <v>46752</v>
      </c>
      <c r="N317" s="149">
        <f t="shared" si="575"/>
        <v>47118</v>
      </c>
      <c r="O317" s="149">
        <f t="shared" si="575"/>
        <v>47483</v>
      </c>
      <c r="P317" s="149">
        <f t="shared" si="575"/>
        <v>47848</v>
      </c>
      <c r="Q317" s="149">
        <f t="shared" si="575"/>
        <v>48213</v>
      </c>
      <c r="R317" s="149">
        <f t="shared" si="575"/>
        <v>48579</v>
      </c>
      <c r="S317" s="149">
        <f t="shared" si="575"/>
        <v>48944</v>
      </c>
      <c r="T317" s="149">
        <f t="shared" si="575"/>
        <v>49309</v>
      </c>
      <c r="U317" s="149">
        <f t="shared" si="575"/>
        <v>49674</v>
      </c>
      <c r="V317" s="149">
        <f t="shared" si="575"/>
        <v>50040</v>
      </c>
      <c r="W317" s="149">
        <f t="shared" si="575"/>
        <v>50405</v>
      </c>
      <c r="X317" s="149">
        <f t="shared" si="575"/>
        <v>50770</v>
      </c>
      <c r="Y317" s="149">
        <f t="shared" si="575"/>
        <v>51135</v>
      </c>
      <c r="Z317" s="149">
        <f t="shared" si="575"/>
        <v>51501</v>
      </c>
    </row>
    <row r="318" spans="2:26" x14ac:dyDescent="0.2">
      <c r="B318" s="32" t="s">
        <v>767</v>
      </c>
      <c r="C318"/>
      <c r="D318"/>
      <c r="E318"/>
      <c r="F318" s="33">
        <f ca="1">+F$138</f>
        <v>0</v>
      </c>
      <c r="G318" s="33">
        <f t="shared" ref="G318:Z318" ca="1" si="576">+G$138</f>
        <v>0</v>
      </c>
      <c r="H318" s="33">
        <f t="shared" ca="1" si="576"/>
        <v>0</v>
      </c>
      <c r="I318" s="33">
        <f t="shared" ca="1" si="576"/>
        <v>9978980.3531097397</v>
      </c>
      <c r="J318" s="33">
        <f t="shared" ca="1" si="576"/>
        <v>20150048.491622239</v>
      </c>
      <c r="K318" s="33">
        <f t="shared" ca="1" si="576"/>
        <v>20415119.392887935</v>
      </c>
      <c r="L318" s="33">
        <f t="shared" ca="1" si="576"/>
        <v>22046666.44948281</v>
      </c>
      <c r="M318" s="33">
        <f t="shared" ca="1" si="576"/>
        <v>22260230.976380009</v>
      </c>
      <c r="N318" s="33">
        <f t="shared" ca="1" si="576"/>
        <v>22548752.86966075</v>
      </c>
      <c r="O318" s="33">
        <f t="shared" ca="1" si="576"/>
        <v>22845550.555339307</v>
      </c>
      <c r="P318" s="33">
        <f t="shared" ca="1" si="576"/>
        <v>23082611.017095</v>
      </c>
      <c r="Q318" s="33">
        <f t="shared" ca="1" si="576"/>
        <v>24891005.347919736</v>
      </c>
      <c r="R318" s="33">
        <f t="shared" ca="1" si="576"/>
        <v>25214102.952101879</v>
      </c>
      <c r="S318" s="33">
        <f t="shared" ca="1" si="576"/>
        <v>25476863.54030513</v>
      </c>
      <c r="T318" s="33">
        <f t="shared" ca="1" si="576"/>
        <v>25818794.874822486</v>
      </c>
      <c r="U318" s="33">
        <f t="shared" ca="1" si="576"/>
        <v>26170556.360362995</v>
      </c>
      <c r="V318" s="33">
        <f t="shared" ca="1" si="576"/>
        <v>28104693.832800679</v>
      </c>
      <c r="W318" s="33">
        <f t="shared" ca="1" si="576"/>
        <v>28476983.085985728</v>
      </c>
      <c r="X318" s="33">
        <f t="shared" ca="1" si="576"/>
        <v>28859987.0436441</v>
      </c>
      <c r="Y318" s="33">
        <f t="shared" ca="1" si="576"/>
        <v>29181586.70261373</v>
      </c>
      <c r="Z318" s="33">
        <f t="shared" ca="1" si="576"/>
        <v>29586966.343494888</v>
      </c>
    </row>
    <row r="319" spans="2:26" x14ac:dyDescent="0.2">
      <c r="B319" s="32" t="s">
        <v>768</v>
      </c>
      <c r="C319"/>
      <c r="D319"/>
      <c r="E319"/>
      <c r="F319" s="150">
        <f ca="1">+F$206</f>
        <v>0</v>
      </c>
      <c r="G319" s="150">
        <f t="shared" ref="G319:Z319" ca="1" si="577">+G$206</f>
        <v>0</v>
      </c>
      <c r="H319" s="150">
        <f t="shared" ca="1" si="577"/>
        <v>0</v>
      </c>
      <c r="I319" s="150">
        <f t="shared" ca="1" si="577"/>
        <v>2177551.5664158845</v>
      </c>
      <c r="J319" s="150">
        <f t="shared" ca="1" si="577"/>
        <v>5149708.49248611</v>
      </c>
      <c r="K319" s="150">
        <f t="shared" ca="1" si="577"/>
        <v>5503103.9098521462</v>
      </c>
      <c r="L319" s="150">
        <f t="shared" ca="1" si="577"/>
        <v>5653085.0047086952</v>
      </c>
      <c r="M319" s="150">
        <f t="shared" ca="1" si="577"/>
        <v>5766146.7048028726</v>
      </c>
      <c r="N319" s="150">
        <f t="shared" ca="1" si="577"/>
        <v>5922187.035891627</v>
      </c>
      <c r="O319" s="150">
        <f t="shared" ca="1" si="577"/>
        <v>6081348.1736021563</v>
      </c>
      <c r="P319" s="150">
        <f t="shared" ca="1" si="577"/>
        <v>6202975.1370741986</v>
      </c>
      <c r="Q319" s="150">
        <f t="shared" ca="1" si="577"/>
        <v>6368566.3847482363</v>
      </c>
      <c r="R319" s="150">
        <f t="shared" ca="1" si="577"/>
        <v>6537469.4573757444</v>
      </c>
      <c r="S319" s="150">
        <f t="shared" ca="1" si="577"/>
        <v>6668218.8465232626</v>
      </c>
      <c r="T319" s="150">
        <f t="shared" ca="1" si="577"/>
        <v>6843945.6032849317</v>
      </c>
      <c r="U319" s="150">
        <f t="shared" ca="1" si="577"/>
        <v>7023186.895181831</v>
      </c>
      <c r="V319" s="150">
        <f t="shared" ca="1" si="577"/>
        <v>7163650.6330854669</v>
      </c>
      <c r="W319" s="150">
        <f t="shared" ca="1" si="577"/>
        <v>7350133.2731749993</v>
      </c>
      <c r="X319" s="150">
        <f t="shared" ca="1" si="577"/>
        <v>7540345.5660663312</v>
      </c>
      <c r="Y319" s="150">
        <f t="shared" ca="1" si="577"/>
        <v>7691152.4773876574</v>
      </c>
      <c r="Z319" s="150">
        <f t="shared" ca="1" si="577"/>
        <v>7889049.3469117936</v>
      </c>
    </row>
    <row r="320" spans="2:26" x14ac:dyDescent="0.2">
      <c r="B320" s="32" t="s">
        <v>769</v>
      </c>
      <c r="C320"/>
      <c r="D320"/>
      <c r="E320"/>
      <c r="F320" s="150">
        <f ca="1">+F$251</f>
        <v>0</v>
      </c>
      <c r="G320" s="150">
        <f t="shared" ref="G320:Z320" ca="1" si="578">+G$251</f>
        <v>0</v>
      </c>
      <c r="H320" s="150">
        <f t="shared" ca="1" si="578"/>
        <v>0</v>
      </c>
      <c r="I320" s="150">
        <f t="shared" ca="1" si="578"/>
        <v>5.6399999999999985E-6</v>
      </c>
      <c r="J320" s="150">
        <f t="shared" ca="1" si="578"/>
        <v>1.1279999999999999E-5</v>
      </c>
      <c r="K320" s="150">
        <f t="shared" ca="1" si="578"/>
        <v>1.1279999999999997E-5</v>
      </c>
      <c r="L320" s="150">
        <f t="shared" ca="1" si="578"/>
        <v>1.2407999999999999E-5</v>
      </c>
      <c r="M320" s="150">
        <f t="shared" ca="1" si="578"/>
        <v>1.2408E-5</v>
      </c>
      <c r="N320" s="150">
        <f t="shared" ca="1" si="578"/>
        <v>1.2407999999999997E-5</v>
      </c>
      <c r="O320" s="150">
        <f t="shared" ca="1" si="578"/>
        <v>1.2407999999999997E-5</v>
      </c>
      <c r="P320" s="150">
        <f t="shared" ca="1" si="578"/>
        <v>1.2407999999999997E-5</v>
      </c>
      <c r="Q320" s="150">
        <f t="shared" ca="1" si="578"/>
        <v>1.3648800000000002E-5</v>
      </c>
      <c r="R320" s="150">
        <f t="shared" ca="1" si="578"/>
        <v>1.3648800000000001E-5</v>
      </c>
      <c r="S320" s="150">
        <f t="shared" ca="1" si="578"/>
        <v>1.3648800000000001E-5</v>
      </c>
      <c r="T320" s="150">
        <f t="shared" ca="1" si="578"/>
        <v>1.3648800000000004E-5</v>
      </c>
      <c r="U320" s="150">
        <f t="shared" ca="1" si="578"/>
        <v>1.3648800000000004E-5</v>
      </c>
      <c r="V320" s="150">
        <f t="shared" ca="1" si="578"/>
        <v>1.5013680000000002E-5</v>
      </c>
      <c r="W320" s="150">
        <f t="shared" ca="1" si="578"/>
        <v>1.5013680000000004E-5</v>
      </c>
      <c r="X320" s="150">
        <f t="shared" ca="1" si="578"/>
        <v>1.5013680000000005E-5</v>
      </c>
      <c r="Y320" s="150">
        <f t="shared" ca="1" si="578"/>
        <v>1.5013680000000002E-5</v>
      </c>
      <c r="Z320" s="150">
        <f t="shared" ca="1" si="578"/>
        <v>1.5013680000000004E-5</v>
      </c>
    </row>
    <row r="321" spans="2:26" x14ac:dyDescent="0.2">
      <c r="B321" s="137" t="s">
        <v>248</v>
      </c>
      <c r="C321" s="137"/>
      <c r="D321" s="138"/>
      <c r="E321" s="138"/>
      <c r="F321" s="138">
        <f t="shared" ref="F321:Z321" ca="1" si="579">+SUM(F318:F320)</f>
        <v>0</v>
      </c>
      <c r="G321" s="138">
        <f t="shared" ca="1" si="579"/>
        <v>0</v>
      </c>
      <c r="H321" s="138">
        <f t="shared" ca="1" si="579"/>
        <v>0</v>
      </c>
      <c r="I321" s="138">
        <f t="shared" ca="1" si="579"/>
        <v>12156531.919531263</v>
      </c>
      <c r="J321" s="138">
        <f t="shared" ca="1" si="579"/>
        <v>25299756.984119631</v>
      </c>
      <c r="K321" s="138">
        <f t="shared" ca="1" si="579"/>
        <v>25918223.302751362</v>
      </c>
      <c r="L321" s="138">
        <f t="shared" ca="1" si="579"/>
        <v>27699751.454203915</v>
      </c>
      <c r="M321" s="138">
        <f t="shared" ca="1" si="579"/>
        <v>28026377.681195293</v>
      </c>
      <c r="N321" s="138">
        <f t="shared" ca="1" si="579"/>
        <v>28470939.905564785</v>
      </c>
      <c r="O321" s="138">
        <f t="shared" ca="1" si="579"/>
        <v>28926898.728953872</v>
      </c>
      <c r="P321" s="138">
        <f t="shared" ca="1" si="579"/>
        <v>29285586.154181607</v>
      </c>
      <c r="Q321" s="138">
        <f t="shared" ca="1" si="579"/>
        <v>31259571.732681621</v>
      </c>
      <c r="R321" s="138">
        <f t="shared" ca="1" si="579"/>
        <v>31751572.409491271</v>
      </c>
      <c r="S321" s="138">
        <f t="shared" ca="1" si="579"/>
        <v>32145082.386842042</v>
      </c>
      <c r="T321" s="138">
        <f t="shared" ca="1" si="579"/>
        <v>32662740.478121068</v>
      </c>
      <c r="U321" s="138">
        <f t="shared" ca="1" si="579"/>
        <v>33193743.255558476</v>
      </c>
      <c r="V321" s="138">
        <f t="shared" ca="1" si="579"/>
        <v>35268344.465901159</v>
      </c>
      <c r="W321" s="138">
        <f t="shared" ca="1" si="579"/>
        <v>35827116.359175742</v>
      </c>
      <c r="X321" s="138">
        <f t="shared" ca="1" si="579"/>
        <v>36400332.609725446</v>
      </c>
      <c r="Y321" s="138">
        <f t="shared" ca="1" si="579"/>
        <v>36872739.180016398</v>
      </c>
      <c r="Z321" s="138">
        <f t="shared" ca="1" si="579"/>
        <v>37476015.690421693</v>
      </c>
    </row>
    <row r="323" spans="2:26" x14ac:dyDescent="0.2">
      <c r="B323" s="147" t="s">
        <v>149</v>
      </c>
      <c r="F323" s="149">
        <f>+F$294</f>
        <v>44196</v>
      </c>
      <c r="G323" s="149">
        <f t="shared" ref="G323:Z323" si="580">+G$294</f>
        <v>44561</v>
      </c>
      <c r="H323" s="149">
        <f t="shared" si="580"/>
        <v>44926</v>
      </c>
      <c r="I323" s="149">
        <f t="shared" si="580"/>
        <v>45291</v>
      </c>
      <c r="J323" s="149">
        <f t="shared" si="580"/>
        <v>45657</v>
      </c>
      <c r="K323" s="149">
        <f t="shared" si="580"/>
        <v>46022</v>
      </c>
      <c r="L323" s="149">
        <f t="shared" si="580"/>
        <v>46387</v>
      </c>
      <c r="M323" s="149">
        <f t="shared" si="580"/>
        <v>46752</v>
      </c>
      <c r="N323" s="149">
        <f t="shared" si="580"/>
        <v>47118</v>
      </c>
      <c r="O323" s="149">
        <f t="shared" si="580"/>
        <v>47483</v>
      </c>
      <c r="P323" s="149">
        <f t="shared" si="580"/>
        <v>47848</v>
      </c>
      <c r="Q323" s="149">
        <f t="shared" si="580"/>
        <v>48213</v>
      </c>
      <c r="R323" s="149">
        <f t="shared" si="580"/>
        <v>48579</v>
      </c>
      <c r="S323" s="149">
        <f t="shared" si="580"/>
        <v>48944</v>
      </c>
      <c r="T323" s="149">
        <f t="shared" si="580"/>
        <v>49309</v>
      </c>
      <c r="U323" s="149">
        <f t="shared" si="580"/>
        <v>49674</v>
      </c>
      <c r="V323" s="149">
        <f t="shared" si="580"/>
        <v>50040</v>
      </c>
      <c r="W323" s="149">
        <f t="shared" si="580"/>
        <v>50405</v>
      </c>
      <c r="X323" s="149">
        <f t="shared" si="580"/>
        <v>50770</v>
      </c>
      <c r="Y323" s="149">
        <f t="shared" si="580"/>
        <v>51135</v>
      </c>
      <c r="Z323" s="149">
        <f t="shared" si="580"/>
        <v>51501</v>
      </c>
    </row>
    <row r="324" spans="2:26" x14ac:dyDescent="0.2">
      <c r="B324" s="32" t="s">
        <v>336</v>
      </c>
      <c r="C324"/>
      <c r="D324"/>
      <c r="E324"/>
      <c r="F324" s="33">
        <f t="shared" ref="F324:Z324" si="581">+F270+F225+F155</f>
        <v>0</v>
      </c>
      <c r="G324" s="33">
        <f t="shared" si="581"/>
        <v>0</v>
      </c>
      <c r="H324" s="33">
        <f t="shared" si="581"/>
        <v>0</v>
      </c>
      <c r="I324" s="33">
        <f t="shared" si="581"/>
        <v>0</v>
      </c>
      <c r="J324" s="33">
        <f t="shared" si="581"/>
        <v>0</v>
      </c>
      <c r="K324" s="33">
        <f t="shared" si="581"/>
        <v>0</v>
      </c>
      <c r="L324" s="33">
        <f t="shared" si="581"/>
        <v>0</v>
      </c>
      <c r="M324" s="33">
        <f t="shared" si="581"/>
        <v>0</v>
      </c>
      <c r="N324" s="33">
        <f t="shared" si="581"/>
        <v>0</v>
      </c>
      <c r="O324" s="33">
        <f t="shared" si="581"/>
        <v>0</v>
      </c>
      <c r="P324" s="33">
        <f t="shared" ca="1" si="581"/>
        <v>467055654.80227685</v>
      </c>
      <c r="Q324" s="33">
        <f t="shared" si="581"/>
        <v>0</v>
      </c>
      <c r="R324" s="33">
        <f t="shared" si="581"/>
        <v>0</v>
      </c>
      <c r="S324" s="33">
        <f t="shared" si="581"/>
        <v>0</v>
      </c>
      <c r="T324" s="33">
        <f t="shared" si="581"/>
        <v>0</v>
      </c>
      <c r="U324" s="33">
        <f t="shared" si="581"/>
        <v>0</v>
      </c>
      <c r="V324" s="33">
        <f t="shared" si="581"/>
        <v>0</v>
      </c>
      <c r="W324" s="33">
        <f t="shared" si="581"/>
        <v>0</v>
      </c>
      <c r="X324" s="33">
        <f t="shared" si="581"/>
        <v>0</v>
      </c>
      <c r="Y324" s="33">
        <f t="shared" si="581"/>
        <v>0</v>
      </c>
      <c r="Z324" s="33">
        <f t="shared" si="581"/>
        <v>0</v>
      </c>
    </row>
    <row r="325" spans="2:26" x14ac:dyDescent="0.2">
      <c r="B325" s="32" t="s">
        <v>337</v>
      </c>
      <c r="F325" s="150">
        <f t="shared" ref="F325:Z325" si="582">+F271+F226+F157</f>
        <v>0</v>
      </c>
      <c r="G325" s="150">
        <f t="shared" si="582"/>
        <v>0</v>
      </c>
      <c r="H325" s="150">
        <f t="shared" si="582"/>
        <v>0</v>
      </c>
      <c r="I325" s="150">
        <f t="shared" si="582"/>
        <v>0</v>
      </c>
      <c r="J325" s="150">
        <f t="shared" si="582"/>
        <v>0</v>
      </c>
      <c r="K325" s="150">
        <f t="shared" si="582"/>
        <v>0</v>
      </c>
      <c r="L325" s="150">
        <f t="shared" si="582"/>
        <v>0</v>
      </c>
      <c r="M325" s="150">
        <f t="shared" si="582"/>
        <v>0</v>
      </c>
      <c r="N325" s="150">
        <f t="shared" si="582"/>
        <v>0</v>
      </c>
      <c r="O325" s="150">
        <f t="shared" si="582"/>
        <v>0</v>
      </c>
      <c r="P325" s="150">
        <f t="shared" ca="1" si="582"/>
        <v>-9341113.0960455369</v>
      </c>
      <c r="Q325" s="150">
        <f t="shared" si="582"/>
        <v>0</v>
      </c>
      <c r="R325" s="150">
        <f t="shared" si="582"/>
        <v>0</v>
      </c>
      <c r="S325" s="150">
        <f t="shared" si="582"/>
        <v>0</v>
      </c>
      <c r="T325" s="150">
        <f t="shared" si="582"/>
        <v>0</v>
      </c>
      <c r="U325" s="150">
        <f t="shared" si="582"/>
        <v>0</v>
      </c>
      <c r="V325" s="150">
        <f t="shared" si="582"/>
        <v>0</v>
      </c>
      <c r="W325" s="150">
        <f t="shared" si="582"/>
        <v>0</v>
      </c>
      <c r="X325" s="150">
        <f t="shared" si="582"/>
        <v>0</v>
      </c>
      <c r="Y325" s="150">
        <f t="shared" si="582"/>
        <v>0</v>
      </c>
      <c r="Z325" s="150">
        <f t="shared" si="582"/>
        <v>0</v>
      </c>
    </row>
    <row r="326" spans="2:26" x14ac:dyDescent="0.2">
      <c r="B326" s="137" t="s">
        <v>339</v>
      </c>
      <c r="C326" s="137"/>
      <c r="D326" s="138"/>
      <c r="E326" s="138"/>
      <c r="F326" s="138">
        <f>+SUM(F324:F325)</f>
        <v>0</v>
      </c>
      <c r="G326" s="138">
        <f t="shared" ref="G326:Z326" si="583">+SUM(G324:G325)</f>
        <v>0</v>
      </c>
      <c r="H326" s="138">
        <f t="shared" si="583"/>
        <v>0</v>
      </c>
      <c r="I326" s="138">
        <f t="shared" si="583"/>
        <v>0</v>
      </c>
      <c r="J326" s="138">
        <f t="shared" si="583"/>
        <v>0</v>
      </c>
      <c r="K326" s="138">
        <f t="shared" si="583"/>
        <v>0</v>
      </c>
      <c r="L326" s="138">
        <f t="shared" si="583"/>
        <v>0</v>
      </c>
      <c r="M326" s="138">
        <f t="shared" si="583"/>
        <v>0</v>
      </c>
      <c r="N326" s="138">
        <f t="shared" si="583"/>
        <v>0</v>
      </c>
      <c r="O326" s="138">
        <f t="shared" si="583"/>
        <v>0</v>
      </c>
      <c r="P326" s="138">
        <f t="shared" ca="1" si="583"/>
        <v>457714541.7062313</v>
      </c>
      <c r="Q326" s="138">
        <f t="shared" si="583"/>
        <v>0</v>
      </c>
      <c r="R326" s="138">
        <f t="shared" si="583"/>
        <v>0</v>
      </c>
      <c r="S326" s="138">
        <f t="shared" si="583"/>
        <v>0</v>
      </c>
      <c r="T326" s="138">
        <f t="shared" si="583"/>
        <v>0</v>
      </c>
      <c r="U326" s="138">
        <f t="shared" si="583"/>
        <v>0</v>
      </c>
      <c r="V326" s="138">
        <f t="shared" si="583"/>
        <v>0</v>
      </c>
      <c r="W326" s="138">
        <f t="shared" si="583"/>
        <v>0</v>
      </c>
      <c r="X326" s="138">
        <f t="shared" si="583"/>
        <v>0</v>
      </c>
      <c r="Y326" s="138">
        <f t="shared" si="583"/>
        <v>0</v>
      </c>
      <c r="Z326" s="138">
        <f t="shared" si="583"/>
        <v>0</v>
      </c>
    </row>
    <row r="328" spans="2:26" x14ac:dyDescent="0.2">
      <c r="B328" s="147" t="s">
        <v>392</v>
      </c>
      <c r="F328" s="149">
        <f t="shared" ref="F328:Z328" si="584">+F$294</f>
        <v>44196</v>
      </c>
      <c r="G328" s="149">
        <f t="shared" si="584"/>
        <v>44561</v>
      </c>
      <c r="H328" s="149">
        <f t="shared" si="584"/>
        <v>44926</v>
      </c>
      <c r="I328" s="149">
        <f t="shared" si="584"/>
        <v>45291</v>
      </c>
      <c r="J328" s="149">
        <f t="shared" si="584"/>
        <v>45657</v>
      </c>
      <c r="K328" s="149">
        <f t="shared" si="584"/>
        <v>46022</v>
      </c>
      <c r="L328" s="149">
        <f t="shared" si="584"/>
        <v>46387</v>
      </c>
      <c r="M328" s="149">
        <f t="shared" si="584"/>
        <v>46752</v>
      </c>
      <c r="N328" s="149">
        <f t="shared" si="584"/>
        <v>47118</v>
      </c>
      <c r="O328" s="149">
        <f t="shared" si="584"/>
        <v>47483</v>
      </c>
      <c r="P328" s="149">
        <f t="shared" si="584"/>
        <v>47848</v>
      </c>
      <c r="Q328" s="149">
        <f t="shared" si="584"/>
        <v>48213</v>
      </c>
      <c r="R328" s="149">
        <f t="shared" si="584"/>
        <v>48579</v>
      </c>
      <c r="S328" s="149">
        <f t="shared" si="584"/>
        <v>48944</v>
      </c>
      <c r="T328" s="149">
        <f t="shared" si="584"/>
        <v>49309</v>
      </c>
      <c r="U328" s="149">
        <f t="shared" si="584"/>
        <v>49674</v>
      </c>
      <c r="V328" s="149">
        <f t="shared" si="584"/>
        <v>50040</v>
      </c>
      <c r="W328" s="149">
        <f t="shared" si="584"/>
        <v>50405</v>
      </c>
      <c r="X328" s="149">
        <f t="shared" si="584"/>
        <v>50770</v>
      </c>
      <c r="Y328" s="149">
        <f t="shared" si="584"/>
        <v>51135</v>
      </c>
      <c r="Z328" s="149">
        <f t="shared" si="584"/>
        <v>51501</v>
      </c>
    </row>
    <row r="329" spans="2:26" x14ac:dyDescent="0.2">
      <c r="B329" s="32" t="s">
        <v>61</v>
      </c>
      <c r="D329" s="47">
        <f>+SUM(F329:Z329)</f>
        <v>6900151</v>
      </c>
      <c r="E329" s="47"/>
      <c r="F329" s="33">
        <f t="shared" ref="F329:Z329" si="585">+F285</f>
        <v>6900151</v>
      </c>
      <c r="G329" s="33">
        <f t="shared" si="585"/>
        <v>0</v>
      </c>
      <c r="H329" s="33">
        <f t="shared" si="585"/>
        <v>0</v>
      </c>
      <c r="I329" s="33">
        <f t="shared" si="585"/>
        <v>0</v>
      </c>
      <c r="J329" s="33">
        <f t="shared" si="585"/>
        <v>0</v>
      </c>
      <c r="K329" s="33">
        <f t="shared" si="585"/>
        <v>0</v>
      </c>
      <c r="L329" s="33">
        <f t="shared" si="585"/>
        <v>0</v>
      </c>
      <c r="M329" s="33">
        <f t="shared" si="585"/>
        <v>0</v>
      </c>
      <c r="N329" s="33">
        <f t="shared" si="585"/>
        <v>0</v>
      </c>
      <c r="O329" s="33">
        <f t="shared" si="585"/>
        <v>0</v>
      </c>
      <c r="P329" s="33">
        <f t="shared" si="585"/>
        <v>0</v>
      </c>
      <c r="Q329" s="33">
        <f t="shared" si="585"/>
        <v>0</v>
      </c>
      <c r="R329" s="33">
        <f t="shared" si="585"/>
        <v>0</v>
      </c>
      <c r="S329" s="33">
        <f t="shared" si="585"/>
        <v>0</v>
      </c>
      <c r="T329" s="33">
        <f t="shared" si="585"/>
        <v>0</v>
      </c>
      <c r="U329" s="33">
        <f t="shared" si="585"/>
        <v>0</v>
      </c>
      <c r="V329" s="33">
        <f t="shared" si="585"/>
        <v>0</v>
      </c>
      <c r="W329" s="33">
        <f t="shared" si="585"/>
        <v>0</v>
      </c>
      <c r="X329" s="33">
        <f t="shared" si="585"/>
        <v>0</v>
      </c>
      <c r="Y329" s="33">
        <f t="shared" si="585"/>
        <v>0</v>
      </c>
      <c r="Z329" s="33">
        <f t="shared" si="585"/>
        <v>0</v>
      </c>
    </row>
    <row r="330" spans="2:26" x14ac:dyDescent="0.2">
      <c r="B330" s="32" t="s">
        <v>8</v>
      </c>
      <c r="D330" s="47">
        <f t="shared" ref="D330:D335" si="586">+SUM(F330:Z330)</f>
        <v>31353547.897872344</v>
      </c>
      <c r="E330" s="47"/>
      <c r="F330" s="150">
        <f t="shared" ref="F330:Z330" si="587">+F286</f>
        <v>31353547.897872344</v>
      </c>
      <c r="G330" s="150">
        <f t="shared" si="587"/>
        <v>0</v>
      </c>
      <c r="H330" s="150">
        <f t="shared" si="587"/>
        <v>0</v>
      </c>
      <c r="I330" s="150">
        <f t="shared" si="587"/>
        <v>0</v>
      </c>
      <c r="J330" s="150">
        <f t="shared" si="587"/>
        <v>0</v>
      </c>
      <c r="K330" s="150">
        <f t="shared" si="587"/>
        <v>0</v>
      </c>
      <c r="L330" s="150">
        <f t="shared" si="587"/>
        <v>0</v>
      </c>
      <c r="M330" s="150">
        <f t="shared" si="587"/>
        <v>0</v>
      </c>
      <c r="N330" s="150">
        <f t="shared" si="587"/>
        <v>0</v>
      </c>
      <c r="O330" s="150">
        <f t="shared" si="587"/>
        <v>0</v>
      </c>
      <c r="P330" s="150">
        <f t="shared" si="587"/>
        <v>0</v>
      </c>
      <c r="Q330" s="150">
        <f t="shared" si="587"/>
        <v>0</v>
      </c>
      <c r="R330" s="150">
        <f t="shared" si="587"/>
        <v>0</v>
      </c>
      <c r="S330" s="150">
        <f t="shared" si="587"/>
        <v>0</v>
      </c>
      <c r="T330" s="150">
        <f t="shared" si="587"/>
        <v>0</v>
      </c>
      <c r="U330" s="150">
        <f t="shared" si="587"/>
        <v>0</v>
      </c>
      <c r="V330" s="150">
        <f t="shared" si="587"/>
        <v>0</v>
      </c>
      <c r="W330" s="150">
        <f t="shared" si="587"/>
        <v>0</v>
      </c>
      <c r="X330" s="150">
        <f t="shared" si="587"/>
        <v>0</v>
      </c>
      <c r="Y330" s="150">
        <f t="shared" si="587"/>
        <v>0</v>
      </c>
      <c r="Z330" s="150">
        <f t="shared" si="587"/>
        <v>0</v>
      </c>
    </row>
    <row r="331" spans="2:26" x14ac:dyDescent="0.2">
      <c r="B331" s="32" t="s">
        <v>57</v>
      </c>
      <c r="D331" s="47">
        <f t="shared" ca="1" si="586"/>
        <v>297663456.66999996</v>
      </c>
      <c r="E331" s="47"/>
      <c r="F331" s="150">
        <f t="shared" ref="F331:Z331" si="588">+F287</f>
        <v>160000</v>
      </c>
      <c r="G331" s="150">
        <f t="shared" ca="1" si="588"/>
        <v>148751728.33499998</v>
      </c>
      <c r="H331" s="150">
        <f t="shared" ca="1" si="588"/>
        <v>148751728.33499998</v>
      </c>
      <c r="I331" s="150">
        <f t="shared" si="588"/>
        <v>0</v>
      </c>
      <c r="J331" s="150">
        <f t="shared" si="588"/>
        <v>0</v>
      </c>
      <c r="K331" s="150">
        <f t="shared" si="588"/>
        <v>0</v>
      </c>
      <c r="L331" s="150">
        <f t="shared" si="588"/>
        <v>0</v>
      </c>
      <c r="M331" s="150">
        <f t="shared" si="588"/>
        <v>0</v>
      </c>
      <c r="N331" s="150">
        <f t="shared" si="588"/>
        <v>0</v>
      </c>
      <c r="O331" s="150">
        <f t="shared" si="588"/>
        <v>0</v>
      </c>
      <c r="P331" s="150">
        <f t="shared" si="588"/>
        <v>0</v>
      </c>
      <c r="Q331" s="150">
        <f t="shared" si="588"/>
        <v>0</v>
      </c>
      <c r="R331" s="150">
        <f t="shared" si="588"/>
        <v>0</v>
      </c>
      <c r="S331" s="150">
        <f t="shared" si="588"/>
        <v>0</v>
      </c>
      <c r="T331" s="150">
        <f t="shared" si="588"/>
        <v>0</v>
      </c>
      <c r="U331" s="150">
        <f t="shared" si="588"/>
        <v>0</v>
      </c>
      <c r="V331" s="150">
        <f t="shared" si="588"/>
        <v>0</v>
      </c>
      <c r="W331" s="150">
        <f t="shared" si="588"/>
        <v>0</v>
      </c>
      <c r="X331" s="150">
        <f t="shared" si="588"/>
        <v>0</v>
      </c>
      <c r="Y331" s="150">
        <f t="shared" si="588"/>
        <v>0</v>
      </c>
      <c r="Z331" s="150">
        <f t="shared" si="588"/>
        <v>0</v>
      </c>
    </row>
    <row r="332" spans="2:26" x14ac:dyDescent="0.2">
      <c r="B332" s="32" t="s">
        <v>58</v>
      </c>
      <c r="D332" s="47">
        <f t="shared" ca="1" si="586"/>
        <v>23373365.864354212</v>
      </c>
      <c r="E332" s="47"/>
      <c r="F332" s="150">
        <f t="shared" ref="F332:Z332" ca="1" si="589">+F288</f>
        <v>13091415.721346911</v>
      </c>
      <c r="G332" s="150">
        <f t="shared" ca="1" si="589"/>
        <v>5140975.0715036504</v>
      </c>
      <c r="H332" s="150">
        <f t="shared" ca="1" si="589"/>
        <v>5140975.0715036504</v>
      </c>
      <c r="I332" s="150">
        <f t="shared" si="589"/>
        <v>0</v>
      </c>
      <c r="J332" s="150">
        <f t="shared" si="589"/>
        <v>0</v>
      </c>
      <c r="K332" s="150">
        <f t="shared" si="589"/>
        <v>0</v>
      </c>
      <c r="L332" s="150">
        <f t="shared" si="589"/>
        <v>0</v>
      </c>
      <c r="M332" s="150">
        <f t="shared" si="589"/>
        <v>0</v>
      </c>
      <c r="N332" s="150">
        <f t="shared" si="589"/>
        <v>0</v>
      </c>
      <c r="O332" s="150">
        <f t="shared" si="589"/>
        <v>0</v>
      </c>
      <c r="P332" s="150">
        <f t="shared" si="589"/>
        <v>0</v>
      </c>
      <c r="Q332" s="150">
        <f t="shared" si="589"/>
        <v>0</v>
      </c>
      <c r="R332" s="150">
        <f t="shared" si="589"/>
        <v>0</v>
      </c>
      <c r="S332" s="150">
        <f t="shared" si="589"/>
        <v>0</v>
      </c>
      <c r="T332" s="150">
        <f t="shared" si="589"/>
        <v>0</v>
      </c>
      <c r="U332" s="150">
        <f t="shared" si="589"/>
        <v>0</v>
      </c>
      <c r="V332" s="150">
        <f t="shared" si="589"/>
        <v>0</v>
      </c>
      <c r="W332" s="150">
        <f t="shared" si="589"/>
        <v>0</v>
      </c>
      <c r="X332" s="150">
        <f t="shared" si="589"/>
        <v>0</v>
      </c>
      <c r="Y332" s="150">
        <f t="shared" si="589"/>
        <v>0</v>
      </c>
      <c r="Z332" s="150">
        <f t="shared" si="589"/>
        <v>0</v>
      </c>
    </row>
    <row r="333" spans="2:26" x14ac:dyDescent="0.2">
      <c r="B333" s="32" t="s">
        <v>80</v>
      </c>
      <c r="D333" s="47">
        <f t="shared" si="586"/>
        <v>0</v>
      </c>
      <c r="E333" s="47"/>
      <c r="F333" s="150">
        <v>0</v>
      </c>
      <c r="G333" s="150">
        <v>0</v>
      </c>
      <c r="H333" s="150">
        <v>0</v>
      </c>
      <c r="I333" s="150">
        <v>0</v>
      </c>
      <c r="J333" s="150">
        <v>0</v>
      </c>
      <c r="K333" s="150">
        <v>0</v>
      </c>
      <c r="L333" s="150">
        <v>0</v>
      </c>
      <c r="M333" s="150">
        <v>0</v>
      </c>
      <c r="N333" s="150">
        <v>0</v>
      </c>
      <c r="O333" s="150">
        <v>0</v>
      </c>
      <c r="P333" s="150">
        <v>0</v>
      </c>
      <c r="Q333" s="150">
        <v>0</v>
      </c>
      <c r="R333" s="150">
        <v>0</v>
      </c>
      <c r="S333" s="150">
        <v>0</v>
      </c>
      <c r="T333" s="150">
        <v>0</v>
      </c>
      <c r="U333" s="150">
        <v>0</v>
      </c>
      <c r="V333" s="150">
        <v>0</v>
      </c>
      <c r="W333" s="150">
        <v>0</v>
      </c>
      <c r="X333" s="150">
        <v>0</v>
      </c>
      <c r="Y333" s="150">
        <v>0</v>
      </c>
      <c r="Z333" s="150">
        <v>0</v>
      </c>
    </row>
    <row r="334" spans="2:26" x14ac:dyDescent="0.2">
      <c r="B334" s="32" t="s">
        <v>83</v>
      </c>
      <c r="D334" s="47">
        <f t="shared" ca="1" si="586"/>
        <v>764323.10105370777</v>
      </c>
      <c r="E334" s="47"/>
      <c r="F334" s="150">
        <f t="shared" ref="F334:Z334" si="590">+F290</f>
        <v>0</v>
      </c>
      <c r="G334" s="150">
        <f t="shared" ca="1" si="590"/>
        <v>382161.55052685388</v>
      </c>
      <c r="H334" s="150">
        <f t="shared" ca="1" si="590"/>
        <v>382161.55052685388</v>
      </c>
      <c r="I334" s="150">
        <f t="shared" si="590"/>
        <v>0</v>
      </c>
      <c r="J334" s="150">
        <f t="shared" si="590"/>
        <v>0</v>
      </c>
      <c r="K334" s="150">
        <f t="shared" si="590"/>
        <v>0</v>
      </c>
      <c r="L334" s="150">
        <f t="shared" si="590"/>
        <v>0</v>
      </c>
      <c r="M334" s="150">
        <f t="shared" si="590"/>
        <v>0</v>
      </c>
      <c r="N334" s="150">
        <f t="shared" si="590"/>
        <v>0</v>
      </c>
      <c r="O334" s="150">
        <f t="shared" si="590"/>
        <v>0</v>
      </c>
      <c r="P334" s="150">
        <f t="shared" si="590"/>
        <v>0</v>
      </c>
      <c r="Q334" s="150">
        <f t="shared" si="590"/>
        <v>0</v>
      </c>
      <c r="R334" s="150">
        <f t="shared" si="590"/>
        <v>0</v>
      </c>
      <c r="S334" s="150">
        <f t="shared" si="590"/>
        <v>0</v>
      </c>
      <c r="T334" s="150">
        <f t="shared" si="590"/>
        <v>0</v>
      </c>
      <c r="U334" s="150">
        <f t="shared" si="590"/>
        <v>0</v>
      </c>
      <c r="V334" s="150">
        <f t="shared" si="590"/>
        <v>0</v>
      </c>
      <c r="W334" s="150">
        <f t="shared" si="590"/>
        <v>0</v>
      </c>
      <c r="X334" s="150">
        <f t="shared" si="590"/>
        <v>0</v>
      </c>
      <c r="Y334" s="150">
        <f t="shared" si="590"/>
        <v>0</v>
      </c>
      <c r="Z334" s="150">
        <f t="shared" si="590"/>
        <v>0</v>
      </c>
    </row>
    <row r="335" spans="2:26" x14ac:dyDescent="0.2">
      <c r="B335" s="32" t="s">
        <v>60</v>
      </c>
      <c r="D335" s="47">
        <f t="shared" ca="1" si="586"/>
        <v>11439613.385352328</v>
      </c>
      <c r="E335" s="47"/>
      <c r="F335" s="150">
        <f t="shared" ref="F335:Z335" ca="1" si="591">+F291</f>
        <v>0</v>
      </c>
      <c r="G335" s="150">
        <f t="shared" ca="1" si="591"/>
        <v>2859903.3463380821</v>
      </c>
      <c r="H335" s="150">
        <f t="shared" ca="1" si="591"/>
        <v>2859903.3463380821</v>
      </c>
      <c r="I335" s="150">
        <f t="shared" ca="1" si="591"/>
        <v>2859903.3463380821</v>
      </c>
      <c r="J335" s="150">
        <f t="shared" ca="1" si="591"/>
        <v>2859903.3463380821</v>
      </c>
      <c r="K335" s="150">
        <f t="shared" si="591"/>
        <v>0</v>
      </c>
      <c r="L335" s="150">
        <f t="shared" si="591"/>
        <v>0</v>
      </c>
      <c r="M335" s="150">
        <f t="shared" si="591"/>
        <v>0</v>
      </c>
      <c r="N335" s="150">
        <f t="shared" si="591"/>
        <v>0</v>
      </c>
      <c r="O335" s="150">
        <f t="shared" si="591"/>
        <v>0</v>
      </c>
      <c r="P335" s="150">
        <f t="shared" si="591"/>
        <v>0</v>
      </c>
      <c r="Q335" s="150">
        <f t="shared" si="591"/>
        <v>0</v>
      </c>
      <c r="R335" s="150">
        <f t="shared" si="591"/>
        <v>0</v>
      </c>
      <c r="S335" s="150">
        <f t="shared" si="591"/>
        <v>0</v>
      </c>
      <c r="T335" s="150">
        <f t="shared" si="591"/>
        <v>0</v>
      </c>
      <c r="U335" s="150">
        <f t="shared" si="591"/>
        <v>0</v>
      </c>
      <c r="V335" s="150">
        <f t="shared" si="591"/>
        <v>0</v>
      </c>
      <c r="W335" s="150">
        <f t="shared" si="591"/>
        <v>0</v>
      </c>
      <c r="X335" s="150">
        <f t="shared" si="591"/>
        <v>0</v>
      </c>
      <c r="Y335" s="150">
        <f t="shared" si="591"/>
        <v>0</v>
      </c>
      <c r="Z335" s="150">
        <f t="shared" si="591"/>
        <v>0</v>
      </c>
    </row>
    <row r="336" spans="2:26" x14ac:dyDescent="0.2">
      <c r="B336" s="137" t="s">
        <v>20</v>
      </c>
      <c r="C336" s="137"/>
      <c r="D336" s="138">
        <f ca="1">+SUM(F336:Z336)</f>
        <v>371494457.91863257</v>
      </c>
      <c r="E336" s="138"/>
      <c r="F336" s="138">
        <f ca="1">+SUM(F329:F335)</f>
        <v>51505114.619219258</v>
      </c>
      <c r="G336" s="138">
        <f t="shared" ref="G336:Z336" ca="1" si="592">+SUM(G329:G335)</f>
        <v>157134768.30336857</v>
      </c>
      <c r="H336" s="138">
        <f t="shared" ca="1" si="592"/>
        <v>157134768.30336857</v>
      </c>
      <c r="I336" s="138">
        <f t="shared" ca="1" si="592"/>
        <v>2859903.3463380821</v>
      </c>
      <c r="J336" s="138">
        <f t="shared" ca="1" si="592"/>
        <v>2859903.3463380821</v>
      </c>
      <c r="K336" s="138">
        <f t="shared" si="592"/>
        <v>0</v>
      </c>
      <c r="L336" s="138">
        <f t="shared" si="592"/>
        <v>0</v>
      </c>
      <c r="M336" s="138">
        <f t="shared" si="592"/>
        <v>0</v>
      </c>
      <c r="N336" s="138">
        <f t="shared" si="592"/>
        <v>0</v>
      </c>
      <c r="O336" s="138">
        <f t="shared" si="592"/>
        <v>0</v>
      </c>
      <c r="P336" s="138">
        <f t="shared" si="592"/>
        <v>0</v>
      </c>
      <c r="Q336" s="138">
        <f t="shared" si="592"/>
        <v>0</v>
      </c>
      <c r="R336" s="138">
        <f t="shared" si="592"/>
        <v>0</v>
      </c>
      <c r="S336" s="138">
        <f t="shared" si="592"/>
        <v>0</v>
      </c>
      <c r="T336" s="138">
        <f t="shared" si="592"/>
        <v>0</v>
      </c>
      <c r="U336" s="138">
        <f t="shared" si="592"/>
        <v>0</v>
      </c>
      <c r="V336" s="138">
        <f t="shared" si="592"/>
        <v>0</v>
      </c>
      <c r="W336" s="138">
        <f t="shared" si="592"/>
        <v>0</v>
      </c>
      <c r="X336" s="138">
        <f t="shared" si="592"/>
        <v>0</v>
      </c>
      <c r="Y336" s="138">
        <f t="shared" si="592"/>
        <v>0</v>
      </c>
      <c r="Z336" s="138">
        <f t="shared" si="592"/>
        <v>0</v>
      </c>
    </row>
    <row r="338" spans="2:26" x14ac:dyDescent="0.2">
      <c r="B338" s="147" t="s">
        <v>347</v>
      </c>
      <c r="F338" s="149">
        <f>+'Assumptions and Sensis'!$F$43</f>
        <v>44196</v>
      </c>
      <c r="G338" s="149">
        <f>+EOMONTH(F338,12)</f>
        <v>44561</v>
      </c>
      <c r="H338" s="149">
        <f t="shared" ref="H338" si="593">+EOMONTH(G338,12)</f>
        <v>44926</v>
      </c>
      <c r="I338" s="149">
        <f t="shared" ref="I338" si="594">+EOMONTH(H338,12)</f>
        <v>45291</v>
      </c>
      <c r="J338" s="149">
        <f t="shared" ref="J338" si="595">+EOMONTH(I338,12)</f>
        <v>45657</v>
      </c>
      <c r="K338" s="149">
        <f t="shared" ref="K338" si="596">+EOMONTH(J338,12)</f>
        <v>46022</v>
      </c>
      <c r="L338" s="149">
        <f t="shared" ref="L338" si="597">+EOMONTH(K338,12)</f>
        <v>46387</v>
      </c>
      <c r="M338" s="149">
        <f t="shared" ref="M338" si="598">+EOMONTH(L338,12)</f>
        <v>46752</v>
      </c>
      <c r="N338" s="149">
        <f t="shared" ref="N338" si="599">+EOMONTH(M338,12)</f>
        <v>47118</v>
      </c>
      <c r="O338" s="149">
        <f t="shared" ref="O338" si="600">+EOMONTH(N338,12)</f>
        <v>47483</v>
      </c>
      <c r="P338" s="149">
        <f t="shared" ref="P338" si="601">+EOMONTH(O338,12)</f>
        <v>47848</v>
      </c>
      <c r="Q338" s="149">
        <f t="shared" ref="Q338" si="602">+EOMONTH(P338,12)</f>
        <v>48213</v>
      </c>
      <c r="R338" s="149">
        <f t="shared" ref="R338" si="603">+EOMONTH(Q338,12)</f>
        <v>48579</v>
      </c>
      <c r="S338" s="149">
        <f t="shared" ref="S338" si="604">+EOMONTH(R338,12)</f>
        <v>48944</v>
      </c>
      <c r="T338" s="149">
        <f t="shared" ref="T338" si="605">+EOMONTH(S338,12)</f>
        <v>49309</v>
      </c>
      <c r="U338" s="149">
        <f t="shared" ref="U338" si="606">+EOMONTH(T338,12)</f>
        <v>49674</v>
      </c>
      <c r="V338" s="149">
        <f t="shared" ref="V338" si="607">+EOMONTH(U338,12)</f>
        <v>50040</v>
      </c>
      <c r="W338" s="149">
        <f t="shared" ref="W338" si="608">+EOMONTH(V338,12)</f>
        <v>50405</v>
      </c>
      <c r="X338" s="149">
        <f t="shared" ref="X338" si="609">+EOMONTH(W338,12)</f>
        <v>50770</v>
      </c>
      <c r="Y338" s="149">
        <f t="shared" ref="Y338" si="610">+EOMONTH(X338,12)</f>
        <v>51135</v>
      </c>
      <c r="Z338" s="149">
        <f t="shared" ref="Z338" si="611">+EOMONTH(Y338,12)</f>
        <v>51501</v>
      </c>
    </row>
    <row r="339" spans="2:26" x14ac:dyDescent="0.2">
      <c r="B339" s="32" t="s">
        <v>29</v>
      </c>
      <c r="D339" s="47">
        <f ca="1">+D336-SUM(D296:D299,D301)</f>
        <v>275795593.01939642</v>
      </c>
      <c r="E339" s="47"/>
      <c r="F339" s="33">
        <f ca="1">+MIN($D$339-SUM('Phase I Pro Forma'!$E339:E339),'Phase I Pro Forma'!F$336)</f>
        <v>51505114.619219258</v>
      </c>
      <c r="G339" s="33">
        <f ca="1">+MIN($D$339-SUM('Phase I Pro Forma'!$E339:F339),'Phase I Pro Forma'!G$336)</f>
        <v>157134768.30336857</v>
      </c>
      <c r="H339" s="33">
        <f ca="1">+MIN($D$339-SUM('Phase I Pro Forma'!$E339:G339),'Phase I Pro Forma'!H$336)</f>
        <v>67155710.096808612</v>
      </c>
      <c r="I339" s="33">
        <f ca="1">+MIN($D$339-SUM('Phase I Pro Forma'!$E339:H339),'Phase I Pro Forma'!I$336)</f>
        <v>0</v>
      </c>
      <c r="J339" s="33">
        <f ca="1">+MIN($D$339-SUM('Phase I Pro Forma'!$E339:I339),'Phase I Pro Forma'!J$336)</f>
        <v>0</v>
      </c>
      <c r="K339" s="33">
        <f ca="1">+MIN($D$339-SUM('Phase I Pro Forma'!$E339:J339),'Phase I Pro Forma'!K$336)</f>
        <v>0</v>
      </c>
      <c r="L339" s="33">
        <f ca="1">+MIN($D$339-SUM('Phase I Pro Forma'!$E339:K339),'Phase I Pro Forma'!L$336)</f>
        <v>0</v>
      </c>
      <c r="M339" s="33">
        <f ca="1">+MIN($D$339-SUM('Phase I Pro Forma'!$E339:L339),'Phase I Pro Forma'!M$336)</f>
        <v>0</v>
      </c>
      <c r="N339" s="33">
        <f ca="1">+MIN($D$339-SUM('Phase I Pro Forma'!$E339:M339),'Phase I Pro Forma'!N$336)</f>
        <v>0</v>
      </c>
      <c r="O339" s="33">
        <f ca="1">+MIN($D$339-SUM('Phase I Pro Forma'!$E339:N339),'Phase I Pro Forma'!O$336)</f>
        <v>0</v>
      </c>
      <c r="P339" s="33">
        <f ca="1">+MIN($D$339-SUM('Phase I Pro Forma'!$E339:O339),'Phase I Pro Forma'!P$336)</f>
        <v>0</v>
      </c>
      <c r="Q339" s="33">
        <f ca="1">+MIN($D$339-SUM('Phase I Pro Forma'!$E339:P339),'Phase I Pro Forma'!Q$336)</f>
        <v>0</v>
      </c>
      <c r="R339" s="33">
        <f ca="1">+MIN($D$339-SUM('Phase I Pro Forma'!$E339:Q339),'Phase I Pro Forma'!R$336)</f>
        <v>0</v>
      </c>
      <c r="S339" s="33">
        <f ca="1">+MIN($D$339-SUM('Phase I Pro Forma'!$E339:R339),'Phase I Pro Forma'!S$336)</f>
        <v>0</v>
      </c>
      <c r="T339" s="33">
        <f ca="1">+MIN($D$339-SUM('Phase I Pro Forma'!$E339:S339),'Phase I Pro Forma'!T$336)</f>
        <v>0</v>
      </c>
      <c r="U339" s="33">
        <f ca="1">+MIN($D$339-SUM('Phase I Pro Forma'!$E339:T339),'Phase I Pro Forma'!U$336)</f>
        <v>0</v>
      </c>
      <c r="V339" s="33">
        <f ca="1">+MIN($D$339-SUM('Phase I Pro Forma'!$E339:U339),'Phase I Pro Forma'!V$336)</f>
        <v>0</v>
      </c>
      <c r="W339" s="33">
        <f ca="1">+MIN($D$339-SUM('Phase I Pro Forma'!$E339:V339),'Phase I Pro Forma'!W$336)</f>
        <v>0</v>
      </c>
      <c r="X339" s="33">
        <f ca="1">+MIN($D$339-SUM('Phase I Pro Forma'!$E339:W339),'Phase I Pro Forma'!X$336)</f>
        <v>0</v>
      </c>
      <c r="Y339" s="33">
        <f ca="1">+MIN($D$339-SUM('Phase I Pro Forma'!$E339:X339),'Phase I Pro Forma'!Y$336)</f>
        <v>0</v>
      </c>
      <c r="Z339" s="33">
        <f ca="1">+MIN($D$339-SUM('Phase I Pro Forma'!$E339:Y339),'Phase I Pro Forma'!Z$336)</f>
        <v>0</v>
      </c>
    </row>
    <row r="340" spans="2:26" x14ac:dyDescent="0.2">
      <c r="B340" s="32" t="s">
        <v>326</v>
      </c>
      <c r="D340" s="47">
        <f t="shared" ref="D340:D346" ca="1" si="612">+SUM(F340:Z340)</f>
        <v>0</v>
      </c>
      <c r="E340" s="47"/>
      <c r="F340" s="150">
        <f ca="1">+MIN('S&amp;U'!$H19-SUM('Phase I Pro Forma'!$E340:E340),'Phase I Pro Forma'!F$336-SUM(F$339:F339))</f>
        <v>0</v>
      </c>
      <c r="G340" s="150">
        <f ca="1">+MIN('S&amp;U'!$H19-SUM('Phase I Pro Forma'!$E340:F340),'Phase I Pro Forma'!G$336-SUM(G$339:G339))</f>
        <v>0</v>
      </c>
      <c r="H340" s="150">
        <f ca="1">+MIN('S&amp;U'!$H19-SUM('Phase I Pro Forma'!$E340:G340),'Phase I Pro Forma'!H$336-SUM(H$339:H339))</f>
        <v>0</v>
      </c>
      <c r="I340" s="150">
        <f ca="1">+MIN('S&amp;U'!$H19-SUM('Phase I Pro Forma'!$E340:H340),'Phase I Pro Forma'!I$336-SUM(I$339:I339))</f>
        <v>0</v>
      </c>
      <c r="J340" s="150">
        <f ca="1">+MIN('S&amp;U'!$H19-SUM('Phase I Pro Forma'!$E340:I340),'Phase I Pro Forma'!J$336-SUM(J$339:J339))</f>
        <v>0</v>
      </c>
      <c r="K340" s="150">
        <f ca="1">+MIN('S&amp;U'!$H19-SUM('Phase I Pro Forma'!$E340:J340),'Phase I Pro Forma'!K$336-SUM(K$339:K339))</f>
        <v>0</v>
      </c>
      <c r="L340" s="150">
        <f ca="1">+MIN('S&amp;U'!$H19-SUM('Phase I Pro Forma'!$E340:K340),'Phase I Pro Forma'!L$336-SUM(L$339:L339))</f>
        <v>0</v>
      </c>
      <c r="M340" s="150">
        <f ca="1">+MIN('S&amp;U'!$H19-SUM('Phase I Pro Forma'!$E340:L340),'Phase I Pro Forma'!M$336-SUM(M$339:M339))</f>
        <v>0</v>
      </c>
      <c r="N340" s="150">
        <f ca="1">+MIN('S&amp;U'!$H19-SUM('Phase I Pro Forma'!$E340:M340),'Phase I Pro Forma'!N$336-SUM(N$339:N339))</f>
        <v>0</v>
      </c>
      <c r="O340" s="150">
        <f ca="1">+MIN('S&amp;U'!$H19-SUM('Phase I Pro Forma'!$E340:N340),'Phase I Pro Forma'!O$336-SUM(O$339:O339))</f>
        <v>0</v>
      </c>
      <c r="P340" s="150">
        <f ca="1">+MIN('S&amp;U'!$H19-SUM('Phase I Pro Forma'!$E340:O340),'Phase I Pro Forma'!P$336-SUM(P$339:P339))</f>
        <v>0</v>
      </c>
      <c r="Q340" s="150">
        <f ca="1">+MIN('S&amp;U'!$H19-SUM('Phase I Pro Forma'!$E340:P340),'Phase I Pro Forma'!Q$336-SUM(Q$339:Q339))</f>
        <v>0</v>
      </c>
      <c r="R340" s="150">
        <f ca="1">+MIN('S&amp;U'!$H19-SUM('Phase I Pro Forma'!$E340:Q340),'Phase I Pro Forma'!R$336-SUM(R$339:R339))</f>
        <v>0</v>
      </c>
      <c r="S340" s="150">
        <f ca="1">+MIN('S&amp;U'!$H19-SUM('Phase I Pro Forma'!$E340:R340),'Phase I Pro Forma'!S$336-SUM(S$339:S339))</f>
        <v>0</v>
      </c>
      <c r="T340" s="150">
        <f ca="1">+MIN('S&amp;U'!$H19-SUM('Phase I Pro Forma'!$E340:S340),'Phase I Pro Forma'!T$336-SUM(T$339:T339))</f>
        <v>0</v>
      </c>
      <c r="U340" s="150">
        <f ca="1">+MIN('S&amp;U'!$H19-SUM('Phase I Pro Forma'!$E340:T340),'Phase I Pro Forma'!U$336-SUM(U$339:U339))</f>
        <v>0</v>
      </c>
      <c r="V340" s="150">
        <f ca="1">+MIN('S&amp;U'!$H19-SUM('Phase I Pro Forma'!$E340:U340),'Phase I Pro Forma'!V$336-SUM(V$339:V339))</f>
        <v>0</v>
      </c>
      <c r="W340" s="150">
        <f ca="1">+MIN('S&amp;U'!$H19-SUM('Phase I Pro Forma'!$E340:V340),'Phase I Pro Forma'!W$336-SUM(W$339:W339))</f>
        <v>0</v>
      </c>
      <c r="X340" s="150">
        <f ca="1">+MIN('S&amp;U'!$H19-SUM('Phase I Pro Forma'!$E340:W340),'Phase I Pro Forma'!X$336-SUM(X$339:X339))</f>
        <v>0</v>
      </c>
      <c r="Y340" s="150">
        <f ca="1">+MIN('S&amp;U'!$H19-SUM('Phase I Pro Forma'!$E340:X340),'Phase I Pro Forma'!Y$336-SUM(Y$339:Y339))</f>
        <v>0</v>
      </c>
      <c r="Z340" s="150">
        <f ca="1">+MIN('S&amp;U'!$H19-SUM('Phase I Pro Forma'!$E340:Y340),'Phase I Pro Forma'!Z$336-SUM(Z$339:Z339))</f>
        <v>0</v>
      </c>
    </row>
    <row r="341" spans="2:26" x14ac:dyDescent="0.2">
      <c r="B341" s="32" t="s">
        <v>99</v>
      </c>
      <c r="D341" s="47">
        <f t="shared" ca="1" si="612"/>
        <v>12714766.389964083</v>
      </c>
      <c r="E341" s="47"/>
      <c r="F341" s="150">
        <f ca="1">+MIN('S&amp;U'!$H20-SUM('Phase I Pro Forma'!$E341:E341),'Phase I Pro Forma'!F$336-SUM(F$339:F340))</f>
        <v>0</v>
      </c>
      <c r="G341" s="150">
        <f ca="1">+MIN('S&amp;U'!$H20-SUM('Phase I Pro Forma'!$E341:F341),'Phase I Pro Forma'!G$336-SUM(G$339:G340))</f>
        <v>0</v>
      </c>
      <c r="H341" s="150">
        <f ca="1">+MIN('S&amp;U'!$H20-SUM('Phase I Pro Forma'!$E341:G341),'Phase I Pro Forma'!H$336-SUM(H$339:H340))</f>
        <v>12714766.389964083</v>
      </c>
      <c r="I341" s="150">
        <f ca="1">+MIN('S&amp;U'!$H20-SUM('Phase I Pro Forma'!$E341:H341),'Phase I Pro Forma'!I$336-SUM(I$339:I340))</f>
        <v>0</v>
      </c>
      <c r="J341" s="150">
        <f ca="1">+MIN('S&amp;U'!$H20-SUM('Phase I Pro Forma'!$E341:I341),'Phase I Pro Forma'!J$336-SUM(J$339:J340))</f>
        <v>0</v>
      </c>
      <c r="K341" s="150">
        <f ca="1">+MIN('S&amp;U'!$H20-SUM('Phase I Pro Forma'!$E341:J341),'Phase I Pro Forma'!K$336-SUM(K$339:K340))</f>
        <v>0</v>
      </c>
      <c r="L341" s="150">
        <f ca="1">+MIN('S&amp;U'!$H20-SUM('Phase I Pro Forma'!$E341:K341),'Phase I Pro Forma'!L$336-SUM(L$339:L340))</f>
        <v>0</v>
      </c>
      <c r="M341" s="150">
        <f ca="1">+MIN('S&amp;U'!$H20-SUM('Phase I Pro Forma'!$E341:L341),'Phase I Pro Forma'!M$336-SUM(M$339:M340))</f>
        <v>0</v>
      </c>
      <c r="N341" s="150">
        <f ca="1">+MIN('S&amp;U'!$H20-SUM('Phase I Pro Forma'!$E341:M341),'Phase I Pro Forma'!N$336-SUM(N$339:N340))</f>
        <v>0</v>
      </c>
      <c r="O341" s="150">
        <f ca="1">+MIN('S&amp;U'!$H20-SUM('Phase I Pro Forma'!$E341:N341),'Phase I Pro Forma'!O$336-SUM(O$339:O340))</f>
        <v>0</v>
      </c>
      <c r="P341" s="150">
        <f ca="1">+MIN('S&amp;U'!$H20-SUM('Phase I Pro Forma'!$E341:O341),'Phase I Pro Forma'!P$336-SUM(P$339:P340))</f>
        <v>0</v>
      </c>
      <c r="Q341" s="150">
        <f ca="1">+MIN('S&amp;U'!$H20-SUM('Phase I Pro Forma'!$E341:P341),'Phase I Pro Forma'!Q$336-SUM(Q$339:Q340))</f>
        <v>0</v>
      </c>
      <c r="R341" s="150">
        <f ca="1">+MIN('S&amp;U'!$H20-SUM('Phase I Pro Forma'!$E341:Q341),'Phase I Pro Forma'!R$336-SUM(R$339:R340))</f>
        <v>0</v>
      </c>
      <c r="S341" s="150">
        <f ca="1">+MIN('S&amp;U'!$H20-SUM('Phase I Pro Forma'!$E341:R341),'Phase I Pro Forma'!S$336-SUM(S$339:S340))</f>
        <v>0</v>
      </c>
      <c r="T341" s="150">
        <f ca="1">+MIN('S&amp;U'!$H20-SUM('Phase I Pro Forma'!$E341:S341),'Phase I Pro Forma'!T$336-SUM(T$339:T340))</f>
        <v>0</v>
      </c>
      <c r="U341" s="150">
        <f ca="1">+MIN('S&amp;U'!$H20-SUM('Phase I Pro Forma'!$E341:T341),'Phase I Pro Forma'!U$336-SUM(U$339:U340))</f>
        <v>0</v>
      </c>
      <c r="V341" s="150">
        <f ca="1">+MIN('S&amp;U'!$H20-SUM('Phase I Pro Forma'!$E341:U341),'Phase I Pro Forma'!V$336-SUM(V$339:V340))</f>
        <v>0</v>
      </c>
      <c r="W341" s="150">
        <f ca="1">+MIN('S&amp;U'!$H20-SUM('Phase I Pro Forma'!$E341:V341),'Phase I Pro Forma'!W$336-SUM(W$339:W340))</f>
        <v>0</v>
      </c>
      <c r="X341" s="150">
        <f ca="1">+MIN('S&amp;U'!$H20-SUM('Phase I Pro Forma'!$E341:W341),'Phase I Pro Forma'!X$336-SUM(X$339:X340))</f>
        <v>0</v>
      </c>
      <c r="Y341" s="150">
        <f ca="1">+MIN('S&amp;U'!$H20-SUM('Phase I Pro Forma'!$E341:X341),'Phase I Pro Forma'!Y$336-SUM(Y$339:Y340))</f>
        <v>0</v>
      </c>
      <c r="Z341" s="150">
        <f ca="1">+MIN('S&amp;U'!$H20-SUM('Phase I Pro Forma'!$E341:Y341),'Phase I Pro Forma'!Z$336-SUM(Z$339:Z340))</f>
        <v>0</v>
      </c>
    </row>
    <row r="342" spans="2:26" x14ac:dyDescent="0.2">
      <c r="B342" s="32" t="s">
        <v>100</v>
      </c>
      <c r="D342" s="47">
        <f t="shared" ca="1" si="612"/>
        <v>5538000</v>
      </c>
      <c r="E342" s="47"/>
      <c r="F342" s="150">
        <f ca="1">+MIN('S&amp;U'!$H21-SUM('Phase I Pro Forma'!$E342:E342),'Phase I Pro Forma'!F$336-SUM(F$339:F341))</f>
        <v>0</v>
      </c>
      <c r="G342" s="150">
        <f ca="1">+MIN('S&amp;U'!$H21-SUM('Phase I Pro Forma'!$E342:F342),'Phase I Pro Forma'!G$336-SUM(G$339:G341))</f>
        <v>0</v>
      </c>
      <c r="H342" s="150">
        <f ca="1">+MIN('S&amp;U'!$H21-SUM('Phase I Pro Forma'!$E342:G342),'Phase I Pro Forma'!H$336-SUM(H$339:H341))</f>
        <v>5538000</v>
      </c>
      <c r="I342" s="150">
        <f ca="1">+MIN('S&amp;U'!$H21-SUM('Phase I Pro Forma'!$E342:H342),'Phase I Pro Forma'!I$336-SUM(I$339:I341))</f>
        <v>0</v>
      </c>
      <c r="J342" s="150">
        <f ca="1">+MIN('S&amp;U'!$H21-SUM('Phase I Pro Forma'!$E342:I342),'Phase I Pro Forma'!J$336-SUM(J$339:J341))</f>
        <v>0</v>
      </c>
      <c r="K342" s="150">
        <f ca="1">+MIN('S&amp;U'!$H21-SUM('Phase I Pro Forma'!$E342:J342),'Phase I Pro Forma'!K$336-SUM(K$339:K341))</f>
        <v>0</v>
      </c>
      <c r="L342" s="150">
        <f ca="1">+MIN('S&amp;U'!$H21-SUM('Phase I Pro Forma'!$E342:K342),'Phase I Pro Forma'!L$336-SUM(L$339:L341))</f>
        <v>0</v>
      </c>
      <c r="M342" s="150">
        <f ca="1">+MIN('S&amp;U'!$H21-SUM('Phase I Pro Forma'!$E342:L342),'Phase I Pro Forma'!M$336-SUM(M$339:M341))</f>
        <v>0</v>
      </c>
      <c r="N342" s="150">
        <f ca="1">+MIN('S&amp;U'!$H21-SUM('Phase I Pro Forma'!$E342:M342),'Phase I Pro Forma'!N$336-SUM(N$339:N341))</f>
        <v>0</v>
      </c>
      <c r="O342" s="150">
        <f ca="1">+MIN('S&amp;U'!$H21-SUM('Phase I Pro Forma'!$E342:N342),'Phase I Pro Forma'!O$336-SUM(O$339:O341))</f>
        <v>0</v>
      </c>
      <c r="P342" s="150">
        <f ca="1">+MIN('S&amp;U'!$H21-SUM('Phase I Pro Forma'!$E342:O342),'Phase I Pro Forma'!P$336-SUM(P$339:P341))</f>
        <v>0</v>
      </c>
      <c r="Q342" s="150">
        <f ca="1">+MIN('S&amp;U'!$H21-SUM('Phase I Pro Forma'!$E342:P342),'Phase I Pro Forma'!Q$336-SUM(Q$339:Q341))</f>
        <v>0</v>
      </c>
      <c r="R342" s="150">
        <f ca="1">+MIN('S&amp;U'!$H21-SUM('Phase I Pro Forma'!$E342:Q342),'Phase I Pro Forma'!R$336-SUM(R$339:R341))</f>
        <v>0</v>
      </c>
      <c r="S342" s="150">
        <f ca="1">+MIN('S&amp;U'!$H21-SUM('Phase I Pro Forma'!$E342:R342),'Phase I Pro Forma'!S$336-SUM(S$339:S341))</f>
        <v>0</v>
      </c>
      <c r="T342" s="150">
        <f ca="1">+MIN('S&amp;U'!$H21-SUM('Phase I Pro Forma'!$E342:S342),'Phase I Pro Forma'!T$336-SUM(T$339:T341))</f>
        <v>0</v>
      </c>
      <c r="U342" s="150">
        <f ca="1">+MIN('S&amp;U'!$H21-SUM('Phase I Pro Forma'!$E342:T342),'Phase I Pro Forma'!U$336-SUM(U$339:U341))</f>
        <v>0</v>
      </c>
      <c r="V342" s="150">
        <f ca="1">+MIN('S&amp;U'!$H21-SUM('Phase I Pro Forma'!$E342:U342),'Phase I Pro Forma'!V$336-SUM(V$339:V341))</f>
        <v>0</v>
      </c>
      <c r="W342" s="150">
        <f ca="1">+MIN('S&amp;U'!$H21-SUM('Phase I Pro Forma'!$E342:V342),'Phase I Pro Forma'!W$336-SUM(W$339:W341))</f>
        <v>0</v>
      </c>
      <c r="X342" s="150">
        <f ca="1">+MIN('S&amp;U'!$H21-SUM('Phase I Pro Forma'!$E342:W342),'Phase I Pro Forma'!X$336-SUM(X$339:X341))</f>
        <v>0</v>
      </c>
      <c r="Y342" s="150">
        <f ca="1">+MIN('S&amp;U'!$H21-SUM('Phase I Pro Forma'!$E342:X342),'Phase I Pro Forma'!Y$336-SUM(Y$339:Y341))</f>
        <v>0</v>
      </c>
      <c r="Z342" s="150">
        <f ca="1">+MIN('S&amp;U'!$H21-SUM('Phase I Pro Forma'!$E342:Y342),'Phase I Pro Forma'!Z$336-SUM(Z$339:Z341))</f>
        <v>0</v>
      </c>
    </row>
    <row r="343" spans="2:26" x14ac:dyDescent="0.2">
      <c r="B343" s="32" t="s">
        <v>613</v>
      </c>
      <c r="D343" s="47">
        <f t="shared" ref="D343" ca="1" si="613">+SUM(F343:Z343)</f>
        <v>3256330.7674772362</v>
      </c>
      <c r="E343" s="47"/>
      <c r="F343" s="150">
        <f ca="1">+MIN('S&amp;U'!$H22-SUM('Phase I Pro Forma'!$E343:E343),'Phase I Pro Forma'!F$336-SUM(F$339:F342))</f>
        <v>0</v>
      </c>
      <c r="G343" s="150">
        <f ca="1">+MIN('S&amp;U'!$H22-SUM('Phase I Pro Forma'!$E343:F343),'Phase I Pro Forma'!G$336-SUM(G$339:G342))</f>
        <v>0</v>
      </c>
      <c r="H343" s="150">
        <f ca="1">+MIN('S&amp;U'!$H22-SUM('Phase I Pro Forma'!$E343:G343),'Phase I Pro Forma'!H$336-SUM(H$339:H342))</f>
        <v>3256330.7674772362</v>
      </c>
      <c r="I343" s="150">
        <f ca="1">+MIN('S&amp;U'!$H22-SUM('Phase I Pro Forma'!$E343:H343),'Phase I Pro Forma'!I$336-SUM(I$339:I342))</f>
        <v>0</v>
      </c>
      <c r="J343" s="150">
        <f ca="1">+MIN('S&amp;U'!$H22-SUM('Phase I Pro Forma'!$E343:I343),'Phase I Pro Forma'!J$336-SUM(J$339:J342))</f>
        <v>0</v>
      </c>
      <c r="K343" s="150">
        <f ca="1">+MIN('S&amp;U'!$H22-SUM('Phase I Pro Forma'!$E343:J343),'Phase I Pro Forma'!K$336-SUM(K$339:K342))</f>
        <v>0</v>
      </c>
      <c r="L343" s="150">
        <f ca="1">+MIN('S&amp;U'!$H22-SUM('Phase I Pro Forma'!$E343:K343),'Phase I Pro Forma'!L$336-SUM(L$339:L342))</f>
        <v>0</v>
      </c>
      <c r="M343" s="150">
        <f ca="1">+MIN('S&amp;U'!$H22-SUM('Phase I Pro Forma'!$E343:L343),'Phase I Pro Forma'!M$336-SUM(M$339:M342))</f>
        <v>0</v>
      </c>
      <c r="N343" s="150">
        <f ca="1">+MIN('S&amp;U'!$H22-SUM('Phase I Pro Forma'!$E343:M343),'Phase I Pro Forma'!N$336-SUM(N$339:N342))</f>
        <v>0</v>
      </c>
      <c r="O343" s="150">
        <f ca="1">+MIN('S&amp;U'!$H22-SUM('Phase I Pro Forma'!$E343:N343),'Phase I Pro Forma'!O$336-SUM(O$339:O342))</f>
        <v>0</v>
      </c>
      <c r="P343" s="150">
        <f ca="1">+MIN('S&amp;U'!$H22-SUM('Phase I Pro Forma'!$E343:O343),'Phase I Pro Forma'!P$336-SUM(P$339:P342))</f>
        <v>0</v>
      </c>
      <c r="Q343" s="150">
        <f ca="1">+MIN('S&amp;U'!$H22-SUM('Phase I Pro Forma'!$E343:P343),'Phase I Pro Forma'!Q$336-SUM(Q$339:Q342))</f>
        <v>0</v>
      </c>
      <c r="R343" s="150">
        <f ca="1">+MIN('S&amp;U'!$H22-SUM('Phase I Pro Forma'!$E343:Q343),'Phase I Pro Forma'!R$336-SUM(R$339:R342))</f>
        <v>0</v>
      </c>
      <c r="S343" s="150">
        <f ca="1">+MIN('S&amp;U'!$H22-SUM('Phase I Pro Forma'!$E343:R343),'Phase I Pro Forma'!S$336-SUM(S$339:S342))</f>
        <v>0</v>
      </c>
      <c r="T343" s="150">
        <f ca="1">+MIN('S&amp;U'!$H22-SUM('Phase I Pro Forma'!$E343:S343),'Phase I Pro Forma'!T$336-SUM(T$339:T342))</f>
        <v>0</v>
      </c>
      <c r="U343" s="150">
        <f ca="1">+MIN('S&amp;U'!$H22-SUM('Phase I Pro Forma'!$E343:T343),'Phase I Pro Forma'!U$336-SUM(U$339:U342))</f>
        <v>0</v>
      </c>
      <c r="V343" s="150">
        <f ca="1">+MIN('S&amp;U'!$H22-SUM('Phase I Pro Forma'!$E343:U343),'Phase I Pro Forma'!V$336-SUM(V$339:V342))</f>
        <v>0</v>
      </c>
      <c r="W343" s="150">
        <f ca="1">+MIN('S&amp;U'!$H22-SUM('Phase I Pro Forma'!$E343:V343),'Phase I Pro Forma'!W$336-SUM(W$339:W342))</f>
        <v>0</v>
      </c>
      <c r="X343" s="150">
        <f ca="1">+MIN('S&amp;U'!$H22-SUM('Phase I Pro Forma'!$E343:W343),'Phase I Pro Forma'!X$336-SUM(X$339:X342))</f>
        <v>0</v>
      </c>
      <c r="Y343" s="150">
        <f ca="1">+MIN('S&amp;U'!$H22-SUM('Phase I Pro Forma'!$E343:X343),'Phase I Pro Forma'!Y$336-SUM(Y$339:Y342))</f>
        <v>0</v>
      </c>
      <c r="Z343" s="150">
        <f ca="1">+MIN('S&amp;U'!$H22-SUM('Phase I Pro Forma'!$E343:Y343),'Phase I Pro Forma'!Z$336-SUM(Z$339:Z342))</f>
        <v>0</v>
      </c>
    </row>
    <row r="344" spans="2:26" x14ac:dyDescent="0.2">
      <c r="B344" s="32" t="s">
        <v>330</v>
      </c>
      <c r="D344" s="47">
        <f t="shared" si="612"/>
        <v>0</v>
      </c>
      <c r="E344" s="47"/>
      <c r="F344" s="150">
        <v>0</v>
      </c>
      <c r="G344" s="150">
        <v>0</v>
      </c>
      <c r="H344" s="150">
        <v>0</v>
      </c>
      <c r="I344" s="150">
        <v>0</v>
      </c>
      <c r="J344" s="150">
        <v>0</v>
      </c>
      <c r="K344" s="150">
        <v>0</v>
      </c>
      <c r="L344" s="150">
        <v>0</v>
      </c>
      <c r="M344" s="150">
        <v>0</v>
      </c>
      <c r="N344" s="150">
        <v>0</v>
      </c>
      <c r="O344" s="150">
        <v>0</v>
      </c>
      <c r="P344" s="150">
        <v>0</v>
      </c>
      <c r="Q344" s="150">
        <v>0</v>
      </c>
      <c r="R344" s="150">
        <v>0</v>
      </c>
      <c r="S344" s="150">
        <v>0</v>
      </c>
      <c r="T344" s="150">
        <v>0</v>
      </c>
      <c r="U344" s="150">
        <v>0</v>
      </c>
      <c r="V344" s="150">
        <v>0</v>
      </c>
      <c r="W344" s="150">
        <v>0</v>
      </c>
      <c r="X344" s="150">
        <v>0</v>
      </c>
      <c r="Y344" s="150">
        <v>0</v>
      </c>
      <c r="Z344" s="150">
        <v>0</v>
      </c>
    </row>
    <row r="345" spans="2:26" x14ac:dyDescent="0.2">
      <c r="B345" s="32" t="s">
        <v>98</v>
      </c>
      <c r="D345" s="47">
        <f t="shared" ca="1" si="612"/>
        <v>74189767.741794795</v>
      </c>
      <c r="E345" s="47"/>
      <c r="F345" s="150">
        <f ca="1">+MIN('S&amp;U'!$H26-SUM('Phase I Pro Forma'!$E345:E345),'Phase I Pro Forma'!F$336-SUM(F$339:F344))</f>
        <v>0</v>
      </c>
      <c r="G345" s="150">
        <f ca="1">+MIN('S&amp;U'!$H26-SUM('Phase I Pro Forma'!$E345:F345),'Phase I Pro Forma'!G$336-SUM(G$339:G344))</f>
        <v>0</v>
      </c>
      <c r="H345" s="150">
        <f ca="1">+MIN('S&amp;U'!$H26-SUM('Phase I Pro Forma'!$E345:G345),'Phase I Pro Forma'!H$336-SUM(H$339:H344))</f>
        <v>68469961.049118638</v>
      </c>
      <c r="I345" s="150">
        <f ca="1">+MIN('S&amp;U'!$H26-SUM('Phase I Pro Forma'!$E345:H345),'Phase I Pro Forma'!I$336-SUM(I$339:I344))</f>
        <v>2859903.3463380821</v>
      </c>
      <c r="J345" s="150">
        <f ca="1">+MIN('S&amp;U'!$H26-SUM('Phase I Pro Forma'!$E345:I345),'Phase I Pro Forma'!J$336-SUM(J$339:J344))</f>
        <v>2859903.3463380821</v>
      </c>
      <c r="K345" s="150">
        <f ca="1">+MIN('S&amp;U'!$H26-SUM('Phase I Pro Forma'!$E345:J345),'Phase I Pro Forma'!K$336-SUM(K$339:K344))</f>
        <v>0</v>
      </c>
      <c r="L345" s="150">
        <f ca="1">+MIN('S&amp;U'!$H26-SUM('Phase I Pro Forma'!$E345:K345),'Phase I Pro Forma'!L$336-SUM(L$339:L344))</f>
        <v>0</v>
      </c>
      <c r="M345" s="150">
        <f ca="1">+MIN('S&amp;U'!$H26-SUM('Phase I Pro Forma'!$E345:L345),'Phase I Pro Forma'!M$336-SUM(M$339:M344))</f>
        <v>0</v>
      </c>
      <c r="N345" s="150">
        <f ca="1">+MIN('S&amp;U'!$H26-SUM('Phase I Pro Forma'!$E345:M345),'Phase I Pro Forma'!N$336-SUM(N$339:N344))</f>
        <v>0</v>
      </c>
      <c r="O345" s="150">
        <f ca="1">+MIN('S&amp;U'!$H26-SUM('Phase I Pro Forma'!$E345:N345),'Phase I Pro Forma'!O$336-SUM(O$339:O344))</f>
        <v>0</v>
      </c>
      <c r="P345" s="150">
        <f ca="1">+MIN('S&amp;U'!$H26-SUM('Phase I Pro Forma'!$E345:O345),'Phase I Pro Forma'!P$336-SUM(P$339:P344))</f>
        <v>0</v>
      </c>
      <c r="Q345" s="150">
        <f ca="1">+MIN('S&amp;U'!$H26-SUM('Phase I Pro Forma'!$E345:P345),'Phase I Pro Forma'!Q$336-SUM(Q$339:Q344))</f>
        <v>0</v>
      </c>
      <c r="R345" s="150">
        <f ca="1">+MIN('S&amp;U'!$H26-SUM('Phase I Pro Forma'!$E345:Q345),'Phase I Pro Forma'!R$336-SUM(R$339:R344))</f>
        <v>0</v>
      </c>
      <c r="S345" s="150">
        <f ca="1">+MIN('S&amp;U'!$H26-SUM('Phase I Pro Forma'!$E345:R345),'Phase I Pro Forma'!S$336-SUM(S$339:S344))</f>
        <v>0</v>
      </c>
      <c r="T345" s="150">
        <f ca="1">+MIN('S&amp;U'!$H26-SUM('Phase I Pro Forma'!$E345:S345),'Phase I Pro Forma'!T$336-SUM(T$339:T344))</f>
        <v>0</v>
      </c>
      <c r="U345" s="150">
        <f ca="1">+MIN('S&amp;U'!$H26-SUM('Phase I Pro Forma'!$E345:T345),'Phase I Pro Forma'!U$336-SUM(U$339:U344))</f>
        <v>0</v>
      </c>
      <c r="V345" s="150">
        <f ca="1">+MIN('S&amp;U'!$H26-SUM('Phase I Pro Forma'!$E345:U345),'Phase I Pro Forma'!V$336-SUM(V$339:V344))</f>
        <v>0</v>
      </c>
      <c r="W345" s="150">
        <f ca="1">+MIN('S&amp;U'!$H26-SUM('Phase I Pro Forma'!$E345:V345),'Phase I Pro Forma'!W$336-SUM(W$339:W344))</f>
        <v>0</v>
      </c>
      <c r="X345" s="150">
        <f ca="1">+MIN('S&amp;U'!$H26-SUM('Phase I Pro Forma'!$E345:W345),'Phase I Pro Forma'!X$336-SUM(X$339:X344))</f>
        <v>0</v>
      </c>
      <c r="Y345" s="150">
        <f ca="1">+MIN('S&amp;U'!$H26-SUM('Phase I Pro Forma'!$E345:X345),'Phase I Pro Forma'!Y$336-SUM(Y$339:Y344))</f>
        <v>0</v>
      </c>
      <c r="Z345" s="150">
        <f ca="1">+MIN('S&amp;U'!$H26-SUM('Phase I Pro Forma'!$E345:Y345),'Phase I Pro Forma'!Z$336-SUM(Z$339:Z344))</f>
        <v>0</v>
      </c>
    </row>
    <row r="346" spans="2:26" x14ac:dyDescent="0.2">
      <c r="B346" s="137" t="s">
        <v>377</v>
      </c>
      <c r="C346" s="137"/>
      <c r="D346" s="138">
        <f t="shared" ca="1" si="612"/>
        <v>371494457.91863257</v>
      </c>
      <c r="E346" s="138"/>
      <c r="F346" s="138">
        <f t="shared" ref="F346:Z346" ca="1" si="614">+SUM(F339:F345)</f>
        <v>51505114.619219258</v>
      </c>
      <c r="G346" s="138">
        <f t="shared" ca="1" si="614"/>
        <v>157134768.30336857</v>
      </c>
      <c r="H346" s="138">
        <f t="shared" ca="1" si="614"/>
        <v>157134768.30336857</v>
      </c>
      <c r="I346" s="138">
        <f t="shared" ca="1" si="614"/>
        <v>2859903.3463380821</v>
      </c>
      <c r="J346" s="138">
        <f t="shared" ca="1" si="614"/>
        <v>2859903.3463380821</v>
      </c>
      <c r="K346" s="138">
        <f t="shared" ca="1" si="614"/>
        <v>0</v>
      </c>
      <c r="L346" s="138">
        <f t="shared" ca="1" si="614"/>
        <v>0</v>
      </c>
      <c r="M346" s="138">
        <f t="shared" ca="1" si="614"/>
        <v>0</v>
      </c>
      <c r="N346" s="138">
        <f t="shared" ca="1" si="614"/>
        <v>0</v>
      </c>
      <c r="O346" s="138">
        <f t="shared" ca="1" si="614"/>
        <v>0</v>
      </c>
      <c r="P346" s="138">
        <f t="shared" ca="1" si="614"/>
        <v>0</v>
      </c>
      <c r="Q346" s="138">
        <f t="shared" ca="1" si="614"/>
        <v>0</v>
      </c>
      <c r="R346" s="138">
        <f t="shared" ca="1" si="614"/>
        <v>0</v>
      </c>
      <c r="S346" s="138">
        <f t="shared" ca="1" si="614"/>
        <v>0</v>
      </c>
      <c r="T346" s="138">
        <f t="shared" ca="1" si="614"/>
        <v>0</v>
      </c>
      <c r="U346" s="138">
        <f t="shared" ca="1" si="614"/>
        <v>0</v>
      </c>
      <c r="V346" s="138">
        <f t="shared" ca="1" si="614"/>
        <v>0</v>
      </c>
      <c r="W346" s="138">
        <f t="shared" ca="1" si="614"/>
        <v>0</v>
      </c>
      <c r="X346" s="138">
        <f t="shared" ca="1" si="614"/>
        <v>0</v>
      </c>
      <c r="Y346" s="138">
        <f t="shared" ca="1" si="614"/>
        <v>0</v>
      </c>
      <c r="Z346" s="138">
        <f t="shared" ca="1" si="614"/>
        <v>0</v>
      </c>
    </row>
    <row r="348" spans="2:26" x14ac:dyDescent="0.2">
      <c r="B348" s="147" t="s">
        <v>348</v>
      </c>
    </row>
    <row r="349" spans="2:26" x14ac:dyDescent="0.2">
      <c r="B349" s="32" t="s">
        <v>349</v>
      </c>
      <c r="D349" s="47">
        <f ca="1">+SUM(F349:Z349)</f>
        <v>-275795593.01939642</v>
      </c>
      <c r="E349" s="47"/>
      <c r="F349" s="33">
        <f ca="1">-F339</f>
        <v>-51505114.619219258</v>
      </c>
      <c r="G349" s="33">
        <f t="shared" ref="G349:Z349" ca="1" si="615">-G339</f>
        <v>-157134768.30336857</v>
      </c>
      <c r="H349" s="33">
        <f t="shared" ca="1" si="615"/>
        <v>-67155710.096808612</v>
      </c>
      <c r="I349" s="33">
        <f t="shared" ca="1" si="615"/>
        <v>0</v>
      </c>
      <c r="J349" s="33">
        <f t="shared" ca="1" si="615"/>
        <v>0</v>
      </c>
      <c r="K349" s="33">
        <f t="shared" ca="1" si="615"/>
        <v>0</v>
      </c>
      <c r="L349" s="33">
        <f t="shared" ca="1" si="615"/>
        <v>0</v>
      </c>
      <c r="M349" s="33">
        <f t="shared" ca="1" si="615"/>
        <v>0</v>
      </c>
      <c r="N349" s="33">
        <f t="shared" ca="1" si="615"/>
        <v>0</v>
      </c>
      <c r="O349" s="33">
        <f t="shared" ca="1" si="615"/>
        <v>0</v>
      </c>
      <c r="P349" s="33">
        <f t="shared" ca="1" si="615"/>
        <v>0</v>
      </c>
      <c r="Q349" s="33">
        <f t="shared" ca="1" si="615"/>
        <v>0</v>
      </c>
      <c r="R349" s="33">
        <f t="shared" ca="1" si="615"/>
        <v>0</v>
      </c>
      <c r="S349" s="33">
        <f t="shared" ca="1" si="615"/>
        <v>0</v>
      </c>
      <c r="T349" s="33">
        <f t="shared" ca="1" si="615"/>
        <v>0</v>
      </c>
      <c r="U349" s="33">
        <f t="shared" ca="1" si="615"/>
        <v>0</v>
      </c>
      <c r="V349" s="33">
        <f t="shared" ca="1" si="615"/>
        <v>0</v>
      </c>
      <c r="W349" s="33">
        <f t="shared" ca="1" si="615"/>
        <v>0</v>
      </c>
      <c r="X349" s="33">
        <f t="shared" ca="1" si="615"/>
        <v>0</v>
      </c>
      <c r="Y349" s="33">
        <f t="shared" ca="1" si="615"/>
        <v>0</v>
      </c>
      <c r="Z349" s="33">
        <f t="shared" ca="1" si="615"/>
        <v>0</v>
      </c>
    </row>
    <row r="350" spans="2:26" x14ac:dyDescent="0.2">
      <c r="B350" s="32" t="s">
        <v>350</v>
      </c>
      <c r="D350" s="47">
        <f t="shared" ref="D350" ca="1" si="616">+SUM(F350:Z350)</f>
        <v>663498607.83673298</v>
      </c>
      <c r="E350" s="47"/>
      <c r="F350" s="150">
        <f ca="1">+IF(YEAR(F$140)&lt;=YEAR('Assumptions and Sensis'!$F$51),F321+F326,0)</f>
        <v>0</v>
      </c>
      <c r="G350" s="150">
        <f ca="1">+IF(YEAR(G$140)&lt;=YEAR('Assumptions and Sensis'!$F$51),G321+G326,0)</f>
        <v>0</v>
      </c>
      <c r="H350" s="150">
        <f ca="1">+IF(YEAR(H$140)&lt;=YEAR('Assumptions and Sensis'!$F$51),H321+H326,0)</f>
        <v>0</v>
      </c>
      <c r="I350" s="150">
        <f ca="1">+IF(YEAR(I$140)&lt;=YEAR('Assumptions and Sensis'!$F$51),I321+I326,0)</f>
        <v>12156531.919531263</v>
      </c>
      <c r="J350" s="150">
        <f ca="1">+IF(YEAR(J$140)&lt;=YEAR('Assumptions and Sensis'!$F$51),J321+J326,0)</f>
        <v>25299756.984119631</v>
      </c>
      <c r="K350" s="150">
        <f ca="1">+IF(YEAR(K$140)&lt;=YEAR('Assumptions and Sensis'!$F$51),K321+K326,0)</f>
        <v>25918223.302751362</v>
      </c>
      <c r="L350" s="150">
        <f ca="1">+IF(YEAR(L$140)&lt;=YEAR('Assumptions and Sensis'!$F$51),L321+L326,0)</f>
        <v>27699751.454203915</v>
      </c>
      <c r="M350" s="150">
        <f ca="1">+IF(YEAR(M$140)&lt;=YEAR('Assumptions and Sensis'!$F$51),M321+M326,0)</f>
        <v>28026377.681195293</v>
      </c>
      <c r="N350" s="150">
        <f ca="1">+IF(YEAR(N$140)&lt;=YEAR('Assumptions and Sensis'!$F$51),N321+N326,0)</f>
        <v>28470939.905564785</v>
      </c>
      <c r="O350" s="150">
        <f ca="1">+IF(YEAR(O$140)&lt;=YEAR('Assumptions and Sensis'!$F$51),O321+O326,0)</f>
        <v>28926898.728953872</v>
      </c>
      <c r="P350" s="150">
        <f ca="1">+IF(YEAR(P$140)&lt;=YEAR('Assumptions and Sensis'!$F$51),P321+P326,0)</f>
        <v>487000127.8604129</v>
      </c>
      <c r="Q350" s="150">
        <f>+IF(YEAR(Q$140)&lt;=YEAR('Assumptions and Sensis'!$F$51),Q321+Q326,0)</f>
        <v>0</v>
      </c>
      <c r="R350" s="150">
        <f>+IF(YEAR(R$140)&lt;=YEAR('Assumptions and Sensis'!$F$51),R321+R326,0)</f>
        <v>0</v>
      </c>
      <c r="S350" s="150">
        <f>+IF(YEAR(S$140)&lt;=YEAR('Assumptions and Sensis'!$F$51),S321+S326,0)</f>
        <v>0</v>
      </c>
      <c r="T350" s="150">
        <f>+IF(YEAR(T$140)&lt;=YEAR('Assumptions and Sensis'!$F$51),T321+T326,0)</f>
        <v>0</v>
      </c>
      <c r="U350" s="150">
        <f>+IF(YEAR(U$140)&lt;=YEAR('Assumptions and Sensis'!$F$51),U321+U326,0)</f>
        <v>0</v>
      </c>
      <c r="V350" s="150">
        <f>+IF(YEAR(V$140)&lt;=YEAR('Assumptions and Sensis'!$F$51),V321+V326,0)</f>
        <v>0</v>
      </c>
      <c r="W350" s="150">
        <f>+IF(YEAR(W$140)&lt;=YEAR('Assumptions and Sensis'!$F$51),W321+W326,0)</f>
        <v>0</v>
      </c>
      <c r="X350" s="150">
        <f>+IF(YEAR(X$140)&lt;=YEAR('Assumptions and Sensis'!$F$51),X321+X326,0)</f>
        <v>0</v>
      </c>
      <c r="Y350" s="150">
        <f>+IF(YEAR(Y$140)&lt;=YEAR('Assumptions and Sensis'!$F$51),Y321+Y326,0)</f>
        <v>0</v>
      </c>
      <c r="Z350" s="150">
        <f>+IF(YEAR(Z$140)&lt;=YEAR('Assumptions and Sensis'!$F$51),Z321+Z326,0)</f>
        <v>0</v>
      </c>
    </row>
    <row r="351" spans="2:26" x14ac:dyDescent="0.2">
      <c r="B351" s="137" t="s">
        <v>351</v>
      </c>
      <c r="C351" s="137"/>
      <c r="D351" s="138">
        <f ca="1">+SUM(F351:Z351)</f>
        <v>387703014.81733656</v>
      </c>
      <c r="E351" s="138"/>
      <c r="F351" s="138">
        <f ca="1">+SUM(F349:F350)</f>
        <v>-51505114.619219258</v>
      </c>
      <c r="G351" s="138">
        <f t="shared" ref="G351:Z351" ca="1" si="617">+SUM(G349:G350)</f>
        <v>-157134768.30336857</v>
      </c>
      <c r="H351" s="138">
        <f t="shared" ca="1" si="617"/>
        <v>-67155710.096808612</v>
      </c>
      <c r="I351" s="138">
        <f t="shared" ca="1" si="617"/>
        <v>12156531.919531263</v>
      </c>
      <c r="J351" s="138">
        <f t="shared" ca="1" si="617"/>
        <v>25299756.984119631</v>
      </c>
      <c r="K351" s="138">
        <f t="shared" ca="1" si="617"/>
        <v>25918223.302751362</v>
      </c>
      <c r="L351" s="138">
        <f t="shared" ca="1" si="617"/>
        <v>27699751.454203915</v>
      </c>
      <c r="M351" s="138">
        <f t="shared" ca="1" si="617"/>
        <v>28026377.681195293</v>
      </c>
      <c r="N351" s="138">
        <f t="shared" ca="1" si="617"/>
        <v>28470939.905564785</v>
      </c>
      <c r="O351" s="138">
        <f t="shared" ca="1" si="617"/>
        <v>28926898.728953872</v>
      </c>
      <c r="P351" s="138">
        <f t="shared" ca="1" si="617"/>
        <v>487000127.8604129</v>
      </c>
      <c r="Q351" s="138">
        <f t="shared" ca="1" si="617"/>
        <v>0</v>
      </c>
      <c r="R351" s="138">
        <f t="shared" ca="1" si="617"/>
        <v>0</v>
      </c>
      <c r="S351" s="138">
        <f t="shared" ca="1" si="617"/>
        <v>0</v>
      </c>
      <c r="T351" s="138">
        <f t="shared" ca="1" si="617"/>
        <v>0</v>
      </c>
      <c r="U351" s="138">
        <f t="shared" ca="1" si="617"/>
        <v>0</v>
      </c>
      <c r="V351" s="138">
        <f t="shared" ca="1" si="617"/>
        <v>0</v>
      </c>
      <c r="W351" s="138">
        <f t="shared" ca="1" si="617"/>
        <v>0</v>
      </c>
      <c r="X351" s="138">
        <f t="shared" ca="1" si="617"/>
        <v>0</v>
      </c>
      <c r="Y351" s="138">
        <f t="shared" ca="1" si="617"/>
        <v>0</v>
      </c>
      <c r="Z351" s="138">
        <f t="shared" ca="1" si="617"/>
        <v>0</v>
      </c>
    </row>
    <row r="353" spans="2:26" x14ac:dyDescent="0.2">
      <c r="B353" s="188" t="s">
        <v>393</v>
      </c>
      <c r="C353" s="188"/>
      <c r="D353" s="189">
        <f ca="1">+IRR(F351:Z351)</f>
        <v>0.11972108472418541</v>
      </c>
    </row>
    <row r="354" spans="2:26" x14ac:dyDescent="0.2">
      <c r="B354" s="140" t="s">
        <v>353</v>
      </c>
      <c r="C354" s="190"/>
      <c r="D354" s="141">
        <f ca="1">+SUM(F351:Z351)</f>
        <v>387703014.81733656</v>
      </c>
    </row>
    <row r="355" spans="2:26" x14ac:dyDescent="0.2">
      <c r="B355" s="192" t="s">
        <v>354</v>
      </c>
      <c r="C355" s="191"/>
      <c r="D355" s="193">
        <f ca="1">+D350/-D349</f>
        <v>2.4057621826831359</v>
      </c>
    </row>
    <row r="357" spans="2:26" x14ac:dyDescent="0.2">
      <c r="B357" s="36" t="s">
        <v>411</v>
      </c>
      <c r="C357" s="37"/>
      <c r="D357" s="37"/>
      <c r="E357" s="37"/>
      <c r="F357" s="135">
        <f>+F338</f>
        <v>44196</v>
      </c>
      <c r="G357" s="135">
        <f t="shared" ref="G357:Z357" si="618">+G338</f>
        <v>44561</v>
      </c>
      <c r="H357" s="135">
        <f t="shared" si="618"/>
        <v>44926</v>
      </c>
      <c r="I357" s="135">
        <f t="shared" si="618"/>
        <v>45291</v>
      </c>
      <c r="J357" s="135">
        <f t="shared" si="618"/>
        <v>45657</v>
      </c>
      <c r="K357" s="135">
        <f t="shared" si="618"/>
        <v>46022</v>
      </c>
      <c r="L357" s="135">
        <f t="shared" si="618"/>
        <v>46387</v>
      </c>
      <c r="M357" s="135">
        <f t="shared" si="618"/>
        <v>46752</v>
      </c>
      <c r="N357" s="135">
        <f t="shared" si="618"/>
        <v>47118</v>
      </c>
      <c r="O357" s="135">
        <f t="shared" si="618"/>
        <v>47483</v>
      </c>
      <c r="P357" s="135">
        <f t="shared" si="618"/>
        <v>47848</v>
      </c>
      <c r="Q357" s="135">
        <f t="shared" si="618"/>
        <v>48213</v>
      </c>
      <c r="R357" s="135">
        <f t="shared" si="618"/>
        <v>48579</v>
      </c>
      <c r="S357" s="135">
        <f t="shared" si="618"/>
        <v>48944</v>
      </c>
      <c r="T357" s="135">
        <f t="shared" si="618"/>
        <v>49309</v>
      </c>
      <c r="U357" s="135">
        <f t="shared" si="618"/>
        <v>49674</v>
      </c>
      <c r="V357" s="135">
        <f t="shared" si="618"/>
        <v>50040</v>
      </c>
      <c r="W357" s="135">
        <f t="shared" si="618"/>
        <v>50405</v>
      </c>
      <c r="X357" s="135">
        <f t="shared" si="618"/>
        <v>50770</v>
      </c>
      <c r="Y357" s="135">
        <f t="shared" si="618"/>
        <v>51135</v>
      </c>
      <c r="Z357" s="135">
        <f t="shared" si="618"/>
        <v>51501</v>
      </c>
    </row>
    <row r="358" spans="2:26" x14ac:dyDescent="0.2">
      <c r="B358" s="118"/>
    </row>
    <row r="359" spans="2:26" x14ac:dyDescent="0.2">
      <c r="B359" s="147" t="s">
        <v>407</v>
      </c>
      <c r="F359" s="147">
        <v>0</v>
      </c>
      <c r="G359" s="147">
        <f>+F359+1</f>
        <v>1</v>
      </c>
      <c r="H359" s="147">
        <f t="shared" ref="H359:Z359" si="619">+G359+1</f>
        <v>2</v>
      </c>
      <c r="I359" s="147">
        <f t="shared" si="619"/>
        <v>3</v>
      </c>
      <c r="J359" s="147">
        <f t="shared" si="619"/>
        <v>4</v>
      </c>
      <c r="K359" s="147">
        <f t="shared" si="619"/>
        <v>5</v>
      </c>
      <c r="L359" s="147">
        <f t="shared" si="619"/>
        <v>6</v>
      </c>
      <c r="M359" s="147">
        <f t="shared" si="619"/>
        <v>7</v>
      </c>
      <c r="N359" s="147">
        <f t="shared" si="619"/>
        <v>8</v>
      </c>
      <c r="O359" s="147">
        <f t="shared" si="619"/>
        <v>9</v>
      </c>
      <c r="P359" s="147">
        <f t="shared" si="619"/>
        <v>10</v>
      </c>
      <c r="Q359" s="147">
        <f t="shared" si="619"/>
        <v>11</v>
      </c>
      <c r="R359" s="147">
        <f t="shared" si="619"/>
        <v>12</v>
      </c>
      <c r="S359" s="147">
        <f t="shared" si="619"/>
        <v>13</v>
      </c>
      <c r="T359" s="147">
        <f t="shared" si="619"/>
        <v>14</v>
      </c>
      <c r="U359" s="147">
        <f t="shared" si="619"/>
        <v>15</v>
      </c>
      <c r="V359" s="147">
        <f t="shared" si="619"/>
        <v>16</v>
      </c>
      <c r="W359" s="147">
        <f t="shared" si="619"/>
        <v>17</v>
      </c>
      <c r="X359" s="147">
        <f t="shared" si="619"/>
        <v>18</v>
      </c>
      <c r="Y359" s="147">
        <f t="shared" si="619"/>
        <v>19</v>
      </c>
      <c r="Z359" s="147">
        <f t="shared" si="619"/>
        <v>20</v>
      </c>
    </row>
    <row r="360" spans="2:26" x14ac:dyDescent="0.2">
      <c r="B360" s="32" t="s">
        <v>398</v>
      </c>
      <c r="D360" s="47"/>
      <c r="E360" s="47"/>
      <c r="F360" s="33">
        <f ca="1">+F$349</f>
        <v>-51505114.619219258</v>
      </c>
      <c r="G360" s="33">
        <f t="shared" ref="G360:Z360" ca="1" si="620">+G$349</f>
        <v>-157134768.30336857</v>
      </c>
      <c r="H360" s="33">
        <f t="shared" ca="1" si="620"/>
        <v>-67155710.096808612</v>
      </c>
      <c r="I360" s="33">
        <f t="shared" ca="1" si="620"/>
        <v>0</v>
      </c>
      <c r="J360" s="33">
        <f t="shared" ca="1" si="620"/>
        <v>0</v>
      </c>
      <c r="K360" s="33">
        <f t="shared" ca="1" si="620"/>
        <v>0</v>
      </c>
      <c r="L360" s="33">
        <f t="shared" ca="1" si="620"/>
        <v>0</v>
      </c>
      <c r="M360" s="33">
        <f t="shared" ca="1" si="620"/>
        <v>0</v>
      </c>
      <c r="N360" s="33">
        <f t="shared" ca="1" si="620"/>
        <v>0</v>
      </c>
      <c r="O360" s="33">
        <f t="shared" ca="1" si="620"/>
        <v>0</v>
      </c>
      <c r="P360" s="33">
        <f t="shared" ca="1" si="620"/>
        <v>0</v>
      </c>
      <c r="Q360" s="33">
        <f t="shared" ca="1" si="620"/>
        <v>0</v>
      </c>
      <c r="R360" s="33">
        <f t="shared" ca="1" si="620"/>
        <v>0</v>
      </c>
      <c r="S360" s="33">
        <f t="shared" ca="1" si="620"/>
        <v>0</v>
      </c>
      <c r="T360" s="33">
        <f t="shared" ca="1" si="620"/>
        <v>0</v>
      </c>
      <c r="U360" s="33">
        <f t="shared" ca="1" si="620"/>
        <v>0</v>
      </c>
      <c r="V360" s="33">
        <f t="shared" ca="1" si="620"/>
        <v>0</v>
      </c>
      <c r="W360" s="33">
        <f t="shared" ca="1" si="620"/>
        <v>0</v>
      </c>
      <c r="X360" s="33">
        <f t="shared" ca="1" si="620"/>
        <v>0</v>
      </c>
      <c r="Y360" s="33">
        <f t="shared" ca="1" si="620"/>
        <v>0</v>
      </c>
      <c r="Z360" s="33">
        <f t="shared" ca="1" si="620"/>
        <v>0</v>
      </c>
    </row>
    <row r="361" spans="2:26" x14ac:dyDescent="0.2">
      <c r="B361" s="32" t="s">
        <v>416</v>
      </c>
      <c r="D361" s="47"/>
      <c r="E361" s="47"/>
      <c r="F361" s="150">
        <v>0</v>
      </c>
      <c r="G361" s="150">
        <v>0</v>
      </c>
      <c r="H361" s="150">
        <v>0</v>
      </c>
      <c r="I361" s="150">
        <v>0</v>
      </c>
      <c r="J361" s="150">
        <v>0</v>
      </c>
      <c r="K361" s="150">
        <v>0</v>
      </c>
      <c r="L361" s="150">
        <v>0</v>
      </c>
      <c r="M361" s="150">
        <v>0</v>
      </c>
      <c r="N361" s="150">
        <v>0</v>
      </c>
      <c r="O361" s="150">
        <v>0</v>
      </c>
      <c r="P361" s="150">
        <v>0</v>
      </c>
      <c r="Q361" s="150">
        <v>0</v>
      </c>
      <c r="R361" s="150">
        <v>0</v>
      </c>
      <c r="S361" s="150">
        <v>0</v>
      </c>
      <c r="T361" s="150">
        <v>0</v>
      </c>
      <c r="U361" s="150">
        <v>0</v>
      </c>
      <c r="V361" s="150">
        <v>0</v>
      </c>
      <c r="W361" s="150">
        <v>0</v>
      </c>
      <c r="X361" s="150">
        <v>0</v>
      </c>
      <c r="Y361" s="150">
        <v>0</v>
      </c>
      <c r="Z361" s="150">
        <v>0</v>
      </c>
    </row>
    <row r="362" spans="2:26" x14ac:dyDescent="0.2">
      <c r="B362" s="32" t="s">
        <v>417</v>
      </c>
      <c r="D362" s="47"/>
      <c r="E362" s="47"/>
      <c r="F362" s="150">
        <v>0</v>
      </c>
      <c r="G362" s="150">
        <v>0</v>
      </c>
      <c r="H362" s="150">
        <v>0</v>
      </c>
      <c r="I362" s="150">
        <v>0</v>
      </c>
      <c r="J362" s="150">
        <v>0</v>
      </c>
      <c r="K362" s="150">
        <v>0</v>
      </c>
      <c r="L362" s="150">
        <v>0</v>
      </c>
      <c r="M362" s="150">
        <v>0</v>
      </c>
      <c r="N362" s="150">
        <v>0</v>
      </c>
      <c r="O362" s="150">
        <v>0</v>
      </c>
      <c r="P362" s="150">
        <v>0</v>
      </c>
      <c r="Q362" s="150">
        <v>0</v>
      </c>
      <c r="R362" s="150">
        <v>0</v>
      </c>
      <c r="S362" s="150">
        <v>0</v>
      </c>
      <c r="T362" s="150">
        <v>0</v>
      </c>
      <c r="U362" s="150">
        <v>0</v>
      </c>
      <c r="V362" s="150">
        <v>0</v>
      </c>
      <c r="W362" s="150">
        <v>0</v>
      </c>
      <c r="X362" s="150">
        <v>0</v>
      </c>
      <c r="Y362" s="150">
        <v>0</v>
      </c>
      <c r="Z362" s="150">
        <v>0</v>
      </c>
    </row>
    <row r="363" spans="2:26" x14ac:dyDescent="0.2">
      <c r="B363" s="32" t="s">
        <v>408</v>
      </c>
      <c r="D363" s="47"/>
      <c r="E363" s="47"/>
      <c r="F363" s="150">
        <f ca="1">-SUM(F390:F391)*'Assumptions and Sensis'!$M$227</f>
        <v>0</v>
      </c>
      <c r="G363" s="150">
        <f ca="1">-SUM(G390:G391)*'Assumptions and Sensis'!$M$227</f>
        <v>0</v>
      </c>
      <c r="H363" s="150">
        <f ca="1">-SUM(H390:H391)*'Assumptions and Sensis'!$M$227</f>
        <v>0</v>
      </c>
      <c r="I363" s="150">
        <f ca="1">-SUM(I390:I391)*'Assumptions and Sensis'!$M$227</f>
        <v>-2552871.7031015651</v>
      </c>
      <c r="J363" s="150">
        <f ca="1">-SUM(J390:J391)*'Assumptions and Sensis'!$M$227</f>
        <v>-2871388.4075846775</v>
      </c>
      <c r="K363" s="150">
        <f ca="1">-SUM(K390:K391)*'Assumptions and Sensis'!$M$227</f>
        <v>-3001266.334497341</v>
      </c>
      <c r="L363" s="150">
        <f ca="1">-SUM(L390:L391)*'Assumptions and Sensis'!$M$227</f>
        <v>-3375387.246302377</v>
      </c>
      <c r="M363" s="150">
        <f ca="1">-SUM(M390:M391)*'Assumptions and Sensis'!$M$227</f>
        <v>-3443978.7539705662</v>
      </c>
      <c r="N363" s="150">
        <f ca="1">-SUM(N390:N391)*'Assumptions and Sensis'!$M$227</f>
        <v>-3537336.8210881595</v>
      </c>
      <c r="O363" s="150">
        <f ca="1">-SUM(O390:O391)*'Assumptions and Sensis'!$M$227</f>
        <v>-3633088.1739998683</v>
      </c>
      <c r="P363" s="150">
        <f ca="1">-SUM(P390:P391)*'Assumptions and Sensis'!$M$227</f>
        <v>-3708412.533297692</v>
      </c>
      <c r="Q363" s="150">
        <f>-SUM(Q390:Q391)*'Assumptions and Sensis'!$M$227</f>
        <v>0</v>
      </c>
      <c r="R363" s="150">
        <f>-SUM(R390:R391)*'Assumptions and Sensis'!$M$227</f>
        <v>0</v>
      </c>
      <c r="S363" s="150">
        <f>-SUM(S390:S391)*'Assumptions and Sensis'!$M$227</f>
        <v>0</v>
      </c>
      <c r="T363" s="150">
        <f>-SUM(T390:T391)*'Assumptions and Sensis'!$M$227</f>
        <v>0</v>
      </c>
      <c r="U363" s="150">
        <f>-SUM(U390:U391)*'Assumptions and Sensis'!$M$227</f>
        <v>0</v>
      </c>
      <c r="V363" s="150">
        <f>-SUM(V390:V391)*'Assumptions and Sensis'!$M$227</f>
        <v>0</v>
      </c>
      <c r="W363" s="150">
        <f>-SUM(W390:W391)*'Assumptions and Sensis'!$M$227</f>
        <v>0</v>
      </c>
      <c r="X363" s="150">
        <f>-SUM(X390:X391)*'Assumptions and Sensis'!$M$227</f>
        <v>0</v>
      </c>
      <c r="Y363" s="150">
        <f>-SUM(Y390:Y391)*'Assumptions and Sensis'!$M$227</f>
        <v>0</v>
      </c>
      <c r="Z363" s="150">
        <f>-SUM(Z390:Z391)*'Assumptions and Sensis'!$M$227</f>
        <v>0</v>
      </c>
    </row>
    <row r="364" spans="2:26" x14ac:dyDescent="0.2">
      <c r="B364" s="32" t="s">
        <v>409</v>
      </c>
      <c r="D364" s="47"/>
      <c r="E364" s="47"/>
      <c r="F364" s="150">
        <f ca="1">+IF(YEAR(F$140)&lt;=YEAR('Assumptions and Sensis'!$F$51),F321,0)</f>
        <v>0</v>
      </c>
      <c r="G364" s="150">
        <f ca="1">+IF(YEAR(G$140)&lt;=YEAR('Assumptions and Sensis'!$F$51),G321,0)</f>
        <v>0</v>
      </c>
      <c r="H364" s="150">
        <f ca="1">+IF(YEAR(H$140)&lt;=YEAR('Assumptions and Sensis'!$F$51),H321,0)</f>
        <v>0</v>
      </c>
      <c r="I364" s="150">
        <f ca="1">+IF(YEAR(I$140)&lt;=YEAR('Assumptions and Sensis'!$F$51),I321,0)</f>
        <v>12156531.919531263</v>
      </c>
      <c r="J364" s="150">
        <f ca="1">+IF(YEAR(J$140)&lt;=YEAR('Assumptions and Sensis'!$F$51),J321,0)</f>
        <v>25299756.984119631</v>
      </c>
      <c r="K364" s="150">
        <f ca="1">+IF(YEAR(K$140)&lt;=YEAR('Assumptions and Sensis'!$F$51),K321,0)</f>
        <v>25918223.302751362</v>
      </c>
      <c r="L364" s="150">
        <f ca="1">+IF(YEAR(L$140)&lt;=YEAR('Assumptions and Sensis'!$F$51),L321,0)</f>
        <v>27699751.454203915</v>
      </c>
      <c r="M364" s="150">
        <f ca="1">+IF(YEAR(M$140)&lt;=YEAR('Assumptions and Sensis'!$F$51),M321,0)</f>
        <v>28026377.681195293</v>
      </c>
      <c r="N364" s="150">
        <f ca="1">+IF(YEAR(N$140)&lt;=YEAR('Assumptions and Sensis'!$F$51),N321,0)</f>
        <v>28470939.905564785</v>
      </c>
      <c r="O364" s="150">
        <f ca="1">+IF(YEAR(O$140)&lt;=YEAR('Assumptions and Sensis'!$F$51),O321,0)</f>
        <v>28926898.728953872</v>
      </c>
      <c r="P364" s="150">
        <f ca="1">+IF(YEAR(P$140)&lt;=YEAR('Assumptions and Sensis'!$F$51),P321,0)</f>
        <v>29285586.154181607</v>
      </c>
      <c r="Q364" s="150">
        <f>+IF(YEAR(Q$140)&lt;=YEAR('Assumptions and Sensis'!$F$51),Q321,0)</f>
        <v>0</v>
      </c>
      <c r="R364" s="150">
        <f>+IF(YEAR(R$140)&lt;=YEAR('Assumptions and Sensis'!$F$51),R321,0)</f>
        <v>0</v>
      </c>
      <c r="S364" s="150">
        <f>+IF(YEAR(S$140)&lt;=YEAR('Assumptions and Sensis'!$F$51),S321,0)</f>
        <v>0</v>
      </c>
      <c r="T364" s="150">
        <f>+IF(YEAR(T$140)&lt;=YEAR('Assumptions and Sensis'!$F$51),T321,0)</f>
        <v>0</v>
      </c>
      <c r="U364" s="150">
        <f>+IF(YEAR(U$140)&lt;=YEAR('Assumptions and Sensis'!$F$51),U321,0)</f>
        <v>0</v>
      </c>
      <c r="V364" s="150">
        <f>+IF(YEAR(V$140)&lt;=YEAR('Assumptions and Sensis'!$F$51),V321,0)</f>
        <v>0</v>
      </c>
      <c r="W364" s="150">
        <f>+IF(YEAR(W$140)&lt;=YEAR('Assumptions and Sensis'!$F$51),W321,0)</f>
        <v>0</v>
      </c>
      <c r="X364" s="150">
        <f>+IF(YEAR(X$140)&lt;=YEAR('Assumptions and Sensis'!$F$51),X321,0)</f>
        <v>0</v>
      </c>
      <c r="Y364" s="150">
        <f>+IF(YEAR(Y$140)&lt;=YEAR('Assumptions and Sensis'!$F$51),Y321,0)</f>
        <v>0</v>
      </c>
      <c r="Z364" s="150">
        <f>+IF(YEAR(Z$140)&lt;=YEAR('Assumptions and Sensis'!$F$51),Z321,0)</f>
        <v>0</v>
      </c>
    </row>
    <row r="365" spans="2:26" x14ac:dyDescent="0.2">
      <c r="B365" s="32" t="s">
        <v>403</v>
      </c>
      <c r="D365" s="47"/>
      <c r="E365" s="47"/>
      <c r="F365" s="150">
        <f>+IF(YEAR(F$140)&lt;=YEAR('Assumptions and Sensis'!$F$51),F326,0)</f>
        <v>0</v>
      </c>
      <c r="G365" s="150">
        <f>+IF(YEAR(G$140)&lt;=YEAR('Assumptions and Sensis'!$F$51),G326,0)</f>
        <v>0</v>
      </c>
      <c r="H365" s="150">
        <f>+IF(YEAR(H$140)&lt;=YEAR('Assumptions and Sensis'!$F$51),H326,0)</f>
        <v>0</v>
      </c>
      <c r="I365" s="150">
        <f>+IF(YEAR(I$140)&lt;=YEAR('Assumptions and Sensis'!$F$51),I326,0)</f>
        <v>0</v>
      </c>
      <c r="J365" s="150">
        <f>+IF(YEAR(J$140)&lt;=YEAR('Assumptions and Sensis'!$F$51),J326,0)</f>
        <v>0</v>
      </c>
      <c r="K365" s="150">
        <f>+IF(YEAR(K$140)&lt;=YEAR('Assumptions and Sensis'!$F$51),K326,0)</f>
        <v>0</v>
      </c>
      <c r="L365" s="150">
        <f>+IF(YEAR(L$140)&lt;=YEAR('Assumptions and Sensis'!$F$51),L326,0)</f>
        <v>0</v>
      </c>
      <c r="M365" s="150">
        <f>+IF(YEAR(M$140)&lt;=YEAR('Assumptions and Sensis'!$F$51),M326,0)</f>
        <v>0</v>
      </c>
      <c r="N365" s="150">
        <f>+IF(YEAR(N$140)&lt;=YEAR('Assumptions and Sensis'!$F$51),N326,0)</f>
        <v>0</v>
      </c>
      <c r="O365" s="150">
        <f>+IF(YEAR(O$140)&lt;=YEAR('Assumptions and Sensis'!$F$51),O326,0)</f>
        <v>0</v>
      </c>
      <c r="P365" s="150">
        <f ca="1">+IF(YEAR(P$140)&lt;=YEAR('Assumptions and Sensis'!$F$51),P326,0)</f>
        <v>457714541.7062313</v>
      </c>
      <c r="Q365" s="150">
        <f>+IF(YEAR(Q$140)&lt;=YEAR('Assumptions and Sensis'!$F$51),Q326,0)</f>
        <v>0</v>
      </c>
      <c r="R365" s="150">
        <f>+IF(YEAR(R$140)&lt;=YEAR('Assumptions and Sensis'!$F$51),R326,0)</f>
        <v>0</v>
      </c>
      <c r="S365" s="150">
        <f>+IF(YEAR(S$140)&lt;=YEAR('Assumptions and Sensis'!$F$51),S326,0)</f>
        <v>0</v>
      </c>
      <c r="T365" s="150">
        <f>+IF(YEAR(T$140)&lt;=YEAR('Assumptions and Sensis'!$F$51),T326,0)</f>
        <v>0</v>
      </c>
      <c r="U365" s="150">
        <f>+IF(YEAR(U$140)&lt;=YEAR('Assumptions and Sensis'!$F$51),U326,0)</f>
        <v>0</v>
      </c>
      <c r="V365" s="150">
        <f>+IF(YEAR(V$140)&lt;=YEAR('Assumptions and Sensis'!$F$51),V326,0)</f>
        <v>0</v>
      </c>
      <c r="W365" s="150">
        <f>+IF(YEAR(W$140)&lt;=YEAR('Assumptions and Sensis'!$F$51),W326,0)</f>
        <v>0</v>
      </c>
      <c r="X365" s="150">
        <f>+IF(YEAR(X$140)&lt;=YEAR('Assumptions and Sensis'!$F$51),X326,0)</f>
        <v>0</v>
      </c>
      <c r="Y365" s="150">
        <f>+IF(YEAR(Y$140)&lt;=YEAR('Assumptions and Sensis'!$F$51),Y326,0)</f>
        <v>0</v>
      </c>
      <c r="Z365" s="150">
        <f>+IF(YEAR(Z$140)&lt;=YEAR('Assumptions and Sensis'!$F$51),Z326,0)</f>
        <v>0</v>
      </c>
    </row>
    <row r="366" spans="2:26" x14ac:dyDescent="0.2">
      <c r="B366" s="32" t="s">
        <v>415</v>
      </c>
      <c r="D366" s="47"/>
      <c r="E366" s="47"/>
      <c r="F366" s="150">
        <f>-F394*'Assumptions and Sensis'!$M$227</f>
        <v>0</v>
      </c>
      <c r="G366" s="150">
        <f>-G394*'Assumptions and Sensis'!$M$227</f>
        <v>0</v>
      </c>
      <c r="H366" s="150">
        <f>-H394*'Assumptions and Sensis'!$M$227</f>
        <v>0</v>
      </c>
      <c r="I366" s="150">
        <f>-I394*'Assumptions and Sensis'!$M$227</f>
        <v>0</v>
      </c>
      <c r="J366" s="150">
        <f>-J394*'Assumptions and Sensis'!$M$227</f>
        <v>0</v>
      </c>
      <c r="K366" s="150">
        <f>-K394*'Assumptions and Sensis'!$M$227</f>
        <v>0</v>
      </c>
      <c r="L366" s="150">
        <f>-L394*'Assumptions and Sensis'!$M$227</f>
        <v>0</v>
      </c>
      <c r="M366" s="150">
        <f>-M394*'Assumptions and Sensis'!$M$227</f>
        <v>0</v>
      </c>
      <c r="N366" s="150">
        <f>-N394*'Assumptions and Sensis'!$M$227</f>
        <v>0</v>
      </c>
      <c r="O366" s="150">
        <f>-O394*'Assumptions and Sensis'!$M$227</f>
        <v>0</v>
      </c>
      <c r="P366" s="150">
        <f ca="1">-P394*'Assumptions and Sensis'!$M$227</f>
        <v>-55293903.137798399</v>
      </c>
      <c r="Q366" s="150">
        <f>-Q394*'Assumptions and Sensis'!$M$227</f>
        <v>0</v>
      </c>
      <c r="R366" s="150">
        <f>-R394*'Assumptions and Sensis'!$M$227</f>
        <v>0</v>
      </c>
      <c r="S366" s="150">
        <f>-S394*'Assumptions and Sensis'!$M$227</f>
        <v>0</v>
      </c>
      <c r="T366" s="150">
        <f>-T394*'Assumptions and Sensis'!$M$227</f>
        <v>0</v>
      </c>
      <c r="U366" s="150">
        <f>-U394*'Assumptions and Sensis'!$M$227</f>
        <v>0</v>
      </c>
      <c r="V366" s="150">
        <f>-V394*'Assumptions and Sensis'!$M$227</f>
        <v>0</v>
      </c>
      <c r="W366" s="150">
        <f>-W394*'Assumptions and Sensis'!$M$227</f>
        <v>0</v>
      </c>
      <c r="X366" s="150">
        <f>-X394*'Assumptions and Sensis'!$M$227</f>
        <v>0</v>
      </c>
      <c r="Y366" s="150">
        <f>-Y394*'Assumptions and Sensis'!$M$227</f>
        <v>0</v>
      </c>
      <c r="Z366" s="150">
        <f>-Z394*'Assumptions and Sensis'!$M$227</f>
        <v>0</v>
      </c>
    </row>
    <row r="367" spans="2:26" x14ac:dyDescent="0.2">
      <c r="B367" s="137" t="s">
        <v>407</v>
      </c>
      <c r="C367" s="137"/>
      <c r="D367" s="138">
        <f t="shared" ref="D367" ca="1" si="621">+SUM(F367:Z367)</f>
        <v>306285381.70569605</v>
      </c>
      <c r="E367" s="138"/>
      <c r="F367" s="138">
        <f t="shared" ref="F367:Z367" ca="1" si="622">+SUM(F360:F366)</f>
        <v>-51505114.619219258</v>
      </c>
      <c r="G367" s="138">
        <f t="shared" ca="1" si="622"/>
        <v>-157134768.30336857</v>
      </c>
      <c r="H367" s="138">
        <f t="shared" ca="1" si="622"/>
        <v>-67155710.096808612</v>
      </c>
      <c r="I367" s="138">
        <f t="shared" ca="1" si="622"/>
        <v>9603660.2164296992</v>
      </c>
      <c r="J367" s="138">
        <f t="shared" ca="1" si="622"/>
        <v>22428368.576534953</v>
      </c>
      <c r="K367" s="138">
        <f t="shared" ca="1" si="622"/>
        <v>22916956.968254022</v>
      </c>
      <c r="L367" s="138">
        <f t="shared" ca="1" si="622"/>
        <v>24324364.207901537</v>
      </c>
      <c r="M367" s="138">
        <f t="shared" ca="1" si="622"/>
        <v>24582398.927224725</v>
      </c>
      <c r="N367" s="138">
        <f t="shared" ca="1" si="622"/>
        <v>24933603.084476627</v>
      </c>
      <c r="O367" s="138">
        <f t="shared" ca="1" si="622"/>
        <v>25293810.554954004</v>
      </c>
      <c r="P367" s="138">
        <f t="shared" ca="1" si="622"/>
        <v>427997812.18931687</v>
      </c>
      <c r="Q367" s="138">
        <f t="shared" ca="1" si="622"/>
        <v>0</v>
      </c>
      <c r="R367" s="138">
        <f t="shared" ca="1" si="622"/>
        <v>0</v>
      </c>
      <c r="S367" s="138">
        <f t="shared" ca="1" si="622"/>
        <v>0</v>
      </c>
      <c r="T367" s="138">
        <f t="shared" ca="1" si="622"/>
        <v>0</v>
      </c>
      <c r="U367" s="138">
        <f t="shared" ca="1" si="622"/>
        <v>0</v>
      </c>
      <c r="V367" s="138">
        <f t="shared" ca="1" si="622"/>
        <v>0</v>
      </c>
      <c r="W367" s="138">
        <f t="shared" ca="1" si="622"/>
        <v>0</v>
      </c>
      <c r="X367" s="138">
        <f t="shared" ca="1" si="622"/>
        <v>0</v>
      </c>
      <c r="Y367" s="138">
        <f t="shared" ca="1" si="622"/>
        <v>0</v>
      </c>
      <c r="Z367" s="138">
        <f t="shared" ca="1" si="622"/>
        <v>0</v>
      </c>
    </row>
    <row r="368" spans="2:26" x14ac:dyDescent="0.2">
      <c r="B368" s="118"/>
    </row>
    <row r="369" spans="2:26" x14ac:dyDescent="0.2">
      <c r="B369" s="223" t="s">
        <v>420</v>
      </c>
      <c r="C369" s="223"/>
      <c r="D369" s="224">
        <f ca="1">+IRR(F367:Z367)</f>
        <v>0.10035988760917225</v>
      </c>
    </row>
    <row r="370" spans="2:26" x14ac:dyDescent="0.2">
      <c r="B370" s="118"/>
      <c r="D370" s="107"/>
    </row>
    <row r="371" spans="2:26" x14ac:dyDescent="0.2">
      <c r="B371" s="147" t="s">
        <v>406</v>
      </c>
      <c r="F371" s="147">
        <f>+F359</f>
        <v>0</v>
      </c>
      <c r="G371" s="147">
        <f t="shared" ref="G371:Z371" si="623">+G359</f>
        <v>1</v>
      </c>
      <c r="H371" s="147">
        <f t="shared" si="623"/>
        <v>2</v>
      </c>
      <c r="I371" s="147">
        <f t="shared" si="623"/>
        <v>3</v>
      </c>
      <c r="J371" s="147">
        <f t="shared" si="623"/>
        <v>4</v>
      </c>
      <c r="K371" s="147">
        <f t="shared" si="623"/>
        <v>5</v>
      </c>
      <c r="L371" s="147">
        <f t="shared" si="623"/>
        <v>6</v>
      </c>
      <c r="M371" s="147">
        <f t="shared" si="623"/>
        <v>7</v>
      </c>
      <c r="N371" s="147">
        <f t="shared" si="623"/>
        <v>8</v>
      </c>
      <c r="O371" s="147">
        <f t="shared" si="623"/>
        <v>9</v>
      </c>
      <c r="P371" s="147">
        <f t="shared" si="623"/>
        <v>10</v>
      </c>
      <c r="Q371" s="147">
        <f t="shared" si="623"/>
        <v>11</v>
      </c>
      <c r="R371" s="147">
        <f t="shared" si="623"/>
        <v>12</v>
      </c>
      <c r="S371" s="147">
        <f t="shared" si="623"/>
        <v>13</v>
      </c>
      <c r="T371" s="147">
        <f t="shared" si="623"/>
        <v>14</v>
      </c>
      <c r="U371" s="147">
        <f t="shared" si="623"/>
        <v>15</v>
      </c>
      <c r="V371" s="147">
        <f t="shared" si="623"/>
        <v>16</v>
      </c>
      <c r="W371" s="147">
        <f t="shared" si="623"/>
        <v>17</v>
      </c>
      <c r="X371" s="147">
        <f t="shared" si="623"/>
        <v>18</v>
      </c>
      <c r="Y371" s="147">
        <f t="shared" si="623"/>
        <v>19</v>
      </c>
      <c r="Z371" s="147">
        <f t="shared" si="623"/>
        <v>20</v>
      </c>
    </row>
    <row r="372" spans="2:26" x14ac:dyDescent="0.2">
      <c r="B372" s="32" t="s">
        <v>398</v>
      </c>
      <c r="D372" s="47"/>
      <c r="E372" s="47"/>
      <c r="F372" s="33">
        <f ca="1">+F360</f>
        <v>-51505114.619219258</v>
      </c>
      <c r="G372" s="33">
        <f t="shared" ref="G372:Z372" ca="1" si="624">+G360</f>
        <v>-157134768.30336857</v>
      </c>
      <c r="H372" s="33">
        <f t="shared" ca="1" si="624"/>
        <v>-67155710.096808612</v>
      </c>
      <c r="I372" s="33">
        <f t="shared" ca="1" si="624"/>
        <v>0</v>
      </c>
      <c r="J372" s="33">
        <f t="shared" ca="1" si="624"/>
        <v>0</v>
      </c>
      <c r="K372" s="33">
        <f t="shared" ca="1" si="624"/>
        <v>0</v>
      </c>
      <c r="L372" s="33">
        <f t="shared" ca="1" si="624"/>
        <v>0</v>
      </c>
      <c r="M372" s="33">
        <f t="shared" ca="1" si="624"/>
        <v>0</v>
      </c>
      <c r="N372" s="33">
        <f t="shared" ca="1" si="624"/>
        <v>0</v>
      </c>
      <c r="O372" s="33">
        <f t="shared" ca="1" si="624"/>
        <v>0</v>
      </c>
      <c r="P372" s="33">
        <f t="shared" ca="1" si="624"/>
        <v>0</v>
      </c>
      <c r="Q372" s="33">
        <f t="shared" ca="1" si="624"/>
        <v>0</v>
      </c>
      <c r="R372" s="33">
        <f t="shared" ca="1" si="624"/>
        <v>0</v>
      </c>
      <c r="S372" s="33">
        <f t="shared" ca="1" si="624"/>
        <v>0</v>
      </c>
      <c r="T372" s="33">
        <f t="shared" ca="1" si="624"/>
        <v>0</v>
      </c>
      <c r="U372" s="33">
        <f t="shared" ca="1" si="624"/>
        <v>0</v>
      </c>
      <c r="V372" s="33">
        <f t="shared" ca="1" si="624"/>
        <v>0</v>
      </c>
      <c r="W372" s="33">
        <f t="shared" ca="1" si="624"/>
        <v>0</v>
      </c>
      <c r="X372" s="33">
        <f t="shared" ca="1" si="624"/>
        <v>0</v>
      </c>
      <c r="Y372" s="33">
        <f t="shared" ca="1" si="624"/>
        <v>0</v>
      </c>
      <c r="Z372" s="33">
        <f t="shared" ca="1" si="624"/>
        <v>0</v>
      </c>
    </row>
    <row r="373" spans="2:26" x14ac:dyDescent="0.2">
      <c r="B373" s="32" t="s">
        <v>416</v>
      </c>
      <c r="D373" s="47"/>
      <c r="E373" s="47"/>
      <c r="F373" s="150">
        <f ca="1">-F372*'Assumptions and Sensis'!$M$227</f>
        <v>10816074.070036044</v>
      </c>
      <c r="G373" s="150">
        <f ca="1">-G372*'Assumptions and Sensis'!$M$227</f>
        <v>32998301.343707398</v>
      </c>
      <c r="H373" s="150">
        <f ca="1">-H372*'Assumptions and Sensis'!$M$227</f>
        <v>14102699.120329808</v>
      </c>
      <c r="I373" s="150">
        <f ca="1">-I372*'Assumptions and Sensis'!$M$227</f>
        <v>0</v>
      </c>
      <c r="J373" s="150">
        <f ca="1">-J372*'Assumptions and Sensis'!$M$227</f>
        <v>0</v>
      </c>
      <c r="K373" s="150">
        <f ca="1">-K372*'Assumptions and Sensis'!$M$227</f>
        <v>0</v>
      </c>
      <c r="L373" s="150">
        <f ca="1">-L372*'Assumptions and Sensis'!$M$227</f>
        <v>0</v>
      </c>
      <c r="M373" s="150">
        <f ca="1">-M372*'Assumptions and Sensis'!$M$227</f>
        <v>0</v>
      </c>
      <c r="N373" s="150">
        <f ca="1">-N372*'Assumptions and Sensis'!$M$227</f>
        <v>0</v>
      </c>
      <c r="O373" s="150">
        <f ca="1">-O372*'Assumptions and Sensis'!$M$227</f>
        <v>0</v>
      </c>
      <c r="P373" s="150">
        <f ca="1">-P372*'Assumptions and Sensis'!$M$227</f>
        <v>0</v>
      </c>
      <c r="Q373" s="150">
        <f ca="1">-Q372*'Assumptions and Sensis'!$M$227</f>
        <v>0</v>
      </c>
      <c r="R373" s="150">
        <f ca="1">-R372*'Assumptions and Sensis'!$M$227</f>
        <v>0</v>
      </c>
      <c r="S373" s="150">
        <f ca="1">-S372*'Assumptions and Sensis'!$M$227</f>
        <v>0</v>
      </c>
      <c r="T373" s="150">
        <f ca="1">-T372*'Assumptions and Sensis'!$M$227</f>
        <v>0</v>
      </c>
      <c r="U373" s="150">
        <f ca="1">-U372*'Assumptions and Sensis'!$M$227</f>
        <v>0</v>
      </c>
      <c r="V373" s="150">
        <f ca="1">-V372*'Assumptions and Sensis'!$M$227</f>
        <v>0</v>
      </c>
      <c r="W373" s="150">
        <f ca="1">-W372*'Assumptions and Sensis'!$M$227</f>
        <v>0</v>
      </c>
      <c r="X373" s="150">
        <f ca="1">-X372*'Assumptions and Sensis'!$M$227</f>
        <v>0</v>
      </c>
      <c r="Y373" s="150">
        <f ca="1">-Y372*'Assumptions and Sensis'!$M$227</f>
        <v>0</v>
      </c>
      <c r="Z373" s="150">
        <f ca="1">-Z372*'Assumptions and Sensis'!$M$227</f>
        <v>0</v>
      </c>
    </row>
    <row r="374" spans="2:26" x14ac:dyDescent="0.2">
      <c r="B374" s="32" t="s">
        <v>417</v>
      </c>
      <c r="D374" s="47"/>
      <c r="E374" s="47"/>
      <c r="F374" s="150">
        <f ca="1">IFERROR(-IF(YEAR(F357)&lt;MIN(YEAR('Assumptions and Sensis'!$F$51),2026),(OFFSET('Phase I Pro Forma'!F373,0,-10)),IF(YEAR(F357)=MIN(YEAR('Assumptions and Sensis'!$F$51),2026),SUM('Phase I Pro Forma'!$E$373:F$373)-SUM('Phase I Pro Forma'!$E$374:E$374),0)),0)</f>
        <v>0</v>
      </c>
      <c r="G374" s="150">
        <f ca="1">IFERROR(-IF(YEAR(G357)&lt;MIN(YEAR('Assumptions and Sensis'!$F$51),2026),(OFFSET('Phase I Pro Forma'!G373,0,-10)),IF(YEAR(G357)=MIN(YEAR('Assumptions and Sensis'!$F$51),2026),SUM('Phase I Pro Forma'!$E$373:G$373)-SUM('Phase I Pro Forma'!$E$374:F$374),0)),0)</f>
        <v>0</v>
      </c>
      <c r="H374" s="150">
        <f ca="1">IFERROR(-IF(YEAR(H357)&lt;MIN(YEAR('Assumptions and Sensis'!$F$51),2026),(OFFSET('Phase I Pro Forma'!H373,0,-10)),IF(YEAR(H357)=MIN(YEAR('Assumptions and Sensis'!$F$51),2026),SUM('Phase I Pro Forma'!$E$373:H$373)-SUM('Phase I Pro Forma'!$E$374:G$374),0)),0)</f>
        <v>0</v>
      </c>
      <c r="I374" s="150">
        <f ca="1">IFERROR(-IF(YEAR(I357)&lt;MIN(YEAR('Assumptions and Sensis'!$F$51),2026),(OFFSET('Phase I Pro Forma'!I373,0,-10)),IF(YEAR(I357)=MIN(YEAR('Assumptions and Sensis'!$F$51),2026),SUM('Phase I Pro Forma'!$E$373:I$373)-SUM('Phase I Pro Forma'!$E$374:H$374),0)),0)</f>
        <v>0</v>
      </c>
      <c r="J374" s="150">
        <f ca="1">IFERROR(-IF(YEAR(J357)&lt;MIN(YEAR('Assumptions and Sensis'!$F$51),2026),(OFFSET('Phase I Pro Forma'!J373,0,-10)),IF(YEAR(J357)=MIN(YEAR('Assumptions and Sensis'!$F$51),2026),SUM('Phase I Pro Forma'!$E$373:J$373)-SUM('Phase I Pro Forma'!$E$374:I$374),0)),0)</f>
        <v>0</v>
      </c>
      <c r="K374" s="150">
        <f ca="1">IFERROR(-IF(YEAR(K357)&lt;MIN(YEAR('Assumptions and Sensis'!$F$51),2026),(OFFSET('Phase I Pro Forma'!K373,0,-10)),IF(YEAR(K357)=MIN(YEAR('Assumptions and Sensis'!$F$51),2026),SUM('Phase I Pro Forma'!$E$373:K$373)-SUM('Phase I Pro Forma'!$E$374:J$374),0)),0)</f>
        <v>0</v>
      </c>
      <c r="L374" s="150">
        <f ca="1">IFERROR(-IF(YEAR(L357)&lt;MIN(YEAR('Assumptions and Sensis'!$F$51),2026),(OFFSET('Phase I Pro Forma'!L373,0,-10)),IF(YEAR(L357)=MIN(YEAR('Assumptions and Sensis'!$F$51),2026),SUM('Phase I Pro Forma'!$E$373:L$373)-SUM('Phase I Pro Forma'!$E$374:K$374),0)),0)</f>
        <v>-57917074.534073249</v>
      </c>
      <c r="M374" s="150">
        <f ca="1">IFERROR(-IF(YEAR(M357)&lt;MIN(YEAR('Assumptions and Sensis'!$F$51),2026),(OFFSET('Phase I Pro Forma'!M373,0,-10)),IF(YEAR(M357)=MIN(YEAR('Assumptions and Sensis'!$F$51),2026),SUM('Phase I Pro Forma'!$E$373:M$373)-SUM('Phase I Pro Forma'!$E$374:L$374),0)),0)</f>
        <v>0</v>
      </c>
      <c r="N374" s="150">
        <f ca="1">IFERROR(-IF(YEAR(N357)&lt;MIN(YEAR('Assumptions and Sensis'!$F$51),2026),(OFFSET('Phase I Pro Forma'!N373,0,-10)),IF(YEAR(N357)=MIN(YEAR('Assumptions and Sensis'!$F$51),2026),SUM('Phase I Pro Forma'!$E$373:N$373)-SUM('Phase I Pro Forma'!$E$374:M$374),0)),0)</f>
        <v>0</v>
      </c>
      <c r="O374" s="150">
        <f ca="1">IFERROR(-IF(YEAR(O357)&lt;MIN(YEAR('Assumptions and Sensis'!$F$51),2026),(OFFSET('Phase I Pro Forma'!O373,0,-10)),IF(YEAR(O357)=MIN(YEAR('Assumptions and Sensis'!$F$51),2026),SUM('Phase I Pro Forma'!$E$373:O$373)-SUM('Phase I Pro Forma'!$E$374:N$374),0)),0)</f>
        <v>0</v>
      </c>
      <c r="P374" s="150">
        <f ca="1">IFERROR(-IF(YEAR(P357)&lt;MIN(YEAR('Assumptions and Sensis'!$F$51),2026),(OFFSET('Phase I Pro Forma'!P373,0,-10)),IF(YEAR(P357)=MIN(YEAR('Assumptions and Sensis'!$F$51),2026),SUM('Phase I Pro Forma'!$E$373:P$373)-SUM('Phase I Pro Forma'!$E$374:O$374),0)),0)</f>
        <v>0</v>
      </c>
      <c r="Q374" s="150">
        <f ca="1">IFERROR(-IF(YEAR(Q357)&lt;MIN(YEAR('Assumptions and Sensis'!$F$51),2026),(OFFSET('Phase I Pro Forma'!Q373,0,-10)),IF(YEAR(Q357)=MIN(YEAR('Assumptions and Sensis'!$F$51),2026),SUM('Phase I Pro Forma'!$E$373:Q$373)-SUM('Phase I Pro Forma'!$E$374:P$374),0)),0)</f>
        <v>0</v>
      </c>
      <c r="R374" s="150">
        <f ca="1">IFERROR(-IF(YEAR(R357)&lt;MIN(YEAR('Assumptions and Sensis'!$F$51),2026),(OFFSET('Phase I Pro Forma'!R373,0,-10)),IF(YEAR(R357)=MIN(YEAR('Assumptions and Sensis'!$F$51),2026),SUM('Phase I Pro Forma'!$E$373:R$373)-SUM('Phase I Pro Forma'!$E$374:Q$374),0)),0)</f>
        <v>0</v>
      </c>
      <c r="S374" s="150">
        <f ca="1">IFERROR(-IF(YEAR(S357)&lt;MIN(YEAR('Assumptions and Sensis'!$F$51),2026),(OFFSET('Phase I Pro Forma'!S373,0,-10)),IF(YEAR(S357)=MIN(YEAR('Assumptions and Sensis'!$F$51),2026),SUM('Phase I Pro Forma'!$E$373:S$373)-SUM('Phase I Pro Forma'!$E$374:R$374),0)),0)</f>
        <v>0</v>
      </c>
      <c r="T374" s="150">
        <f ca="1">IFERROR(-IF(YEAR(T357)&lt;MIN(YEAR('Assumptions and Sensis'!$F$51),2026),(OFFSET('Phase I Pro Forma'!T373,0,-10)),IF(YEAR(T357)=MIN(YEAR('Assumptions and Sensis'!$F$51),2026),SUM('Phase I Pro Forma'!$E$373:T$373)-SUM('Phase I Pro Forma'!$E$374:S$374),0)),0)</f>
        <v>0</v>
      </c>
      <c r="U374" s="150">
        <f ca="1">IFERROR(-IF(YEAR(U357)&lt;MIN(YEAR('Assumptions and Sensis'!$F$51),2026),(OFFSET('Phase I Pro Forma'!U373,0,-10)),IF(YEAR(U357)=MIN(YEAR('Assumptions and Sensis'!$F$51),2026),SUM('Phase I Pro Forma'!$E$373:U$373)-SUM('Phase I Pro Forma'!$E$374:T$374),0)),0)</f>
        <v>0</v>
      </c>
      <c r="V374" s="150">
        <f ca="1">IFERROR(-IF(YEAR(V357)&lt;MIN(YEAR('Assumptions and Sensis'!$F$51),2026),(OFFSET('Phase I Pro Forma'!V373,0,-10)),IF(YEAR(V357)=MIN(YEAR('Assumptions and Sensis'!$F$51),2026),SUM('Phase I Pro Forma'!$E$373:V$373)-SUM('Phase I Pro Forma'!$E$374:U$374),0)),0)</f>
        <v>0</v>
      </c>
      <c r="W374" s="150">
        <f ca="1">IFERROR(-IF(YEAR(W357)&lt;MIN(YEAR('Assumptions and Sensis'!$F$51),2026),(OFFSET('Phase I Pro Forma'!W373,0,-10)),IF(YEAR(W357)=MIN(YEAR('Assumptions and Sensis'!$F$51),2026),SUM('Phase I Pro Forma'!$E$373:W$373)-SUM('Phase I Pro Forma'!$E$374:V$374),0)),0)</f>
        <v>0</v>
      </c>
      <c r="X374" s="150">
        <f ca="1">IFERROR(-IF(YEAR(X357)&lt;MIN(YEAR('Assumptions and Sensis'!$F$51),2026),(OFFSET('Phase I Pro Forma'!X373,0,-10)),IF(YEAR(X357)=MIN(YEAR('Assumptions and Sensis'!$F$51),2026),SUM('Phase I Pro Forma'!$E$373:X$373)-SUM('Phase I Pro Forma'!$E$374:W$374),0)),0)</f>
        <v>0</v>
      </c>
      <c r="Y374" s="150">
        <f ca="1">IFERROR(-IF(YEAR(Y357)&lt;MIN(YEAR('Assumptions and Sensis'!$F$51),2026),(OFFSET('Phase I Pro Forma'!Y373,0,-10)),IF(YEAR(Y357)=MIN(YEAR('Assumptions and Sensis'!$F$51),2026),SUM('Phase I Pro Forma'!$E$373:Y$373)-SUM('Phase I Pro Forma'!$E$374:X$374),0)),0)</f>
        <v>0</v>
      </c>
      <c r="Z374" s="150">
        <f ca="1">IFERROR(-IF(YEAR(Z357)&lt;MIN(YEAR('Assumptions and Sensis'!$F$51),2026),(OFFSET('Phase I Pro Forma'!Z373,0,-10)),IF(YEAR(Z357)=MIN(YEAR('Assumptions and Sensis'!$F$51),2026),SUM('Phase I Pro Forma'!$E$373:Z$373)-SUM('Phase I Pro Forma'!$E$374:Y$374),0)),0)</f>
        <v>0</v>
      </c>
    </row>
    <row r="375" spans="2:26" x14ac:dyDescent="0.2">
      <c r="B375" s="32" t="s">
        <v>418</v>
      </c>
      <c r="D375" s="47"/>
      <c r="E375" s="47"/>
      <c r="F375" s="150">
        <f>+IF(YEAR(F357)=MIN(YEAR('Assumptions and Sensis'!$F$51),2026),SUM('Phase I Pro Forma'!$F$385:$Z$385),0)</f>
        <v>0</v>
      </c>
      <c r="G375" s="150">
        <f>+IF(YEAR(G357)=MIN(YEAR('Assumptions and Sensis'!$F$51),2026),SUM('Phase I Pro Forma'!$F$385:$Z$385),0)</f>
        <v>0</v>
      </c>
      <c r="H375" s="150">
        <f>+IF(YEAR(H357)=MIN(YEAR('Assumptions and Sensis'!$F$51),2026),SUM('Phase I Pro Forma'!$F$385:$Z$385),0)</f>
        <v>0</v>
      </c>
      <c r="I375" s="150">
        <f>+IF(YEAR(I357)=MIN(YEAR('Assumptions and Sensis'!$F$51),2026),SUM('Phase I Pro Forma'!$F$385:$Z$385),0)</f>
        <v>0</v>
      </c>
      <c r="J375" s="150">
        <f>+IF(YEAR(J357)=MIN(YEAR('Assumptions and Sensis'!$F$51),2026),SUM('Phase I Pro Forma'!$F$385:$Z$385),0)</f>
        <v>0</v>
      </c>
      <c r="K375" s="150">
        <f>+IF(YEAR(K357)=MIN(YEAR('Assumptions and Sensis'!$F$51),2026),SUM('Phase I Pro Forma'!$F$385:$Z$385),0)</f>
        <v>0</v>
      </c>
      <c r="L375" s="150">
        <f ca="1">+IF(YEAR(L357)=MIN(YEAR('Assumptions and Sensis'!$F$51),2026),SUM('Phase I Pro Forma'!$F$385:$Z$385),0)</f>
        <v>8687561.1801109891</v>
      </c>
      <c r="M375" s="150">
        <f>+IF(YEAR(M357)=MIN(YEAR('Assumptions and Sensis'!$F$51),2026),SUM('Phase I Pro Forma'!$F$385:$Z$385),0)</f>
        <v>0</v>
      </c>
      <c r="N375" s="150">
        <f>+IF(YEAR(N357)=MIN(YEAR('Assumptions and Sensis'!$F$51),2026),SUM('Phase I Pro Forma'!$F$385:$Z$385),0)</f>
        <v>0</v>
      </c>
      <c r="O375" s="150">
        <f>+IF(YEAR(O357)=MIN(YEAR('Assumptions and Sensis'!$F$51),2026),SUM('Phase I Pro Forma'!$F$385:$Z$385),0)</f>
        <v>0</v>
      </c>
      <c r="P375" s="150">
        <f>+IF(YEAR(P357)=MIN(YEAR('Assumptions and Sensis'!$F$51),2026),SUM('Phase I Pro Forma'!$F$385:$Z$385),0)</f>
        <v>0</v>
      </c>
      <c r="Q375" s="150">
        <f>+IF(YEAR(Q357)=MIN(YEAR('Assumptions and Sensis'!$F$51),2026),SUM('Phase I Pro Forma'!$F$385:$Z$385),0)</f>
        <v>0</v>
      </c>
      <c r="R375" s="150">
        <f>+IF(YEAR(R357)=MIN(YEAR('Assumptions and Sensis'!$F$51),2026),SUM('Phase I Pro Forma'!$F$385:$Z$385),0)</f>
        <v>0</v>
      </c>
      <c r="S375" s="150">
        <f>+IF(YEAR(S357)=MIN(YEAR('Assumptions and Sensis'!$F$51),2026),SUM('Phase I Pro Forma'!$F$385:$Z$385),0)</f>
        <v>0</v>
      </c>
      <c r="T375" s="150">
        <f>+IF(YEAR(T357)=MIN(YEAR('Assumptions and Sensis'!$F$51),2026),SUM('Phase I Pro Forma'!$F$385:$Z$385),0)</f>
        <v>0</v>
      </c>
      <c r="U375" s="150">
        <f>+IF(YEAR(U357)=MIN(YEAR('Assumptions and Sensis'!$F$51),2026),SUM('Phase I Pro Forma'!$F$385:$Z$385),0)</f>
        <v>0</v>
      </c>
      <c r="V375" s="150">
        <f>+IF(YEAR(V357)=MIN(YEAR('Assumptions and Sensis'!$F$51),2026),SUM('Phase I Pro Forma'!$F$385:$Z$385),0)</f>
        <v>0</v>
      </c>
      <c r="W375" s="150">
        <f>+IF(YEAR(W357)=MIN(YEAR('Assumptions and Sensis'!$F$51),2026),SUM('Phase I Pro Forma'!$F$385:$Z$385),0)</f>
        <v>0</v>
      </c>
      <c r="X375" s="150">
        <f>+IF(YEAR(X357)=MIN(YEAR('Assumptions and Sensis'!$F$51),2026),SUM('Phase I Pro Forma'!$F$385:$Z$385),0)</f>
        <v>0</v>
      </c>
      <c r="Y375" s="150">
        <f>+IF(YEAR(Y357)=MIN(YEAR('Assumptions and Sensis'!$F$51),2026),SUM('Phase I Pro Forma'!$F$385:$Z$385),0)</f>
        <v>0</v>
      </c>
      <c r="Z375" s="150">
        <f>+IF(YEAR(Z357)=MIN(YEAR('Assumptions and Sensis'!$F$51),2026),SUM('Phase I Pro Forma'!$F$385:$Z$385),0)</f>
        <v>0</v>
      </c>
    </row>
    <row r="376" spans="2:26" x14ac:dyDescent="0.2">
      <c r="B376" s="32" t="s">
        <v>408</v>
      </c>
      <c r="D376" s="47"/>
      <c r="E376" s="47"/>
      <c r="F376" s="150">
        <f ca="1">+F363</f>
        <v>0</v>
      </c>
      <c r="G376" s="150">
        <f t="shared" ref="G376:Z376" ca="1" si="625">+G363</f>
        <v>0</v>
      </c>
      <c r="H376" s="150">
        <f t="shared" ca="1" si="625"/>
        <v>0</v>
      </c>
      <c r="I376" s="150">
        <f t="shared" ca="1" si="625"/>
        <v>-2552871.7031015651</v>
      </c>
      <c r="J376" s="150">
        <f t="shared" ca="1" si="625"/>
        <v>-2871388.4075846775</v>
      </c>
      <c r="K376" s="150">
        <f t="shared" ca="1" si="625"/>
        <v>-3001266.334497341</v>
      </c>
      <c r="L376" s="150">
        <f t="shared" ca="1" si="625"/>
        <v>-3375387.246302377</v>
      </c>
      <c r="M376" s="150">
        <f t="shared" ca="1" si="625"/>
        <v>-3443978.7539705662</v>
      </c>
      <c r="N376" s="150">
        <f t="shared" ca="1" si="625"/>
        <v>-3537336.8210881595</v>
      </c>
      <c r="O376" s="150">
        <f t="shared" ca="1" si="625"/>
        <v>-3633088.1739998683</v>
      </c>
      <c r="P376" s="150">
        <f t="shared" ca="1" si="625"/>
        <v>-3708412.533297692</v>
      </c>
      <c r="Q376" s="150">
        <f t="shared" si="625"/>
        <v>0</v>
      </c>
      <c r="R376" s="150">
        <f t="shared" si="625"/>
        <v>0</v>
      </c>
      <c r="S376" s="150">
        <f t="shared" si="625"/>
        <v>0</v>
      </c>
      <c r="T376" s="150">
        <f t="shared" si="625"/>
        <v>0</v>
      </c>
      <c r="U376" s="150">
        <f t="shared" si="625"/>
        <v>0</v>
      </c>
      <c r="V376" s="150">
        <f t="shared" si="625"/>
        <v>0</v>
      </c>
      <c r="W376" s="150">
        <f t="shared" si="625"/>
        <v>0</v>
      </c>
      <c r="X376" s="150">
        <f t="shared" si="625"/>
        <v>0</v>
      </c>
      <c r="Y376" s="150">
        <f t="shared" si="625"/>
        <v>0</v>
      </c>
      <c r="Z376" s="150">
        <f t="shared" si="625"/>
        <v>0</v>
      </c>
    </row>
    <row r="377" spans="2:26" x14ac:dyDescent="0.2">
      <c r="B377" s="32" t="s">
        <v>409</v>
      </c>
      <c r="D377" s="47"/>
      <c r="E377" s="47"/>
      <c r="F377" s="150">
        <f ca="1">+F364</f>
        <v>0</v>
      </c>
      <c r="G377" s="150">
        <f t="shared" ref="G377:Z377" ca="1" si="626">+G364</f>
        <v>0</v>
      </c>
      <c r="H377" s="150">
        <f t="shared" ca="1" si="626"/>
        <v>0</v>
      </c>
      <c r="I377" s="150">
        <f t="shared" ca="1" si="626"/>
        <v>12156531.919531263</v>
      </c>
      <c r="J377" s="150">
        <f t="shared" ca="1" si="626"/>
        <v>25299756.984119631</v>
      </c>
      <c r="K377" s="150">
        <f t="shared" ca="1" si="626"/>
        <v>25918223.302751362</v>
      </c>
      <c r="L377" s="150">
        <f t="shared" ca="1" si="626"/>
        <v>27699751.454203915</v>
      </c>
      <c r="M377" s="150">
        <f t="shared" ca="1" si="626"/>
        <v>28026377.681195293</v>
      </c>
      <c r="N377" s="150">
        <f t="shared" ca="1" si="626"/>
        <v>28470939.905564785</v>
      </c>
      <c r="O377" s="150">
        <f t="shared" ca="1" si="626"/>
        <v>28926898.728953872</v>
      </c>
      <c r="P377" s="150">
        <f t="shared" ca="1" si="626"/>
        <v>29285586.154181607</v>
      </c>
      <c r="Q377" s="150">
        <f t="shared" si="626"/>
        <v>0</v>
      </c>
      <c r="R377" s="150">
        <f t="shared" si="626"/>
        <v>0</v>
      </c>
      <c r="S377" s="150">
        <f t="shared" si="626"/>
        <v>0</v>
      </c>
      <c r="T377" s="150">
        <f t="shared" si="626"/>
        <v>0</v>
      </c>
      <c r="U377" s="150">
        <f t="shared" si="626"/>
        <v>0</v>
      </c>
      <c r="V377" s="150">
        <f t="shared" si="626"/>
        <v>0</v>
      </c>
      <c r="W377" s="150">
        <f t="shared" si="626"/>
        <v>0</v>
      </c>
      <c r="X377" s="150">
        <f t="shared" si="626"/>
        <v>0</v>
      </c>
      <c r="Y377" s="150">
        <f t="shared" si="626"/>
        <v>0</v>
      </c>
      <c r="Z377" s="150">
        <f t="shared" si="626"/>
        <v>0</v>
      </c>
    </row>
    <row r="378" spans="2:26" x14ac:dyDescent="0.2">
      <c r="B378" s="32" t="s">
        <v>403</v>
      </c>
      <c r="D378" s="47"/>
      <c r="E378" s="47"/>
      <c r="F378" s="150">
        <f>+F365</f>
        <v>0</v>
      </c>
      <c r="G378" s="150">
        <f t="shared" ref="G378:Z378" si="627">+G365</f>
        <v>0</v>
      </c>
      <c r="H378" s="150">
        <f t="shared" si="627"/>
        <v>0</v>
      </c>
      <c r="I378" s="150">
        <f t="shared" si="627"/>
        <v>0</v>
      </c>
      <c r="J378" s="150">
        <f t="shared" si="627"/>
        <v>0</v>
      </c>
      <c r="K378" s="150">
        <f t="shared" si="627"/>
        <v>0</v>
      </c>
      <c r="L378" s="150">
        <f t="shared" si="627"/>
        <v>0</v>
      </c>
      <c r="M378" s="150">
        <f t="shared" si="627"/>
        <v>0</v>
      </c>
      <c r="N378" s="150">
        <f t="shared" si="627"/>
        <v>0</v>
      </c>
      <c r="O378" s="150">
        <f t="shared" si="627"/>
        <v>0</v>
      </c>
      <c r="P378" s="150">
        <f t="shared" ca="1" si="627"/>
        <v>457714541.7062313</v>
      </c>
      <c r="Q378" s="150">
        <f t="shared" si="627"/>
        <v>0</v>
      </c>
      <c r="R378" s="150">
        <f t="shared" si="627"/>
        <v>0</v>
      </c>
      <c r="S378" s="150">
        <f t="shared" si="627"/>
        <v>0</v>
      </c>
      <c r="T378" s="150">
        <f t="shared" si="627"/>
        <v>0</v>
      </c>
      <c r="U378" s="150">
        <f t="shared" si="627"/>
        <v>0</v>
      </c>
      <c r="V378" s="150">
        <f t="shared" si="627"/>
        <v>0</v>
      </c>
      <c r="W378" s="150">
        <f t="shared" si="627"/>
        <v>0</v>
      </c>
      <c r="X378" s="150">
        <f t="shared" si="627"/>
        <v>0</v>
      </c>
      <c r="Y378" s="150">
        <f t="shared" si="627"/>
        <v>0</v>
      </c>
      <c r="Z378" s="150">
        <f t="shared" si="627"/>
        <v>0</v>
      </c>
    </row>
    <row r="379" spans="2:26" x14ac:dyDescent="0.2">
      <c r="B379" s="32" t="s">
        <v>415</v>
      </c>
      <c r="D379" s="47"/>
      <c r="E379" s="47"/>
      <c r="F379" s="150">
        <f>+IF(F359&gt;=10,0,F366)</f>
        <v>0</v>
      </c>
      <c r="G379" s="150">
        <f t="shared" ref="G379:Z379" si="628">+IF(G359&gt;=10,0,G366)</f>
        <v>0</v>
      </c>
      <c r="H379" s="150">
        <f t="shared" si="628"/>
        <v>0</v>
      </c>
      <c r="I379" s="150">
        <f t="shared" si="628"/>
        <v>0</v>
      </c>
      <c r="J379" s="150">
        <f t="shared" si="628"/>
        <v>0</v>
      </c>
      <c r="K379" s="150">
        <f t="shared" si="628"/>
        <v>0</v>
      </c>
      <c r="L379" s="150">
        <f t="shared" si="628"/>
        <v>0</v>
      </c>
      <c r="M379" s="150">
        <f t="shared" si="628"/>
        <v>0</v>
      </c>
      <c r="N379" s="150">
        <f t="shared" si="628"/>
        <v>0</v>
      </c>
      <c r="O379" s="150">
        <f t="shared" si="628"/>
        <v>0</v>
      </c>
      <c r="P379" s="150">
        <f t="shared" si="628"/>
        <v>0</v>
      </c>
      <c r="Q379" s="150">
        <f t="shared" si="628"/>
        <v>0</v>
      </c>
      <c r="R379" s="150">
        <f t="shared" si="628"/>
        <v>0</v>
      </c>
      <c r="S379" s="150">
        <f t="shared" si="628"/>
        <v>0</v>
      </c>
      <c r="T379" s="150">
        <f t="shared" si="628"/>
        <v>0</v>
      </c>
      <c r="U379" s="150">
        <f t="shared" si="628"/>
        <v>0</v>
      </c>
      <c r="V379" s="150">
        <f t="shared" si="628"/>
        <v>0</v>
      </c>
      <c r="W379" s="150">
        <f t="shared" si="628"/>
        <v>0</v>
      </c>
      <c r="X379" s="150">
        <f t="shared" si="628"/>
        <v>0</v>
      </c>
      <c r="Y379" s="150">
        <f t="shared" si="628"/>
        <v>0</v>
      </c>
      <c r="Z379" s="150">
        <f t="shared" si="628"/>
        <v>0</v>
      </c>
    </row>
    <row r="380" spans="2:26" x14ac:dyDescent="0.2">
      <c r="B380" s="137" t="s">
        <v>406</v>
      </c>
      <c r="C380" s="137"/>
      <c r="D380" s="138">
        <f t="shared" ref="D380" ca="1" si="629">+SUM(F380:Z380)</f>
        <v>370266846.02360541</v>
      </c>
      <c r="E380" s="138"/>
      <c r="F380" s="138">
        <f t="shared" ref="F380:Z380" ca="1" si="630">+SUM(F372:F379)</f>
        <v>-40689040.549183212</v>
      </c>
      <c r="G380" s="138">
        <f t="shared" ca="1" si="630"/>
        <v>-124136466.95966117</v>
      </c>
      <c r="H380" s="138">
        <f t="shared" ca="1" si="630"/>
        <v>-53053010.9764788</v>
      </c>
      <c r="I380" s="138">
        <f t="shared" ca="1" si="630"/>
        <v>9603660.2164296992</v>
      </c>
      <c r="J380" s="138">
        <f t="shared" ca="1" si="630"/>
        <v>22428368.576534953</v>
      </c>
      <c r="K380" s="138">
        <f t="shared" ca="1" si="630"/>
        <v>22916956.968254022</v>
      </c>
      <c r="L380" s="138">
        <f t="shared" ca="1" si="630"/>
        <v>-24905149.146060716</v>
      </c>
      <c r="M380" s="138">
        <f t="shared" ca="1" si="630"/>
        <v>24582398.927224725</v>
      </c>
      <c r="N380" s="138">
        <f t="shared" ca="1" si="630"/>
        <v>24933603.084476627</v>
      </c>
      <c r="O380" s="138">
        <f t="shared" ca="1" si="630"/>
        <v>25293810.554954004</v>
      </c>
      <c r="P380" s="138">
        <f t="shared" ca="1" si="630"/>
        <v>483291715.32711524</v>
      </c>
      <c r="Q380" s="138">
        <f t="shared" ca="1" si="630"/>
        <v>0</v>
      </c>
      <c r="R380" s="138">
        <f t="shared" ca="1" si="630"/>
        <v>0</v>
      </c>
      <c r="S380" s="138">
        <f t="shared" ca="1" si="630"/>
        <v>0</v>
      </c>
      <c r="T380" s="138">
        <f t="shared" ca="1" si="630"/>
        <v>0</v>
      </c>
      <c r="U380" s="138">
        <f t="shared" ca="1" si="630"/>
        <v>0</v>
      </c>
      <c r="V380" s="138">
        <f t="shared" ca="1" si="630"/>
        <v>0</v>
      </c>
      <c r="W380" s="138">
        <f t="shared" ca="1" si="630"/>
        <v>0</v>
      </c>
      <c r="X380" s="138">
        <f t="shared" ca="1" si="630"/>
        <v>0</v>
      </c>
      <c r="Y380" s="138">
        <f t="shared" ca="1" si="630"/>
        <v>0</v>
      </c>
      <c r="Z380" s="138">
        <f t="shared" ca="1" si="630"/>
        <v>0</v>
      </c>
    </row>
    <row r="382" spans="2:26" x14ac:dyDescent="0.2">
      <c r="B382" s="188" t="s">
        <v>421</v>
      </c>
      <c r="C382" s="188"/>
      <c r="D382" s="189">
        <f ca="1">+IRR(F380:Z380)</f>
        <v>0.12956610274238711</v>
      </c>
    </row>
    <row r="383" spans="2:26" x14ac:dyDescent="0.2">
      <c r="B383" s="192" t="s">
        <v>422</v>
      </c>
      <c r="C383" s="191"/>
      <c r="D383" s="225">
        <f ca="1">+D382/(1-'Assumptions and Sensis'!$M$227)</f>
        <v>0.16400772499036342</v>
      </c>
    </row>
    <row r="385" spans="2:26" x14ac:dyDescent="0.2">
      <c r="B385" s="40" t="s">
        <v>419</v>
      </c>
      <c r="F385" s="150">
        <f ca="1">IFERROR(IF(YEAR(F357)&lt;=YEAR('Assumptions and Sensis'!$F$51),10%*(OFFSET('Phase I Pro Forma'!F373,0,-5))+5%*(OFFSET('Phase I Pro Forma'!F373,0,-7)),0),0)</f>
        <v>0</v>
      </c>
      <c r="G385" s="150">
        <f ca="1">IFERROR(IF(YEAR(G357)&lt;=YEAR('Assumptions and Sensis'!$F$51),10%*(OFFSET('Phase I Pro Forma'!G373,0,-5))+5%*(OFFSET('Phase I Pro Forma'!G373,0,-7)),0),0)</f>
        <v>0</v>
      </c>
      <c r="H385" s="150">
        <f ca="1">IFERROR(IF(YEAR(H357)&lt;=YEAR('Assumptions and Sensis'!$F$51),10%*(OFFSET('Phase I Pro Forma'!H373,0,-5))+5%*(OFFSET('Phase I Pro Forma'!H373,0,-7)),0),0)</f>
        <v>0</v>
      </c>
      <c r="I385" s="150">
        <f ca="1">IFERROR(IF(YEAR(I357)&lt;=YEAR('Assumptions and Sensis'!$F$51),10%*(OFFSET('Phase I Pro Forma'!I373,0,-5))+5%*(OFFSET('Phase I Pro Forma'!I373,0,-7)),0),0)</f>
        <v>0</v>
      </c>
      <c r="J385" s="150">
        <f ca="1">IFERROR(IF(YEAR(J357)&lt;=YEAR('Assumptions and Sensis'!$F$51),10%*(OFFSET('Phase I Pro Forma'!J373,0,-5))+5%*(OFFSET('Phase I Pro Forma'!J373,0,-7)),0),0)</f>
        <v>0</v>
      </c>
      <c r="K385" s="150">
        <f ca="1">IFERROR(IF(YEAR(K357)&lt;=YEAR('Assumptions and Sensis'!$F$51),10%*(OFFSET('Phase I Pro Forma'!K373,0,-5))+5%*(OFFSET('Phase I Pro Forma'!K373,0,-7)),0),0)</f>
        <v>1081607.4070036046</v>
      </c>
      <c r="L385" s="150">
        <f ca="1">IFERROR(IF(YEAR(L357)&lt;=YEAR('Assumptions and Sensis'!$F$51),10%*(OFFSET('Phase I Pro Forma'!L373,0,-5))+5%*(OFFSET('Phase I Pro Forma'!L373,0,-7)),0),0)</f>
        <v>3299830.13437074</v>
      </c>
      <c r="M385" s="150">
        <f ca="1">IFERROR(IF(YEAR(M357)&lt;=YEAR('Assumptions and Sensis'!$F$51),10%*(OFFSET('Phase I Pro Forma'!M373,0,-5))+5%*(OFFSET('Phase I Pro Forma'!M373,0,-7)),0),0)</f>
        <v>1951073.6155347833</v>
      </c>
      <c r="N385" s="150">
        <f ca="1">IFERROR(IF(YEAR(N357)&lt;=YEAR('Assumptions and Sensis'!$F$51),10%*(OFFSET('Phase I Pro Forma'!N373,0,-5))+5%*(OFFSET('Phase I Pro Forma'!N373,0,-7)),0),0)</f>
        <v>1649915.06718537</v>
      </c>
      <c r="O385" s="150">
        <f ca="1">IFERROR(IF(YEAR(O357)&lt;=YEAR('Assumptions and Sensis'!$F$51),10%*(OFFSET('Phase I Pro Forma'!O373,0,-5))+5%*(OFFSET('Phase I Pro Forma'!O373,0,-7)),0),0)</f>
        <v>705134.95601649047</v>
      </c>
      <c r="P385" s="150">
        <f ca="1">IFERROR(IF(YEAR(P357)&lt;=YEAR('Assumptions and Sensis'!$F$51),10%*(OFFSET('Phase I Pro Forma'!P373,0,-5))+5%*(OFFSET('Phase I Pro Forma'!P373,0,-7)),0),0)</f>
        <v>0</v>
      </c>
      <c r="Q385" s="150">
        <f ca="1">IFERROR(IF(YEAR(Q357)&lt;=YEAR('Assumptions and Sensis'!$F$51),10%*(OFFSET('Phase I Pro Forma'!Q373,0,-5))+5%*(OFFSET('Phase I Pro Forma'!Q373,0,-7)),0),0)</f>
        <v>0</v>
      </c>
      <c r="R385" s="150">
        <f ca="1">IFERROR(IF(YEAR(R357)&lt;=YEAR('Assumptions and Sensis'!$F$51),10%*(OFFSET('Phase I Pro Forma'!R373,0,-5))+5%*(OFFSET('Phase I Pro Forma'!R373,0,-7)),0),0)</f>
        <v>0</v>
      </c>
      <c r="S385" s="150">
        <f ca="1">IFERROR(IF(YEAR(S357)&lt;=YEAR('Assumptions and Sensis'!$F$51),10%*(OFFSET('Phase I Pro Forma'!S373,0,-5))+5%*(OFFSET('Phase I Pro Forma'!S373,0,-7)),0),0)</f>
        <v>0</v>
      </c>
      <c r="T385" s="150">
        <f ca="1">IFERROR(IF(YEAR(T357)&lt;=YEAR('Assumptions and Sensis'!$F$51),10%*(OFFSET('Phase I Pro Forma'!T373,0,-5))+5%*(OFFSET('Phase I Pro Forma'!T373,0,-7)),0),0)</f>
        <v>0</v>
      </c>
      <c r="U385" s="150">
        <f ca="1">IFERROR(IF(YEAR(U357)&lt;=YEAR('Assumptions and Sensis'!$F$51),10%*(OFFSET('Phase I Pro Forma'!U373,0,-5))+5%*(OFFSET('Phase I Pro Forma'!U373,0,-7)),0),0)</f>
        <v>0</v>
      </c>
      <c r="V385" s="150">
        <f ca="1">IFERROR(IF(YEAR(V357)&lt;=YEAR('Assumptions and Sensis'!$F$51),10%*(OFFSET('Phase I Pro Forma'!V373,0,-5))+5%*(OFFSET('Phase I Pro Forma'!V373,0,-7)),0),0)</f>
        <v>0</v>
      </c>
      <c r="W385" s="150">
        <f ca="1">IFERROR(IF(YEAR(W357)&lt;=YEAR('Assumptions and Sensis'!$F$51),10%*(OFFSET('Phase I Pro Forma'!W373,0,-5))+5%*(OFFSET('Phase I Pro Forma'!W373,0,-7)),0),0)</f>
        <v>0</v>
      </c>
      <c r="X385" s="150">
        <f ca="1">IFERROR(IF(YEAR(X357)&lt;=YEAR('Assumptions and Sensis'!$F$51),10%*(OFFSET('Phase I Pro Forma'!X373,0,-5))+5%*(OFFSET('Phase I Pro Forma'!X373,0,-7)),0),0)</f>
        <v>0</v>
      </c>
      <c r="Y385" s="150">
        <f ca="1">IFERROR(IF(YEAR(Y357)&lt;=YEAR('Assumptions and Sensis'!$F$51),10%*(OFFSET('Phase I Pro Forma'!Y373,0,-5))+5%*(OFFSET('Phase I Pro Forma'!Y373,0,-7)),0),0)</f>
        <v>0</v>
      </c>
      <c r="Z385" s="150">
        <f ca="1">IFERROR(IF(YEAR(Z357)&lt;=YEAR('Assumptions and Sensis'!$F$51),10%*(OFFSET('Phase I Pro Forma'!Z373,0,-5))+5%*(OFFSET('Phase I Pro Forma'!Z373,0,-7)),0),0)</f>
        <v>0</v>
      </c>
    </row>
    <row r="387" spans="2:26" x14ac:dyDescent="0.2">
      <c r="B387" s="147" t="s">
        <v>399</v>
      </c>
    </row>
    <row r="388" spans="2:26" x14ac:dyDescent="0.2">
      <c r="B388" s="32" t="s">
        <v>400</v>
      </c>
      <c r="D388" s="47">
        <f ca="1">+SUM(F388:Z388)</f>
        <v>2222353685.7889347</v>
      </c>
      <c r="E388" s="47"/>
      <c r="F388" s="33">
        <v>0</v>
      </c>
      <c r="G388" s="33">
        <f ca="1">+F395</f>
        <v>51505114.619219258</v>
      </c>
      <c r="H388" s="33">
        <f t="shared" ref="H388:Z388" ca="1" si="631">+G395</f>
        <v>208639882.92258781</v>
      </c>
      <c r="I388" s="33">
        <f t="shared" ca="1" si="631"/>
        <v>275795593.01939642</v>
      </c>
      <c r="J388" s="33">
        <f t="shared" ca="1" si="631"/>
        <v>275795593.01939642</v>
      </c>
      <c r="K388" s="33">
        <f t="shared" ca="1" si="631"/>
        <v>264169114.16663244</v>
      </c>
      <c r="L388" s="33">
        <f t="shared" ca="1" si="631"/>
        <v>252542635.31386846</v>
      </c>
      <c r="M388" s="33">
        <f t="shared" ca="1" si="631"/>
        <v>240916156.46110445</v>
      </c>
      <c r="N388" s="33">
        <f t="shared" ca="1" si="631"/>
        <v>229289677.60834047</v>
      </c>
      <c r="O388" s="33">
        <f t="shared" ca="1" si="631"/>
        <v>217663198.75557646</v>
      </c>
      <c r="P388" s="33">
        <f t="shared" ca="1" si="631"/>
        <v>206036719.90281245</v>
      </c>
      <c r="Q388" s="33">
        <f t="shared" ca="1" si="631"/>
        <v>0</v>
      </c>
      <c r="R388" s="33">
        <f t="shared" ca="1" si="631"/>
        <v>0</v>
      </c>
      <c r="S388" s="33">
        <f t="shared" ca="1" si="631"/>
        <v>0</v>
      </c>
      <c r="T388" s="33">
        <f t="shared" ca="1" si="631"/>
        <v>0</v>
      </c>
      <c r="U388" s="33">
        <f t="shared" ca="1" si="631"/>
        <v>0</v>
      </c>
      <c r="V388" s="33">
        <f t="shared" ca="1" si="631"/>
        <v>0</v>
      </c>
      <c r="W388" s="33">
        <f t="shared" ca="1" si="631"/>
        <v>0</v>
      </c>
      <c r="X388" s="33">
        <f t="shared" ca="1" si="631"/>
        <v>0</v>
      </c>
      <c r="Y388" s="33">
        <f t="shared" ca="1" si="631"/>
        <v>0</v>
      </c>
      <c r="Z388" s="33">
        <f t="shared" ca="1" si="631"/>
        <v>0</v>
      </c>
    </row>
    <row r="389" spans="2:26" x14ac:dyDescent="0.2">
      <c r="B389" s="32" t="s">
        <v>398</v>
      </c>
      <c r="D389" s="47">
        <f t="shared" ref="D389:D394" ca="1" si="632">+SUM(F389:Z389)</f>
        <v>275795593.01939642</v>
      </c>
      <c r="E389" s="47"/>
      <c r="F389" s="150">
        <f ca="1">-F360</f>
        <v>51505114.619219258</v>
      </c>
      <c r="G389" s="150">
        <f t="shared" ref="G389:Z389" ca="1" si="633">-G360</f>
        <v>157134768.30336857</v>
      </c>
      <c r="H389" s="150">
        <f t="shared" ca="1" si="633"/>
        <v>67155710.096808612</v>
      </c>
      <c r="I389" s="150">
        <f t="shared" ca="1" si="633"/>
        <v>0</v>
      </c>
      <c r="J389" s="150">
        <f t="shared" ca="1" si="633"/>
        <v>0</v>
      </c>
      <c r="K389" s="150">
        <f t="shared" ca="1" si="633"/>
        <v>0</v>
      </c>
      <c r="L389" s="150">
        <f t="shared" ca="1" si="633"/>
        <v>0</v>
      </c>
      <c r="M389" s="150">
        <f t="shared" ca="1" si="633"/>
        <v>0</v>
      </c>
      <c r="N389" s="150">
        <f t="shared" ca="1" si="633"/>
        <v>0</v>
      </c>
      <c r="O389" s="150">
        <f t="shared" ca="1" si="633"/>
        <v>0</v>
      </c>
      <c r="P389" s="150">
        <f t="shared" ca="1" si="633"/>
        <v>0</v>
      </c>
      <c r="Q389" s="150">
        <f t="shared" ca="1" si="633"/>
        <v>0</v>
      </c>
      <c r="R389" s="150">
        <f t="shared" ca="1" si="633"/>
        <v>0</v>
      </c>
      <c r="S389" s="150">
        <f t="shared" ca="1" si="633"/>
        <v>0</v>
      </c>
      <c r="T389" s="150">
        <f t="shared" ca="1" si="633"/>
        <v>0</v>
      </c>
      <c r="U389" s="150">
        <f t="shared" ca="1" si="633"/>
        <v>0</v>
      </c>
      <c r="V389" s="150">
        <f t="shared" ca="1" si="633"/>
        <v>0</v>
      </c>
      <c r="W389" s="150">
        <f t="shared" ca="1" si="633"/>
        <v>0</v>
      </c>
      <c r="X389" s="150">
        <f t="shared" ca="1" si="633"/>
        <v>0</v>
      </c>
      <c r="Y389" s="150">
        <f t="shared" ca="1" si="633"/>
        <v>0</v>
      </c>
      <c r="Z389" s="150">
        <f t="shared" ca="1" si="633"/>
        <v>0</v>
      </c>
    </row>
    <row r="390" spans="2:26" x14ac:dyDescent="0.2">
      <c r="B390" s="32" t="s">
        <v>248</v>
      </c>
      <c r="D390" s="47">
        <f t="shared" ca="1" si="632"/>
        <v>205784066.13050172</v>
      </c>
      <c r="E390" s="47"/>
      <c r="F390" s="150">
        <f ca="1">IF(F357&lt;='Assumptions and Sensis'!$F$51,F321,0)</f>
        <v>0</v>
      </c>
      <c r="G390" s="150">
        <f ca="1">IF(G357&lt;='Assumptions and Sensis'!$F$51,G321,0)</f>
        <v>0</v>
      </c>
      <c r="H390" s="150">
        <f ca="1">IF(H357&lt;='Assumptions and Sensis'!$F$51,H321,0)</f>
        <v>0</v>
      </c>
      <c r="I390" s="150">
        <f ca="1">IF(I357&lt;='Assumptions and Sensis'!$F$51,I321,0)</f>
        <v>12156531.919531263</v>
      </c>
      <c r="J390" s="150">
        <f ca="1">IF(J357&lt;='Assumptions and Sensis'!$F$51,J321,0)</f>
        <v>25299756.984119631</v>
      </c>
      <c r="K390" s="150">
        <f ca="1">IF(K357&lt;='Assumptions and Sensis'!$F$51,K321,0)</f>
        <v>25918223.302751362</v>
      </c>
      <c r="L390" s="150">
        <f ca="1">IF(L357&lt;='Assumptions and Sensis'!$F$51,L321,0)</f>
        <v>27699751.454203915</v>
      </c>
      <c r="M390" s="150">
        <f ca="1">IF(M357&lt;='Assumptions and Sensis'!$F$51,M321,0)</f>
        <v>28026377.681195293</v>
      </c>
      <c r="N390" s="150">
        <f ca="1">IF(N357&lt;='Assumptions and Sensis'!$F$51,N321,0)</f>
        <v>28470939.905564785</v>
      </c>
      <c r="O390" s="150">
        <f ca="1">IF(O357&lt;='Assumptions and Sensis'!$F$51,O321,0)</f>
        <v>28926898.728953872</v>
      </c>
      <c r="P390" s="150">
        <f ca="1">IF(P357&lt;='Assumptions and Sensis'!$F$51,P321,0)</f>
        <v>29285586.154181607</v>
      </c>
      <c r="Q390" s="150">
        <f>IF(Q357&lt;='Assumptions and Sensis'!$F$51,Q321,0)</f>
        <v>0</v>
      </c>
      <c r="R390" s="150">
        <f>IF(R357&lt;='Assumptions and Sensis'!$F$51,R321,0)</f>
        <v>0</v>
      </c>
      <c r="S390" s="150">
        <f>IF(S357&lt;='Assumptions and Sensis'!$F$51,S321,0)</f>
        <v>0</v>
      </c>
      <c r="T390" s="150">
        <f>IF(T357&lt;='Assumptions and Sensis'!$F$51,T321,0)</f>
        <v>0</v>
      </c>
      <c r="U390" s="150">
        <f>IF(U357&lt;='Assumptions and Sensis'!$F$51,U321,0)</f>
        <v>0</v>
      </c>
      <c r="V390" s="150">
        <f>IF(V357&lt;='Assumptions and Sensis'!$F$51,V321,0)</f>
        <v>0</v>
      </c>
      <c r="W390" s="150">
        <f>IF(W357&lt;='Assumptions and Sensis'!$F$51,W321,0)</f>
        <v>0</v>
      </c>
      <c r="X390" s="150">
        <f>IF(X357&lt;='Assumptions and Sensis'!$F$51,X321,0)</f>
        <v>0</v>
      </c>
      <c r="Y390" s="150">
        <f>IF(Y357&lt;='Assumptions and Sensis'!$F$51,Y321,0)</f>
        <v>0</v>
      </c>
      <c r="Z390" s="150">
        <f>IF(Z357&lt;='Assumptions and Sensis'!$F$51,Z321,0)</f>
        <v>0</v>
      </c>
    </row>
    <row r="391" spans="2:26" x14ac:dyDescent="0.2">
      <c r="B391" s="32" t="s">
        <v>410</v>
      </c>
      <c r="D391" s="47">
        <f t="shared" ca="1" si="632"/>
        <v>-81385351.969348162</v>
      </c>
      <c r="E391" s="47"/>
      <c r="F391" s="150">
        <f>-IF(AND(F357&gt;'Assumptions and Sensis'!$F$47,F357&lt;='Assumptions and Sensis'!$F$51),Budget!$H$82*'Assumptions and Sensis'!$M$229/'Assumptions and Sensis'!$M$228,0)</f>
        <v>0</v>
      </c>
      <c r="G391" s="150">
        <f>-IF(AND(G357&gt;'Assumptions and Sensis'!$F$47,G357&lt;='Assumptions and Sensis'!$F$51),Budget!$H$82*'Assumptions and Sensis'!$M$229/'Assumptions and Sensis'!$M$228,0)</f>
        <v>0</v>
      </c>
      <c r="H391" s="150">
        <f>-IF(AND(H357&gt;'Assumptions and Sensis'!$F$47,H357&lt;='Assumptions and Sensis'!$F$51),Budget!$H$82*'Assumptions and Sensis'!$M$229/'Assumptions and Sensis'!$M$228,0)</f>
        <v>0</v>
      </c>
      <c r="I391" s="150">
        <f>-IF(AND(I357&gt;'Assumptions and Sensis'!$F$47,I357&lt;='Assumptions and Sensis'!$F$51),Budget!$H$82*'Assumptions and Sensis'!$M$229/'Assumptions and Sensis'!$M$228,0)</f>
        <v>0</v>
      </c>
      <c r="J391" s="150">
        <f ca="1">-IF(AND(J357&gt;'Assumptions and Sensis'!$F$47,J357&lt;='Assumptions and Sensis'!$F$51),Budget!$H$82*'Assumptions and Sensis'!$M$229/'Assumptions and Sensis'!$M$228,0)</f>
        <v>-11626478.852764023</v>
      </c>
      <c r="K391" s="150">
        <f ca="1">-IF(AND(K357&gt;'Assumptions and Sensis'!$F$47,K357&lt;='Assumptions and Sensis'!$F$51),Budget!$H$82*'Assumptions and Sensis'!$M$229/'Assumptions and Sensis'!$M$228,0)</f>
        <v>-11626478.852764023</v>
      </c>
      <c r="L391" s="150">
        <f ca="1">-IF(AND(L357&gt;'Assumptions and Sensis'!$F$47,L357&lt;='Assumptions and Sensis'!$F$51),Budget!$H$82*'Assumptions and Sensis'!$M$229/'Assumptions and Sensis'!$M$228,0)</f>
        <v>-11626478.852764023</v>
      </c>
      <c r="M391" s="150">
        <f ca="1">-IF(AND(M357&gt;'Assumptions and Sensis'!$F$47,M357&lt;='Assumptions and Sensis'!$F$51),Budget!$H$82*'Assumptions and Sensis'!$M$229/'Assumptions and Sensis'!$M$228,0)</f>
        <v>-11626478.852764023</v>
      </c>
      <c r="N391" s="150">
        <f ca="1">-IF(AND(N357&gt;'Assumptions and Sensis'!$F$47,N357&lt;='Assumptions and Sensis'!$F$51),Budget!$H$82*'Assumptions and Sensis'!$M$229/'Assumptions and Sensis'!$M$228,0)</f>
        <v>-11626478.852764023</v>
      </c>
      <c r="O391" s="150">
        <f ca="1">-IF(AND(O357&gt;'Assumptions and Sensis'!$F$47,O357&lt;='Assumptions and Sensis'!$F$51),Budget!$H$82*'Assumptions and Sensis'!$M$229/'Assumptions and Sensis'!$M$228,0)</f>
        <v>-11626478.852764023</v>
      </c>
      <c r="P391" s="150">
        <f ca="1">-IF(AND(P357&gt;'Assumptions and Sensis'!$F$47,P357&lt;='Assumptions and Sensis'!$F$51),Budget!$H$82*'Assumptions and Sensis'!$M$229/'Assumptions and Sensis'!$M$228,0)</f>
        <v>-11626478.852764023</v>
      </c>
      <c r="Q391" s="150">
        <f>-IF(AND(Q357&gt;'Assumptions and Sensis'!$F$47,Q357&lt;='Assumptions and Sensis'!$F$51),Budget!$H$82*'Assumptions and Sensis'!$M$229/'Assumptions and Sensis'!$M$228,0)</f>
        <v>0</v>
      </c>
      <c r="R391" s="150">
        <f>-IF(AND(R357&gt;'Assumptions and Sensis'!$F$47,R357&lt;='Assumptions and Sensis'!$F$51),Budget!$H$82*'Assumptions and Sensis'!$M$229/'Assumptions and Sensis'!$M$228,0)</f>
        <v>0</v>
      </c>
      <c r="S391" s="150">
        <f>-IF(AND(S357&gt;'Assumptions and Sensis'!$F$47,S357&lt;='Assumptions and Sensis'!$F$51),Budget!$H$82*'Assumptions and Sensis'!$M$229/'Assumptions and Sensis'!$M$228,0)</f>
        <v>0</v>
      </c>
      <c r="T391" s="150">
        <f>-IF(AND(T357&gt;'Assumptions and Sensis'!$F$47,T357&lt;='Assumptions and Sensis'!$F$51),Budget!$H$82*'Assumptions and Sensis'!$M$229/'Assumptions and Sensis'!$M$228,0)</f>
        <v>0</v>
      </c>
      <c r="U391" s="150">
        <f>-IF(AND(U357&gt;'Assumptions and Sensis'!$F$47,U357&lt;='Assumptions and Sensis'!$F$51),Budget!$H$82*'Assumptions and Sensis'!$M$229/'Assumptions and Sensis'!$M$228,0)</f>
        <v>0</v>
      </c>
      <c r="V391" s="150">
        <f>-IF(AND(V357&gt;'Assumptions and Sensis'!$F$47,V357&lt;='Assumptions and Sensis'!$F$51),Budget!$H$82*'Assumptions and Sensis'!$M$229/'Assumptions and Sensis'!$M$228,0)</f>
        <v>0</v>
      </c>
      <c r="W391" s="150">
        <f>-IF(AND(W357&gt;'Assumptions and Sensis'!$F$47,W357&lt;='Assumptions and Sensis'!$F$51),Budget!$H$82*'Assumptions and Sensis'!$M$229/'Assumptions and Sensis'!$M$228,0)</f>
        <v>0</v>
      </c>
      <c r="X391" s="150">
        <f>-IF(AND(X357&gt;'Assumptions and Sensis'!$F$47,X357&lt;='Assumptions and Sensis'!$F$51),Budget!$H$82*'Assumptions and Sensis'!$M$229/'Assumptions and Sensis'!$M$228,0)</f>
        <v>0</v>
      </c>
      <c r="Y391" s="150">
        <f>-IF(AND(Y357&gt;'Assumptions and Sensis'!$F$47,Y357&lt;='Assumptions and Sensis'!$F$51),Budget!$H$82*'Assumptions and Sensis'!$M$229/'Assumptions and Sensis'!$M$228,0)</f>
        <v>0</v>
      </c>
      <c r="Z391" s="150">
        <f>-IF(AND(Z357&gt;'Assumptions and Sensis'!$F$47,Z357&lt;='Assumptions and Sensis'!$F$51),Budget!$H$82*'Assumptions and Sensis'!$M$229/'Assumptions and Sensis'!$M$228,0)</f>
        <v>0</v>
      </c>
    </row>
    <row r="392" spans="2:26" x14ac:dyDescent="0.2">
      <c r="B392" s="32" t="s">
        <v>401</v>
      </c>
      <c r="D392" s="47">
        <f t="shared" ca="1" si="632"/>
        <v>-205784066.13050172</v>
      </c>
      <c r="E392" s="47"/>
      <c r="F392" s="150">
        <f ca="1">-F364</f>
        <v>0</v>
      </c>
      <c r="G392" s="150">
        <f t="shared" ref="G392:Z392" ca="1" si="634">-G364</f>
        <v>0</v>
      </c>
      <c r="H392" s="150">
        <f t="shared" ca="1" si="634"/>
        <v>0</v>
      </c>
      <c r="I392" s="150">
        <f t="shared" ca="1" si="634"/>
        <v>-12156531.919531263</v>
      </c>
      <c r="J392" s="150">
        <f t="shared" ca="1" si="634"/>
        <v>-25299756.984119631</v>
      </c>
      <c r="K392" s="150">
        <f t="shared" ca="1" si="634"/>
        <v>-25918223.302751362</v>
      </c>
      <c r="L392" s="150">
        <f t="shared" ca="1" si="634"/>
        <v>-27699751.454203915</v>
      </c>
      <c r="M392" s="150">
        <f t="shared" ca="1" si="634"/>
        <v>-28026377.681195293</v>
      </c>
      <c r="N392" s="150">
        <f t="shared" ca="1" si="634"/>
        <v>-28470939.905564785</v>
      </c>
      <c r="O392" s="150">
        <f t="shared" ca="1" si="634"/>
        <v>-28926898.728953872</v>
      </c>
      <c r="P392" s="150">
        <f t="shared" ca="1" si="634"/>
        <v>-29285586.154181607</v>
      </c>
      <c r="Q392" s="150">
        <f t="shared" si="634"/>
        <v>0</v>
      </c>
      <c r="R392" s="150">
        <f t="shared" si="634"/>
        <v>0</v>
      </c>
      <c r="S392" s="150">
        <f t="shared" si="634"/>
        <v>0</v>
      </c>
      <c r="T392" s="150">
        <f t="shared" si="634"/>
        <v>0</v>
      </c>
      <c r="U392" s="150">
        <f t="shared" si="634"/>
        <v>0</v>
      </c>
      <c r="V392" s="150">
        <f t="shared" si="634"/>
        <v>0</v>
      </c>
      <c r="W392" s="150">
        <f t="shared" si="634"/>
        <v>0</v>
      </c>
      <c r="X392" s="150">
        <f t="shared" si="634"/>
        <v>0</v>
      </c>
      <c r="Y392" s="150">
        <f t="shared" si="634"/>
        <v>0</v>
      </c>
      <c r="Z392" s="150">
        <f t="shared" si="634"/>
        <v>0</v>
      </c>
    </row>
    <row r="393" spans="2:26" x14ac:dyDescent="0.2">
      <c r="B393" s="32" t="s">
        <v>403</v>
      </c>
      <c r="D393" s="47">
        <f t="shared" ca="1" si="632"/>
        <v>-457714541.7062313</v>
      </c>
      <c r="E393" s="47"/>
      <c r="F393" s="150">
        <f t="shared" ref="F393:Z393" si="635">-F365</f>
        <v>0</v>
      </c>
      <c r="G393" s="150">
        <f t="shared" si="635"/>
        <v>0</v>
      </c>
      <c r="H393" s="150">
        <f t="shared" si="635"/>
        <v>0</v>
      </c>
      <c r="I393" s="150">
        <f t="shared" si="635"/>
        <v>0</v>
      </c>
      <c r="J393" s="150">
        <f t="shared" si="635"/>
        <v>0</v>
      </c>
      <c r="K393" s="150">
        <f t="shared" si="635"/>
        <v>0</v>
      </c>
      <c r="L393" s="150">
        <f t="shared" si="635"/>
        <v>0</v>
      </c>
      <c r="M393" s="150">
        <f t="shared" si="635"/>
        <v>0</v>
      </c>
      <c r="N393" s="150">
        <f t="shared" si="635"/>
        <v>0</v>
      </c>
      <c r="O393" s="150">
        <f t="shared" si="635"/>
        <v>0</v>
      </c>
      <c r="P393" s="150">
        <f t="shared" ca="1" si="635"/>
        <v>-457714541.7062313</v>
      </c>
      <c r="Q393" s="150">
        <f t="shared" si="635"/>
        <v>0</v>
      </c>
      <c r="R393" s="150">
        <f t="shared" si="635"/>
        <v>0</v>
      </c>
      <c r="S393" s="150">
        <f t="shared" si="635"/>
        <v>0</v>
      </c>
      <c r="T393" s="150">
        <f t="shared" si="635"/>
        <v>0</v>
      </c>
      <c r="U393" s="150">
        <f t="shared" si="635"/>
        <v>0</v>
      </c>
      <c r="V393" s="150">
        <f t="shared" si="635"/>
        <v>0</v>
      </c>
      <c r="W393" s="150">
        <f t="shared" si="635"/>
        <v>0</v>
      </c>
      <c r="X393" s="150">
        <f t="shared" si="635"/>
        <v>0</v>
      </c>
      <c r="Y393" s="150">
        <f t="shared" si="635"/>
        <v>0</v>
      </c>
      <c r="Z393" s="150">
        <f t="shared" si="635"/>
        <v>0</v>
      </c>
    </row>
    <row r="394" spans="2:26" x14ac:dyDescent="0.2">
      <c r="B394" s="32" t="s">
        <v>414</v>
      </c>
      <c r="D394" s="47">
        <f t="shared" ca="1" si="632"/>
        <v>263304300.65618286</v>
      </c>
      <c r="E394" s="47"/>
      <c r="F394" s="150">
        <f>-IF(YEAR(F357)=YEAR('Assumptions and Sensis'!$F$51),SUM(F388:F393),0)</f>
        <v>0</v>
      </c>
      <c r="G394" s="150">
        <f>-IF(YEAR(G357)=YEAR('Assumptions and Sensis'!$F$51),SUM(G388:G393),0)</f>
        <v>0</v>
      </c>
      <c r="H394" s="150">
        <f>-IF(YEAR(H357)=YEAR('Assumptions and Sensis'!$F$51),SUM(H388:H393),0)</f>
        <v>0</v>
      </c>
      <c r="I394" s="150">
        <f>-IF(YEAR(I357)=YEAR('Assumptions and Sensis'!$F$51),SUM(I388:I393),0)</f>
        <v>0</v>
      </c>
      <c r="J394" s="150">
        <f>-IF(YEAR(J357)=YEAR('Assumptions and Sensis'!$F$51),SUM(J388:J393),0)</f>
        <v>0</v>
      </c>
      <c r="K394" s="150">
        <f>-IF(YEAR(K357)=YEAR('Assumptions and Sensis'!$F$51),SUM(K388:K393),0)</f>
        <v>0</v>
      </c>
      <c r="L394" s="150">
        <f>-IF(YEAR(L357)=YEAR('Assumptions and Sensis'!$F$51),SUM(L388:L393),0)</f>
        <v>0</v>
      </c>
      <c r="M394" s="150">
        <f>-IF(YEAR(M357)=YEAR('Assumptions and Sensis'!$F$51),SUM(M388:M393),0)</f>
        <v>0</v>
      </c>
      <c r="N394" s="150">
        <f>-IF(YEAR(N357)=YEAR('Assumptions and Sensis'!$F$51),SUM(N388:N393),0)</f>
        <v>0</v>
      </c>
      <c r="O394" s="150">
        <f>-IF(YEAR(O357)=YEAR('Assumptions and Sensis'!$F$51),SUM(O388:O393),0)</f>
        <v>0</v>
      </c>
      <c r="P394" s="150">
        <f ca="1">-IF(YEAR(P357)=YEAR('Assumptions and Sensis'!$F$51),SUM(P388:P393),0)</f>
        <v>263304300.65618286</v>
      </c>
      <c r="Q394" s="150">
        <f>-IF(YEAR(Q357)=YEAR('Assumptions and Sensis'!$F$51),SUM(Q388:Q393),0)</f>
        <v>0</v>
      </c>
      <c r="R394" s="150">
        <f>-IF(YEAR(R357)=YEAR('Assumptions and Sensis'!$F$51),SUM(R388:R393),0)</f>
        <v>0</v>
      </c>
      <c r="S394" s="150">
        <f>-IF(YEAR(S357)=YEAR('Assumptions and Sensis'!$F$51),SUM(S388:S393),0)</f>
        <v>0</v>
      </c>
      <c r="T394" s="150">
        <f>-IF(YEAR(T357)=YEAR('Assumptions and Sensis'!$F$51),SUM(T388:T393),0)</f>
        <v>0</v>
      </c>
      <c r="U394" s="150">
        <f>-IF(YEAR(U357)=YEAR('Assumptions and Sensis'!$F$51),SUM(U388:U393),0)</f>
        <v>0</v>
      </c>
      <c r="V394" s="150">
        <f>-IF(YEAR(V357)=YEAR('Assumptions and Sensis'!$F$51),SUM(V388:V393),0)</f>
        <v>0</v>
      </c>
      <c r="W394" s="150">
        <f>-IF(YEAR(W357)=YEAR('Assumptions and Sensis'!$F$51),SUM(W388:W393),0)</f>
        <v>0</v>
      </c>
      <c r="X394" s="150">
        <f>-IF(YEAR(X357)=YEAR('Assumptions and Sensis'!$F$51),SUM(X388:X393),0)</f>
        <v>0</v>
      </c>
      <c r="Y394" s="150">
        <f>-IF(YEAR(Y357)=YEAR('Assumptions and Sensis'!$F$51),SUM(Y388:Y393),0)</f>
        <v>0</v>
      </c>
      <c r="Z394" s="150">
        <f>-IF(YEAR(Z357)=YEAR('Assumptions and Sensis'!$F$51),SUM(Z388:Z393),0)</f>
        <v>0</v>
      </c>
    </row>
    <row r="395" spans="2:26" x14ac:dyDescent="0.2">
      <c r="B395" s="136" t="s">
        <v>402</v>
      </c>
      <c r="C395" s="136"/>
      <c r="D395" s="35">
        <f t="shared" ref="D395" ca="1" si="636">+SUM(F395:Z395)</f>
        <v>2222353685.7889347</v>
      </c>
      <c r="E395" s="128"/>
      <c r="F395" s="128">
        <f ca="1">+SUM(F388:F394)</f>
        <v>51505114.619219258</v>
      </c>
      <c r="G395" s="128">
        <f t="shared" ref="G395:Z395" ca="1" si="637">+SUM(G388:G394)</f>
        <v>208639882.92258781</v>
      </c>
      <c r="H395" s="128">
        <f t="shared" ca="1" si="637"/>
        <v>275795593.01939642</v>
      </c>
      <c r="I395" s="128">
        <f t="shared" ca="1" si="637"/>
        <v>275795593.01939642</v>
      </c>
      <c r="J395" s="128">
        <f t="shared" ca="1" si="637"/>
        <v>264169114.16663244</v>
      </c>
      <c r="K395" s="128">
        <f t="shared" ca="1" si="637"/>
        <v>252542635.31386846</v>
      </c>
      <c r="L395" s="128">
        <f t="shared" ca="1" si="637"/>
        <v>240916156.46110445</v>
      </c>
      <c r="M395" s="128">
        <f t="shared" ca="1" si="637"/>
        <v>229289677.60834047</v>
      </c>
      <c r="N395" s="128">
        <f t="shared" ca="1" si="637"/>
        <v>217663198.75557646</v>
      </c>
      <c r="O395" s="128">
        <f t="shared" ca="1" si="637"/>
        <v>206036719.90281245</v>
      </c>
      <c r="P395" s="128">
        <f t="shared" ca="1" si="637"/>
        <v>0</v>
      </c>
      <c r="Q395" s="128">
        <f t="shared" ca="1" si="637"/>
        <v>0</v>
      </c>
      <c r="R395" s="128">
        <f t="shared" ca="1" si="637"/>
        <v>0</v>
      </c>
      <c r="S395" s="128">
        <f t="shared" ca="1" si="637"/>
        <v>0</v>
      </c>
      <c r="T395" s="128">
        <f t="shared" ca="1" si="637"/>
        <v>0</v>
      </c>
      <c r="U395" s="128">
        <f t="shared" ca="1" si="637"/>
        <v>0</v>
      </c>
      <c r="V395" s="128">
        <f t="shared" ca="1" si="637"/>
        <v>0</v>
      </c>
      <c r="W395" s="128">
        <f t="shared" ca="1" si="637"/>
        <v>0</v>
      </c>
      <c r="X395" s="128">
        <f t="shared" ca="1" si="637"/>
        <v>0</v>
      </c>
      <c r="Y395" s="128">
        <f t="shared" ca="1" si="637"/>
        <v>0</v>
      </c>
      <c r="Z395" s="128">
        <f t="shared" ca="1" si="637"/>
        <v>0</v>
      </c>
    </row>
    <row r="397" spans="2:26" x14ac:dyDescent="0.2">
      <c r="B397" s="36" t="s">
        <v>636</v>
      </c>
      <c r="C397" s="37"/>
      <c r="D397" s="37"/>
      <c r="E397" s="37"/>
      <c r="F397" s="135">
        <f>+F357</f>
        <v>44196</v>
      </c>
      <c r="G397" s="135">
        <f t="shared" ref="G397:Z397" si="638">+G357</f>
        <v>44561</v>
      </c>
      <c r="H397" s="135">
        <f t="shared" si="638"/>
        <v>44926</v>
      </c>
      <c r="I397" s="135">
        <f t="shared" si="638"/>
        <v>45291</v>
      </c>
      <c r="J397" s="135">
        <f t="shared" si="638"/>
        <v>45657</v>
      </c>
      <c r="K397" s="135">
        <f t="shared" si="638"/>
        <v>46022</v>
      </c>
      <c r="L397" s="135">
        <f t="shared" si="638"/>
        <v>46387</v>
      </c>
      <c r="M397" s="135">
        <f t="shared" si="638"/>
        <v>46752</v>
      </c>
      <c r="N397" s="135">
        <f t="shared" si="638"/>
        <v>47118</v>
      </c>
      <c r="O397" s="135">
        <f t="shared" si="638"/>
        <v>47483</v>
      </c>
      <c r="P397" s="135">
        <f t="shared" si="638"/>
        <v>47848</v>
      </c>
      <c r="Q397" s="135">
        <f t="shared" si="638"/>
        <v>48213</v>
      </c>
      <c r="R397" s="135">
        <f t="shared" si="638"/>
        <v>48579</v>
      </c>
      <c r="S397" s="135">
        <f t="shared" si="638"/>
        <v>48944</v>
      </c>
      <c r="T397" s="135">
        <f t="shared" si="638"/>
        <v>49309</v>
      </c>
      <c r="U397" s="135">
        <f t="shared" si="638"/>
        <v>49674</v>
      </c>
      <c r="V397" s="135">
        <f t="shared" si="638"/>
        <v>50040</v>
      </c>
      <c r="W397" s="135">
        <f t="shared" si="638"/>
        <v>50405</v>
      </c>
      <c r="X397" s="135">
        <f t="shared" si="638"/>
        <v>50770</v>
      </c>
      <c r="Y397" s="135">
        <f t="shared" si="638"/>
        <v>51135</v>
      </c>
      <c r="Z397" s="135">
        <f t="shared" si="638"/>
        <v>51501</v>
      </c>
    </row>
    <row r="398" spans="2:26" x14ac:dyDescent="0.2">
      <c r="B398" s="118"/>
    </row>
    <row r="399" spans="2:26" x14ac:dyDescent="0.2">
      <c r="B399" s="147" t="s">
        <v>646</v>
      </c>
      <c r="F399" s="147">
        <v>0</v>
      </c>
      <c r="G399" s="147">
        <f>+F399+1</f>
        <v>1</v>
      </c>
      <c r="H399" s="147">
        <f t="shared" ref="H399" si="639">+G399+1</f>
        <v>2</v>
      </c>
      <c r="I399" s="147">
        <f t="shared" ref="I399" si="640">+H399+1</f>
        <v>3</v>
      </c>
      <c r="J399" s="147">
        <f t="shared" ref="J399" si="641">+I399+1</f>
        <v>4</v>
      </c>
      <c r="K399" s="147">
        <f t="shared" ref="K399" si="642">+J399+1</f>
        <v>5</v>
      </c>
      <c r="L399" s="147">
        <f t="shared" ref="L399" si="643">+K399+1</f>
        <v>6</v>
      </c>
      <c r="M399" s="147">
        <f t="shared" ref="M399" si="644">+L399+1</f>
        <v>7</v>
      </c>
      <c r="N399" s="147">
        <f t="shared" ref="N399" si="645">+M399+1</f>
        <v>8</v>
      </c>
      <c r="O399" s="147">
        <f t="shared" ref="O399" si="646">+N399+1</f>
        <v>9</v>
      </c>
      <c r="P399" s="147">
        <f t="shared" ref="P399" si="647">+O399+1</f>
        <v>10</v>
      </c>
      <c r="Q399" s="147">
        <f t="shared" ref="Q399" si="648">+P399+1</f>
        <v>11</v>
      </c>
      <c r="R399" s="147">
        <f t="shared" ref="R399" si="649">+Q399+1</f>
        <v>12</v>
      </c>
      <c r="S399" s="147">
        <f t="shared" ref="S399" si="650">+R399+1</f>
        <v>13</v>
      </c>
      <c r="T399" s="147">
        <f t="shared" ref="T399" si="651">+S399+1</f>
        <v>14</v>
      </c>
      <c r="U399" s="147">
        <f t="shared" ref="U399" si="652">+T399+1</f>
        <v>15</v>
      </c>
      <c r="V399" s="147">
        <f t="shared" ref="V399" si="653">+U399+1</f>
        <v>16</v>
      </c>
      <c r="W399" s="147">
        <f t="shared" ref="W399" si="654">+V399+1</f>
        <v>17</v>
      </c>
      <c r="X399" s="147">
        <f t="shared" ref="X399" si="655">+W399+1</f>
        <v>18</v>
      </c>
      <c r="Y399" s="147">
        <f t="shared" ref="Y399" si="656">+X399+1</f>
        <v>19</v>
      </c>
      <c r="Z399" s="147">
        <f t="shared" ref="Z399" si="657">+Y399+1</f>
        <v>20</v>
      </c>
    </row>
    <row r="400" spans="2:26" x14ac:dyDescent="0.2">
      <c r="B400" s="32" t="s">
        <v>398</v>
      </c>
      <c r="D400" s="47"/>
      <c r="E400" s="47"/>
      <c r="F400" s="33">
        <f ca="1">+F$307</f>
        <v>-51505114.619219258</v>
      </c>
      <c r="G400" s="33">
        <f t="shared" ref="G400:Z400" ca="1" si="658">+G$307</f>
        <v>-12660104.707049951</v>
      </c>
      <c r="H400" s="33">
        <f t="shared" ca="1" si="658"/>
        <v>0</v>
      </c>
      <c r="I400" s="33">
        <f t="shared" ca="1" si="658"/>
        <v>0</v>
      </c>
      <c r="J400" s="33">
        <f t="shared" ca="1" si="658"/>
        <v>0</v>
      </c>
      <c r="K400" s="33">
        <f t="shared" ca="1" si="658"/>
        <v>0</v>
      </c>
      <c r="L400" s="33">
        <f t="shared" ca="1" si="658"/>
        <v>0</v>
      </c>
      <c r="M400" s="33">
        <f t="shared" ca="1" si="658"/>
        <v>0</v>
      </c>
      <c r="N400" s="33">
        <f t="shared" ca="1" si="658"/>
        <v>0</v>
      </c>
      <c r="O400" s="33">
        <f t="shared" ca="1" si="658"/>
        <v>0</v>
      </c>
      <c r="P400" s="33">
        <f t="shared" ca="1" si="658"/>
        <v>0</v>
      </c>
      <c r="Q400" s="33">
        <f t="shared" ca="1" si="658"/>
        <v>0</v>
      </c>
      <c r="R400" s="33">
        <f t="shared" ca="1" si="658"/>
        <v>0</v>
      </c>
      <c r="S400" s="33">
        <f t="shared" ca="1" si="658"/>
        <v>0</v>
      </c>
      <c r="T400" s="33">
        <f t="shared" ca="1" si="658"/>
        <v>0</v>
      </c>
      <c r="U400" s="33">
        <f t="shared" ca="1" si="658"/>
        <v>0</v>
      </c>
      <c r="V400" s="33">
        <f t="shared" ca="1" si="658"/>
        <v>0</v>
      </c>
      <c r="W400" s="33">
        <f t="shared" ca="1" si="658"/>
        <v>0</v>
      </c>
      <c r="X400" s="33">
        <f t="shared" ca="1" si="658"/>
        <v>0</v>
      </c>
      <c r="Y400" s="33">
        <f t="shared" ca="1" si="658"/>
        <v>0</v>
      </c>
      <c r="Z400" s="33">
        <f t="shared" ca="1" si="658"/>
        <v>0</v>
      </c>
    </row>
    <row r="401" spans="2:26" x14ac:dyDescent="0.2">
      <c r="B401" s="32" t="s">
        <v>416</v>
      </c>
      <c r="D401" s="47"/>
      <c r="E401" s="47"/>
      <c r="F401" s="150">
        <v>0</v>
      </c>
      <c r="G401" s="150">
        <v>0</v>
      </c>
      <c r="H401" s="150">
        <v>0</v>
      </c>
      <c r="I401" s="150">
        <v>0</v>
      </c>
      <c r="J401" s="150">
        <v>0</v>
      </c>
      <c r="K401" s="150">
        <v>0</v>
      </c>
      <c r="L401" s="150">
        <v>0</v>
      </c>
      <c r="M401" s="150">
        <v>0</v>
      </c>
      <c r="N401" s="150">
        <v>0</v>
      </c>
      <c r="O401" s="150">
        <v>0</v>
      </c>
      <c r="P401" s="150">
        <v>0</v>
      </c>
      <c r="Q401" s="150">
        <v>0</v>
      </c>
      <c r="R401" s="150">
        <v>0</v>
      </c>
      <c r="S401" s="150">
        <v>0</v>
      </c>
      <c r="T401" s="150">
        <v>0</v>
      </c>
      <c r="U401" s="150">
        <v>0</v>
      </c>
      <c r="V401" s="150">
        <v>0</v>
      </c>
      <c r="W401" s="150">
        <v>0</v>
      </c>
      <c r="X401" s="150">
        <v>0</v>
      </c>
      <c r="Y401" s="150">
        <v>0</v>
      </c>
      <c r="Z401" s="150">
        <v>0</v>
      </c>
    </row>
    <row r="402" spans="2:26" x14ac:dyDescent="0.2">
      <c r="B402" s="32" t="s">
        <v>417</v>
      </c>
      <c r="D402" s="47"/>
      <c r="E402" s="47"/>
      <c r="F402" s="150">
        <v>0</v>
      </c>
      <c r="G402" s="150">
        <v>0</v>
      </c>
      <c r="H402" s="150">
        <v>0</v>
      </c>
      <c r="I402" s="150">
        <v>0</v>
      </c>
      <c r="J402" s="150">
        <v>0</v>
      </c>
      <c r="K402" s="150">
        <v>0</v>
      </c>
      <c r="L402" s="150">
        <v>0</v>
      </c>
      <c r="M402" s="150">
        <v>0</v>
      </c>
      <c r="N402" s="150">
        <v>0</v>
      </c>
      <c r="O402" s="150">
        <v>0</v>
      </c>
      <c r="P402" s="150">
        <v>0</v>
      </c>
      <c r="Q402" s="150">
        <v>0</v>
      </c>
      <c r="R402" s="150">
        <v>0</v>
      </c>
      <c r="S402" s="150">
        <v>0</v>
      </c>
      <c r="T402" s="150">
        <v>0</v>
      </c>
      <c r="U402" s="150">
        <v>0</v>
      </c>
      <c r="V402" s="150">
        <v>0</v>
      </c>
      <c r="W402" s="150">
        <v>0</v>
      </c>
      <c r="X402" s="150">
        <v>0</v>
      </c>
      <c r="Y402" s="150">
        <v>0</v>
      </c>
      <c r="Z402" s="150">
        <v>0</v>
      </c>
    </row>
    <row r="403" spans="2:26" x14ac:dyDescent="0.2">
      <c r="B403" s="32" t="s">
        <v>641</v>
      </c>
      <c r="D403" s="47"/>
      <c r="E403" s="47"/>
      <c r="F403" s="150">
        <f ca="1">-SUM(F430:F431)*'Assumptions and Sensis'!$M$227</f>
        <v>0</v>
      </c>
      <c r="G403" s="150">
        <f ca="1">-SUM(G430:G431)*'Assumptions and Sensis'!$M$227</f>
        <v>0</v>
      </c>
      <c r="H403" s="150">
        <f ca="1">-SUM(H430:H431)*'Assumptions and Sensis'!$M$227</f>
        <v>0</v>
      </c>
      <c r="I403" s="150">
        <f ca="1">-SUM(I430:I431)*'Assumptions and Sensis'!$M$227</f>
        <v>1133140.576415865</v>
      </c>
      <c r="J403" s="150">
        <f ca="1">-SUM(J430:J431)*'Assumptions and Sensis'!$M$227</f>
        <v>780919.49296806566</v>
      </c>
      <c r="K403" s="150">
        <f ca="1">-SUM(K430:K431)*'Assumptions and Sensis'!$M$227</f>
        <v>615146.40245800954</v>
      </c>
      <c r="L403" s="150">
        <f ca="1">-SUM(L430:L431)*'Assumptions and Sensis'!$M$227</f>
        <v>202797.1414217503</v>
      </c>
      <c r="M403" s="150">
        <f ca="1">-SUM(M430:M431)*'Assumptions and Sensis'!$M$227</f>
        <v>93492.441822308479</v>
      </c>
      <c r="N403" s="150">
        <f ca="1">-SUM(N430:N431)*'Assumptions and Sensis'!$M$227</f>
        <v>-43225.174702068864</v>
      </c>
      <c r="O403" s="150">
        <f ca="1">-SUM(O430:O431)*'Assumptions and Sensis'!$M$227</f>
        <v>-185154.44773200172</v>
      </c>
      <c r="P403" s="150">
        <f ca="1">-SUM(P430:P431)*'Assumptions and Sensis'!$M$227</f>
        <v>-309658.29195573507</v>
      </c>
      <c r="Q403" s="150">
        <f>-SUM(Q430:Q431)*'Assumptions and Sensis'!$M$227</f>
        <v>0</v>
      </c>
      <c r="R403" s="150">
        <f>-SUM(R430:R431)*'Assumptions and Sensis'!$M$227</f>
        <v>0</v>
      </c>
      <c r="S403" s="150">
        <f>-SUM(S430:S431)*'Assumptions and Sensis'!$M$227</f>
        <v>0</v>
      </c>
      <c r="T403" s="150">
        <f>-SUM(T430:T431)*'Assumptions and Sensis'!$M$227</f>
        <v>0</v>
      </c>
      <c r="U403" s="150">
        <f>-SUM(U430:U431)*'Assumptions and Sensis'!$M$227</f>
        <v>0</v>
      </c>
      <c r="V403" s="150">
        <f>-SUM(V430:V431)*'Assumptions and Sensis'!$M$227</f>
        <v>0</v>
      </c>
      <c r="W403" s="150">
        <f>-SUM(W430:W431)*'Assumptions and Sensis'!$M$227</f>
        <v>0</v>
      </c>
      <c r="X403" s="150">
        <f>-SUM(X430:X431)*'Assumptions and Sensis'!$M$227</f>
        <v>0</v>
      </c>
      <c r="Y403" s="150">
        <f>-SUM(Y430:Y431)*'Assumptions and Sensis'!$M$227</f>
        <v>0</v>
      </c>
      <c r="Z403" s="150">
        <f>-SUM(Z430:Z431)*'Assumptions and Sensis'!$M$227</f>
        <v>0</v>
      </c>
    </row>
    <row r="404" spans="2:26" x14ac:dyDescent="0.2">
      <c r="B404" s="32" t="s">
        <v>643</v>
      </c>
      <c r="D404" s="47"/>
      <c r="E404" s="47"/>
      <c r="F404" s="150">
        <f ca="1">+IF(YEAR(F$140)&lt;=YEAR('Assumptions and Sensis'!$F$51),F267+F222+F152,0)</f>
        <v>0</v>
      </c>
      <c r="G404" s="150">
        <f ca="1">+IF(YEAR(G$140)&lt;=YEAR('Assumptions and Sensis'!$F$51),G267+G222+G152,0)</f>
        <v>0</v>
      </c>
      <c r="H404" s="150">
        <f ca="1">+IF(YEAR(H$140)&lt;=YEAR('Assumptions and Sensis'!$F$51),H267+H222+H152,0)</f>
        <v>0</v>
      </c>
      <c r="I404" s="150">
        <f ca="1">+IF(YEAR(I$140)&lt;=YEAR('Assumptions and Sensis'!$F$51),I267+I222+I152,0)</f>
        <v>-10079580.87596829</v>
      </c>
      <c r="J404" s="150">
        <f ca="1">+IF(YEAR(J$140)&lt;=YEAR('Assumptions and Sensis'!$F$51),J267+J222+J152,0)</f>
        <v>5278132.2857078519</v>
      </c>
      <c r="K404" s="150">
        <f ca="1">+IF(YEAR(K$140)&lt;=YEAR('Assumptions and Sensis'!$F$51),K267+K222+K152,0)</f>
        <v>5896598.6043395866</v>
      </c>
      <c r="L404" s="150">
        <f ca="1">+IF(YEAR(L$140)&lt;=YEAR('Assumptions and Sensis'!$F$51),L267+L222+L152,0)</f>
        <v>7678126.75579214</v>
      </c>
      <c r="M404" s="150">
        <f ca="1">+IF(YEAR(M$140)&lt;=YEAR('Assumptions and Sensis'!$F$51),M267+M222+M152,0)</f>
        <v>8004752.9827835169</v>
      </c>
      <c r="N404" s="150">
        <f ca="1">+IF(YEAR(N$140)&lt;=YEAR('Assumptions and Sensis'!$F$51),N267+N222+N152,0)</f>
        <v>8449315.2071530111</v>
      </c>
      <c r="O404" s="150">
        <f ca="1">+IF(YEAR(O$140)&lt;=YEAR('Assumptions and Sensis'!$F$51),O267+O222+O152,0)</f>
        <v>8905274.030542098</v>
      </c>
      <c r="P404" s="150">
        <f ca="1">+IF(YEAR(P$140)&lt;=YEAR('Assumptions and Sensis'!$F$51),P267+P222+P152,0)</f>
        <v>9263961.4557698313</v>
      </c>
      <c r="Q404" s="150">
        <f>+IF(YEAR(Q$140)&lt;=YEAR('Assumptions and Sensis'!$F$51),Q267+Q222+Q152,0)</f>
        <v>0</v>
      </c>
      <c r="R404" s="150">
        <f>+IF(YEAR(R$140)&lt;=YEAR('Assumptions and Sensis'!$F$51),R267+R222+R152,0)</f>
        <v>0</v>
      </c>
      <c r="S404" s="150">
        <f>+IF(YEAR(S$140)&lt;=YEAR('Assumptions and Sensis'!$F$51),S267+S222+S152,0)</f>
        <v>0</v>
      </c>
      <c r="T404" s="150">
        <f>+IF(YEAR(T$140)&lt;=YEAR('Assumptions and Sensis'!$F$51),T267+T222+T152,0)</f>
        <v>0</v>
      </c>
      <c r="U404" s="150">
        <f>+IF(YEAR(U$140)&lt;=YEAR('Assumptions and Sensis'!$F$51),U267+U222+U152,0)</f>
        <v>0</v>
      </c>
      <c r="V404" s="150">
        <f>+IF(YEAR(V$140)&lt;=YEAR('Assumptions and Sensis'!$F$51),V267+V222+V152,0)</f>
        <v>0</v>
      </c>
      <c r="W404" s="150">
        <f>+IF(YEAR(W$140)&lt;=YEAR('Assumptions and Sensis'!$F$51),W267+W222+W152,0)</f>
        <v>0</v>
      </c>
      <c r="X404" s="150">
        <f>+IF(YEAR(X$140)&lt;=YEAR('Assumptions and Sensis'!$F$51),X267+X222+X152,0)</f>
        <v>0</v>
      </c>
      <c r="Y404" s="150">
        <f>+IF(YEAR(Y$140)&lt;=YEAR('Assumptions and Sensis'!$F$51),Y267+Y222+Y152,0)</f>
        <v>0</v>
      </c>
      <c r="Z404" s="150">
        <f>+IF(YEAR(Z$140)&lt;=YEAR('Assumptions and Sensis'!$F$51),Z267+Z222+Z152,0)</f>
        <v>0</v>
      </c>
    </row>
    <row r="405" spans="2:26" x14ac:dyDescent="0.2">
      <c r="B405" s="32" t="s">
        <v>642</v>
      </c>
      <c r="D405" s="47"/>
      <c r="E405" s="47"/>
      <c r="F405" s="150">
        <f>-IF(YEAR(F$140)&lt;=YEAR('Assumptions and Sensis'!$F$51),F433,0)</f>
        <v>0</v>
      </c>
      <c r="G405" s="150">
        <f>-IF(YEAR(G$140)&lt;=YEAR('Assumptions and Sensis'!$F$51),G433,0)</f>
        <v>0</v>
      </c>
      <c r="H405" s="150">
        <f>-IF(YEAR(H$140)&lt;=YEAR('Assumptions and Sensis'!$F$51),H433,0)</f>
        <v>0</v>
      </c>
      <c r="I405" s="150">
        <f ca="1">-IF(YEAR(I$140)&lt;=YEAR('Assumptions and Sensis'!$F$51),I433,0)</f>
        <v>34971568.917374372</v>
      </c>
      <c r="J405" s="150">
        <f>-IF(YEAR(J$140)&lt;=YEAR('Assumptions and Sensis'!$F$51),J433,0)</f>
        <v>0</v>
      </c>
      <c r="K405" s="150">
        <f>-IF(YEAR(K$140)&lt;=YEAR('Assumptions and Sensis'!$F$51),K433,0)</f>
        <v>0</v>
      </c>
      <c r="L405" s="150">
        <f>-IF(YEAR(L$140)&lt;=YEAR('Assumptions and Sensis'!$F$51),L433,0)</f>
        <v>0</v>
      </c>
      <c r="M405" s="150">
        <f>-IF(YEAR(M$140)&lt;=YEAR('Assumptions and Sensis'!$F$51),M433,0)</f>
        <v>0</v>
      </c>
      <c r="N405" s="150">
        <f>-IF(YEAR(N$140)&lt;=YEAR('Assumptions and Sensis'!$F$51),N433,0)</f>
        <v>0</v>
      </c>
      <c r="O405" s="150">
        <f>-IF(YEAR(O$140)&lt;=YEAR('Assumptions and Sensis'!$F$51),O433,0)</f>
        <v>0</v>
      </c>
      <c r="P405" s="150">
        <f ca="1">-IF(YEAR(P$140)&lt;=YEAR('Assumptions and Sensis'!$F$51),P433,0)</f>
        <v>207828472.06390071</v>
      </c>
      <c r="Q405" s="150">
        <f>-IF(YEAR(Q$140)&lt;=YEAR('Assumptions and Sensis'!$F$51),Q433,0)</f>
        <v>0</v>
      </c>
      <c r="R405" s="150">
        <f>-IF(YEAR(R$140)&lt;=YEAR('Assumptions and Sensis'!$F$51),R433,0)</f>
        <v>0</v>
      </c>
      <c r="S405" s="150">
        <f>-IF(YEAR(S$140)&lt;=YEAR('Assumptions and Sensis'!$F$51),S433,0)</f>
        <v>0</v>
      </c>
      <c r="T405" s="150">
        <f>-IF(YEAR(T$140)&lt;=YEAR('Assumptions and Sensis'!$F$51),T433,0)</f>
        <v>0</v>
      </c>
      <c r="U405" s="150">
        <f>-IF(YEAR(U$140)&lt;=YEAR('Assumptions and Sensis'!$F$51),U433,0)</f>
        <v>0</v>
      </c>
      <c r="V405" s="150">
        <f>-IF(YEAR(V$140)&lt;=YEAR('Assumptions and Sensis'!$F$51),V433,0)</f>
        <v>0</v>
      </c>
      <c r="W405" s="150">
        <f>-IF(YEAR(W$140)&lt;=YEAR('Assumptions and Sensis'!$F$51),W433,0)</f>
        <v>0</v>
      </c>
      <c r="X405" s="150">
        <f>-IF(YEAR(X$140)&lt;=YEAR('Assumptions and Sensis'!$F$51),X433,0)</f>
        <v>0</v>
      </c>
      <c r="Y405" s="150">
        <f>-IF(YEAR(Y$140)&lt;=YEAR('Assumptions and Sensis'!$F$51),Y433,0)</f>
        <v>0</v>
      </c>
      <c r="Z405" s="150">
        <f>-IF(YEAR(Z$140)&lt;=YEAR('Assumptions and Sensis'!$F$51),Z433,0)</f>
        <v>0</v>
      </c>
    </row>
    <row r="406" spans="2:26" x14ac:dyDescent="0.2">
      <c r="B406" s="32" t="s">
        <v>415</v>
      </c>
      <c r="D406" s="47"/>
      <c r="E406" s="47"/>
      <c r="F406" s="150">
        <f>-F434*'Assumptions and Sensis'!$M$227</f>
        <v>0</v>
      </c>
      <c r="G406" s="150">
        <f>-G434*'Assumptions and Sensis'!$M$227</f>
        <v>0</v>
      </c>
      <c r="H406" s="150">
        <f>-H434*'Assumptions and Sensis'!$M$227</f>
        <v>0</v>
      </c>
      <c r="I406" s="150">
        <f>-I434*'Assumptions and Sensis'!$M$227</f>
        <v>0</v>
      </c>
      <c r="J406" s="150">
        <f>-J434*'Assumptions and Sensis'!$M$227</f>
        <v>0</v>
      </c>
      <c r="K406" s="150">
        <f>-K434*'Assumptions and Sensis'!$M$227</f>
        <v>0</v>
      </c>
      <c r="L406" s="150">
        <f>-L434*'Assumptions and Sensis'!$M$227</f>
        <v>0</v>
      </c>
      <c r="M406" s="150">
        <f>-M434*'Assumptions and Sensis'!$M$227</f>
        <v>0</v>
      </c>
      <c r="N406" s="150">
        <f>-N434*'Assumptions and Sensis'!$M$227</f>
        <v>0</v>
      </c>
      <c r="O406" s="150">
        <f>-O434*'Assumptions and Sensis'!$M$227</f>
        <v>0</v>
      </c>
      <c r="P406" s="150">
        <f ca="1">-P434*'Assumptions and Sensis'!$M$227</f>
        <v>-48914052.581932567</v>
      </c>
      <c r="Q406" s="150">
        <f>-Q434*'Assumptions and Sensis'!$M$227</f>
        <v>0</v>
      </c>
      <c r="R406" s="150">
        <f>-R434*'Assumptions and Sensis'!$M$227</f>
        <v>0</v>
      </c>
      <c r="S406" s="150">
        <f>-S434*'Assumptions and Sensis'!$M$227</f>
        <v>0</v>
      </c>
      <c r="T406" s="150">
        <f>-T434*'Assumptions and Sensis'!$M$227</f>
        <v>0</v>
      </c>
      <c r="U406" s="150">
        <f>-U434*'Assumptions and Sensis'!$M$227</f>
        <v>0</v>
      </c>
      <c r="V406" s="150">
        <f>-V434*'Assumptions and Sensis'!$M$227</f>
        <v>0</v>
      </c>
      <c r="W406" s="150">
        <f>-W434*'Assumptions and Sensis'!$M$227</f>
        <v>0</v>
      </c>
      <c r="X406" s="150">
        <f>-X434*'Assumptions and Sensis'!$M$227</f>
        <v>0</v>
      </c>
      <c r="Y406" s="150">
        <f>-Y434*'Assumptions and Sensis'!$M$227</f>
        <v>0</v>
      </c>
      <c r="Z406" s="150">
        <f>-Z434*'Assumptions and Sensis'!$M$227</f>
        <v>0</v>
      </c>
    </row>
    <row r="407" spans="2:26" x14ac:dyDescent="0.2">
      <c r="B407" s="137" t="s">
        <v>407</v>
      </c>
      <c r="C407" s="137"/>
      <c r="D407" s="138">
        <f t="shared" ref="D407" ca="1" si="659">+SUM(F407:Z407)</f>
        <v>175404807.65988925</v>
      </c>
      <c r="E407" s="138"/>
      <c r="F407" s="138">
        <f t="shared" ref="F407:Z407" ca="1" si="660">+SUM(F400:F406)</f>
        <v>-51505114.619219258</v>
      </c>
      <c r="G407" s="138">
        <f t="shared" ca="1" si="660"/>
        <v>-12660104.707049951</v>
      </c>
      <c r="H407" s="138">
        <f t="shared" ca="1" si="660"/>
        <v>0</v>
      </c>
      <c r="I407" s="138">
        <f t="shared" ca="1" si="660"/>
        <v>26025128.617821947</v>
      </c>
      <c r="J407" s="138">
        <f t="shared" ca="1" si="660"/>
        <v>6059051.7786759175</v>
      </c>
      <c r="K407" s="138">
        <f t="shared" ca="1" si="660"/>
        <v>6511745.0067975959</v>
      </c>
      <c r="L407" s="138">
        <f t="shared" ca="1" si="660"/>
        <v>7880923.8972138902</v>
      </c>
      <c r="M407" s="138">
        <f t="shared" ca="1" si="660"/>
        <v>8098245.424605825</v>
      </c>
      <c r="N407" s="138">
        <f t="shared" ca="1" si="660"/>
        <v>8406090.0324509423</v>
      </c>
      <c r="O407" s="138">
        <f t="shared" ca="1" si="660"/>
        <v>8720119.5828100964</v>
      </c>
      <c r="P407" s="138">
        <f t="shared" ca="1" si="660"/>
        <v>167868722.64578223</v>
      </c>
      <c r="Q407" s="138">
        <f t="shared" ca="1" si="660"/>
        <v>0</v>
      </c>
      <c r="R407" s="138">
        <f t="shared" ca="1" si="660"/>
        <v>0</v>
      </c>
      <c r="S407" s="138">
        <f t="shared" ca="1" si="660"/>
        <v>0</v>
      </c>
      <c r="T407" s="138">
        <f t="shared" ca="1" si="660"/>
        <v>0</v>
      </c>
      <c r="U407" s="138">
        <f t="shared" ca="1" si="660"/>
        <v>0</v>
      </c>
      <c r="V407" s="138">
        <f t="shared" ca="1" si="660"/>
        <v>0</v>
      </c>
      <c r="W407" s="138">
        <f t="shared" ca="1" si="660"/>
        <v>0</v>
      </c>
      <c r="X407" s="138">
        <f t="shared" ca="1" si="660"/>
        <v>0</v>
      </c>
      <c r="Y407" s="138">
        <f t="shared" ca="1" si="660"/>
        <v>0</v>
      </c>
      <c r="Z407" s="138">
        <f t="shared" ca="1" si="660"/>
        <v>0</v>
      </c>
    </row>
    <row r="408" spans="2:26" x14ac:dyDescent="0.2">
      <c r="B408" s="118"/>
    </row>
    <row r="409" spans="2:26" x14ac:dyDescent="0.2">
      <c r="B409" s="223" t="s">
        <v>644</v>
      </c>
      <c r="C409" s="223"/>
      <c r="D409" s="224">
        <f ca="1">+IRR(F407:Z407)</f>
        <v>0.18345784446101154</v>
      </c>
      <c r="F409" s="550"/>
      <c r="G409" s="33"/>
    </row>
    <row r="410" spans="2:26" x14ac:dyDescent="0.2">
      <c r="B410" s="118"/>
      <c r="D410" s="107"/>
    </row>
    <row r="411" spans="2:26" x14ac:dyDescent="0.2">
      <c r="B411" s="147" t="s">
        <v>645</v>
      </c>
      <c r="F411" s="147">
        <f>+F399</f>
        <v>0</v>
      </c>
      <c r="G411" s="147">
        <f t="shared" ref="G411:Z411" si="661">+G399</f>
        <v>1</v>
      </c>
      <c r="H411" s="147">
        <f t="shared" si="661"/>
        <v>2</v>
      </c>
      <c r="I411" s="147">
        <f t="shared" si="661"/>
        <v>3</v>
      </c>
      <c r="J411" s="147">
        <f t="shared" si="661"/>
        <v>4</v>
      </c>
      <c r="K411" s="147">
        <f t="shared" si="661"/>
        <v>5</v>
      </c>
      <c r="L411" s="147">
        <f t="shared" si="661"/>
        <v>6</v>
      </c>
      <c r="M411" s="147">
        <f t="shared" si="661"/>
        <v>7</v>
      </c>
      <c r="N411" s="147">
        <f t="shared" si="661"/>
        <v>8</v>
      </c>
      <c r="O411" s="147">
        <f t="shared" si="661"/>
        <v>9</v>
      </c>
      <c r="P411" s="147">
        <f t="shared" si="661"/>
        <v>10</v>
      </c>
      <c r="Q411" s="147">
        <f t="shared" si="661"/>
        <v>11</v>
      </c>
      <c r="R411" s="147">
        <f t="shared" si="661"/>
        <v>12</v>
      </c>
      <c r="S411" s="147">
        <f t="shared" si="661"/>
        <v>13</v>
      </c>
      <c r="T411" s="147">
        <f t="shared" si="661"/>
        <v>14</v>
      </c>
      <c r="U411" s="147">
        <f t="shared" si="661"/>
        <v>15</v>
      </c>
      <c r="V411" s="147">
        <f t="shared" si="661"/>
        <v>16</v>
      </c>
      <c r="W411" s="147">
        <f t="shared" si="661"/>
        <v>17</v>
      </c>
      <c r="X411" s="147">
        <f t="shared" si="661"/>
        <v>18</v>
      </c>
      <c r="Y411" s="147">
        <f t="shared" si="661"/>
        <v>19</v>
      </c>
      <c r="Z411" s="147">
        <f t="shared" si="661"/>
        <v>20</v>
      </c>
    </row>
    <row r="412" spans="2:26" x14ac:dyDescent="0.2">
      <c r="B412" s="32" t="s">
        <v>398</v>
      </c>
      <c r="D412" s="47"/>
      <c r="E412" s="47"/>
      <c r="F412" s="33">
        <f ca="1">+F400</f>
        <v>-51505114.619219258</v>
      </c>
      <c r="G412" s="33">
        <f t="shared" ref="G412:Z412" ca="1" si="662">+G400</f>
        <v>-12660104.707049951</v>
      </c>
      <c r="H412" s="33">
        <f t="shared" ca="1" si="662"/>
        <v>0</v>
      </c>
      <c r="I412" s="33">
        <f t="shared" ca="1" si="662"/>
        <v>0</v>
      </c>
      <c r="J412" s="33">
        <f t="shared" ca="1" si="662"/>
        <v>0</v>
      </c>
      <c r="K412" s="33">
        <f t="shared" ca="1" si="662"/>
        <v>0</v>
      </c>
      <c r="L412" s="33">
        <f t="shared" ca="1" si="662"/>
        <v>0</v>
      </c>
      <c r="M412" s="33">
        <f t="shared" ca="1" si="662"/>
        <v>0</v>
      </c>
      <c r="N412" s="33">
        <f t="shared" ca="1" si="662"/>
        <v>0</v>
      </c>
      <c r="O412" s="33">
        <f t="shared" ca="1" si="662"/>
        <v>0</v>
      </c>
      <c r="P412" s="33">
        <f t="shared" ca="1" si="662"/>
        <v>0</v>
      </c>
      <c r="Q412" s="33">
        <f t="shared" ca="1" si="662"/>
        <v>0</v>
      </c>
      <c r="R412" s="33">
        <f t="shared" ca="1" si="662"/>
        <v>0</v>
      </c>
      <c r="S412" s="33">
        <f t="shared" ca="1" si="662"/>
        <v>0</v>
      </c>
      <c r="T412" s="33">
        <f t="shared" ca="1" si="662"/>
        <v>0</v>
      </c>
      <c r="U412" s="33">
        <f t="shared" ca="1" si="662"/>
        <v>0</v>
      </c>
      <c r="V412" s="33">
        <f t="shared" ca="1" si="662"/>
        <v>0</v>
      </c>
      <c r="W412" s="33">
        <f t="shared" ca="1" si="662"/>
        <v>0</v>
      </c>
      <c r="X412" s="33">
        <f t="shared" ca="1" si="662"/>
        <v>0</v>
      </c>
      <c r="Y412" s="33">
        <f t="shared" ca="1" si="662"/>
        <v>0</v>
      </c>
      <c r="Z412" s="33">
        <f t="shared" ca="1" si="662"/>
        <v>0</v>
      </c>
    </row>
    <row r="413" spans="2:26" x14ac:dyDescent="0.2">
      <c r="B413" s="32" t="s">
        <v>416</v>
      </c>
      <c r="D413" s="47"/>
      <c r="E413" s="47"/>
      <c r="F413" s="150">
        <f ca="1">-F412*'Assumptions and Sensis'!$M$227</f>
        <v>10816074.070036044</v>
      </c>
      <c r="G413" s="150">
        <f ca="1">-G412*'Assumptions and Sensis'!$M$227</f>
        <v>2658621.9884804897</v>
      </c>
      <c r="H413" s="150">
        <f ca="1">-H412*'Assumptions and Sensis'!$M$227</f>
        <v>0</v>
      </c>
      <c r="I413" s="150">
        <f ca="1">-I412*'Assumptions and Sensis'!$M$227</f>
        <v>0</v>
      </c>
      <c r="J413" s="150">
        <f ca="1">-J412*'Assumptions and Sensis'!$M$227</f>
        <v>0</v>
      </c>
      <c r="K413" s="150">
        <f ca="1">-K412*'Assumptions and Sensis'!$M$227</f>
        <v>0</v>
      </c>
      <c r="L413" s="150">
        <f ca="1">-L412*'Assumptions and Sensis'!$M$227</f>
        <v>0</v>
      </c>
      <c r="M413" s="150">
        <f ca="1">-M412*'Assumptions and Sensis'!$M$227</f>
        <v>0</v>
      </c>
      <c r="N413" s="150">
        <f ca="1">-N412*'Assumptions and Sensis'!$M$227</f>
        <v>0</v>
      </c>
      <c r="O413" s="150">
        <f ca="1">-O412*'Assumptions and Sensis'!$M$227</f>
        <v>0</v>
      </c>
      <c r="P413" s="150">
        <f ca="1">-P412*'Assumptions and Sensis'!$M$227</f>
        <v>0</v>
      </c>
      <c r="Q413" s="150">
        <f ca="1">-Q412*'Assumptions and Sensis'!$M$227</f>
        <v>0</v>
      </c>
      <c r="R413" s="150">
        <f ca="1">-R412*'Assumptions and Sensis'!$M$227</f>
        <v>0</v>
      </c>
      <c r="S413" s="150">
        <f ca="1">-S412*'Assumptions and Sensis'!$M$227</f>
        <v>0</v>
      </c>
      <c r="T413" s="150">
        <f ca="1">-T412*'Assumptions and Sensis'!$M$227</f>
        <v>0</v>
      </c>
      <c r="U413" s="150">
        <f ca="1">-U412*'Assumptions and Sensis'!$M$227</f>
        <v>0</v>
      </c>
      <c r="V413" s="150">
        <f ca="1">-V412*'Assumptions and Sensis'!$M$227</f>
        <v>0</v>
      </c>
      <c r="W413" s="150">
        <f ca="1">-W412*'Assumptions and Sensis'!$M$227</f>
        <v>0</v>
      </c>
      <c r="X413" s="150">
        <f ca="1">-X412*'Assumptions and Sensis'!$M$227</f>
        <v>0</v>
      </c>
      <c r="Y413" s="150">
        <f ca="1">-Y412*'Assumptions and Sensis'!$M$227</f>
        <v>0</v>
      </c>
      <c r="Z413" s="150">
        <f ca="1">-Z412*'Assumptions and Sensis'!$M$227</f>
        <v>0</v>
      </c>
    </row>
    <row r="414" spans="2:26" x14ac:dyDescent="0.2">
      <c r="B414" s="32" t="s">
        <v>417</v>
      </c>
      <c r="D414" s="47"/>
      <c r="E414" s="47"/>
      <c r="F414" s="150">
        <f ca="1">IFERROR(-IF(YEAR(F397)&lt;MIN(YEAR('Assumptions and Sensis'!$F$51),2026),(OFFSET('Phase I Pro Forma'!F413,0,-10)),IF(YEAR(F397)=MIN(YEAR('Assumptions and Sensis'!$F$51),2026),SUM('Phase I Pro Forma'!$E$413:F$413)-SUM('Phase I Pro Forma'!$E$414:E$414),0)),0)</f>
        <v>0</v>
      </c>
      <c r="G414" s="150">
        <f ca="1">IFERROR(-IF(YEAR(G397)&lt;MIN(YEAR('Assumptions and Sensis'!$F$51),2026),(OFFSET('Phase I Pro Forma'!G413,0,-10)),IF(YEAR(G397)=MIN(YEAR('Assumptions and Sensis'!$F$51),2026),SUM('Phase I Pro Forma'!$E$413:G$413)-SUM('Phase I Pro Forma'!$E$414:F$414),0)),0)</f>
        <v>0</v>
      </c>
      <c r="H414" s="150">
        <f ca="1">IFERROR(-IF(YEAR(H397)&lt;MIN(YEAR('Assumptions and Sensis'!$F$51),2026),(OFFSET('Phase I Pro Forma'!H413,0,-10)),IF(YEAR(H397)=MIN(YEAR('Assumptions and Sensis'!$F$51),2026),SUM('Phase I Pro Forma'!$E$413:H$413)-SUM('Phase I Pro Forma'!$E$414:G$414),0)),0)</f>
        <v>0</v>
      </c>
      <c r="I414" s="150">
        <f ca="1">IFERROR(-IF(YEAR(I397)&lt;MIN(YEAR('Assumptions and Sensis'!$F$51),2026),(OFFSET('Phase I Pro Forma'!I413,0,-10)),IF(YEAR(I397)=MIN(YEAR('Assumptions and Sensis'!$F$51),2026),SUM('Phase I Pro Forma'!$E$413:I$413)-SUM('Phase I Pro Forma'!$E$414:H$414),0)),0)</f>
        <v>0</v>
      </c>
      <c r="J414" s="150">
        <f ca="1">IFERROR(-IF(YEAR(J397)&lt;MIN(YEAR('Assumptions and Sensis'!$F$51),2026),(OFFSET('Phase I Pro Forma'!J413,0,-10)),IF(YEAR(J397)=MIN(YEAR('Assumptions and Sensis'!$F$51),2026),SUM('Phase I Pro Forma'!$E$413:J$413)-SUM('Phase I Pro Forma'!$E$414:I$414),0)),0)</f>
        <v>0</v>
      </c>
      <c r="K414" s="150">
        <f ca="1">IFERROR(-IF(YEAR(K397)&lt;MIN(YEAR('Assumptions and Sensis'!$F$51),2026),(OFFSET('Phase I Pro Forma'!K413,0,-10)),IF(YEAR(K397)=MIN(YEAR('Assumptions and Sensis'!$F$51),2026),SUM('Phase I Pro Forma'!$E$413:K$413)-SUM('Phase I Pro Forma'!$E$414:J$414),0)),0)</f>
        <v>0</v>
      </c>
      <c r="L414" s="150">
        <f ca="1">IFERROR(-IF(YEAR(L397)&lt;MIN(YEAR('Assumptions and Sensis'!$F$51),2026),(OFFSET('Phase I Pro Forma'!L413,0,-10)),IF(YEAR(L397)=MIN(YEAR('Assumptions and Sensis'!$F$51),2026),SUM('Phase I Pro Forma'!$E$413:L$413)-SUM('Phase I Pro Forma'!$E$414:K$414),0)),0)</f>
        <v>-13474696.058516534</v>
      </c>
      <c r="M414" s="150">
        <f ca="1">IFERROR(-IF(YEAR(M397)&lt;MIN(YEAR('Assumptions and Sensis'!$F$51),2026),(OFFSET('Phase I Pro Forma'!M413,0,-10)),IF(YEAR(M397)=MIN(YEAR('Assumptions and Sensis'!$F$51),2026),SUM('Phase I Pro Forma'!$E$413:M$413)-SUM('Phase I Pro Forma'!$E$414:L$414),0)),0)</f>
        <v>0</v>
      </c>
      <c r="N414" s="150">
        <f ca="1">IFERROR(-IF(YEAR(N397)&lt;MIN(YEAR('Assumptions and Sensis'!$F$51),2026),(OFFSET('Phase I Pro Forma'!N413,0,-10)),IF(YEAR(N397)=MIN(YEAR('Assumptions and Sensis'!$F$51),2026),SUM('Phase I Pro Forma'!$E$413:N$413)-SUM('Phase I Pro Forma'!$E$414:M$414),0)),0)</f>
        <v>0</v>
      </c>
      <c r="O414" s="150">
        <f ca="1">IFERROR(-IF(YEAR(O397)&lt;MIN(YEAR('Assumptions and Sensis'!$F$51),2026),(OFFSET('Phase I Pro Forma'!O413,0,-10)),IF(YEAR(O397)=MIN(YEAR('Assumptions and Sensis'!$F$51),2026),SUM('Phase I Pro Forma'!$E$413:O$413)-SUM('Phase I Pro Forma'!$E$414:N$414),0)),0)</f>
        <v>0</v>
      </c>
      <c r="P414" s="150">
        <f ca="1">IFERROR(-IF(YEAR(P397)&lt;MIN(YEAR('Assumptions and Sensis'!$F$51),2026),(OFFSET('Phase I Pro Forma'!P413,0,-10)),IF(YEAR(P397)=MIN(YEAR('Assumptions and Sensis'!$F$51),2026),SUM('Phase I Pro Forma'!$E$413:P$413)-SUM('Phase I Pro Forma'!$E$414:O$414),0)),0)</f>
        <v>0</v>
      </c>
      <c r="Q414" s="150">
        <f ca="1">IFERROR(-IF(YEAR(Q397)&lt;MIN(YEAR('Assumptions and Sensis'!$F$51),2026),(OFFSET('Phase I Pro Forma'!Q413,0,-10)),IF(YEAR(Q397)=MIN(YEAR('Assumptions and Sensis'!$F$51),2026),SUM('Phase I Pro Forma'!$E$413:Q$413)-SUM('Phase I Pro Forma'!$E$414:P$414),0)),0)</f>
        <v>0</v>
      </c>
      <c r="R414" s="150">
        <f ca="1">IFERROR(-IF(YEAR(R397)&lt;MIN(YEAR('Assumptions and Sensis'!$F$51),2026),(OFFSET('Phase I Pro Forma'!R413,0,-10)),IF(YEAR(R397)=MIN(YEAR('Assumptions and Sensis'!$F$51),2026),SUM('Phase I Pro Forma'!$E$413:R$413)-SUM('Phase I Pro Forma'!$E$414:Q$414),0)),0)</f>
        <v>0</v>
      </c>
      <c r="S414" s="150">
        <f ca="1">IFERROR(-IF(YEAR(S397)&lt;MIN(YEAR('Assumptions and Sensis'!$F$51),2026),(OFFSET('Phase I Pro Forma'!S413,0,-10)),IF(YEAR(S397)=MIN(YEAR('Assumptions and Sensis'!$F$51),2026),SUM('Phase I Pro Forma'!$E$413:S$413)-SUM('Phase I Pro Forma'!$E$414:R$414),0)),0)</f>
        <v>0</v>
      </c>
      <c r="T414" s="150">
        <f ca="1">IFERROR(-IF(YEAR(T397)&lt;MIN(YEAR('Assumptions and Sensis'!$F$51),2026),(OFFSET('Phase I Pro Forma'!T413,0,-10)),IF(YEAR(T397)=MIN(YEAR('Assumptions and Sensis'!$F$51),2026),SUM('Phase I Pro Forma'!$E$413:T$413)-SUM('Phase I Pro Forma'!$E$414:S$414),0)),0)</f>
        <v>0</v>
      </c>
      <c r="U414" s="150">
        <f ca="1">IFERROR(-IF(YEAR(U397)&lt;MIN(YEAR('Assumptions and Sensis'!$F$51),2026),(OFFSET('Phase I Pro Forma'!U413,0,-10)),IF(YEAR(U397)=MIN(YEAR('Assumptions and Sensis'!$F$51),2026),SUM('Phase I Pro Forma'!$E$413:U$413)-SUM('Phase I Pro Forma'!$E$414:T$414),0)),0)</f>
        <v>0</v>
      </c>
      <c r="V414" s="150">
        <f ca="1">IFERROR(-IF(YEAR(V397)&lt;MIN(YEAR('Assumptions and Sensis'!$F$51),2026),(OFFSET('Phase I Pro Forma'!V413,0,-10)),IF(YEAR(V397)=MIN(YEAR('Assumptions and Sensis'!$F$51),2026),SUM('Phase I Pro Forma'!$E$413:V$413)-SUM('Phase I Pro Forma'!$E$414:U$414),0)),0)</f>
        <v>0</v>
      </c>
      <c r="W414" s="150">
        <f ca="1">IFERROR(-IF(YEAR(W397)&lt;MIN(YEAR('Assumptions and Sensis'!$F$51),2026),(OFFSET('Phase I Pro Forma'!W413,0,-10)),IF(YEAR(W397)=MIN(YEAR('Assumptions and Sensis'!$F$51),2026),SUM('Phase I Pro Forma'!$E$413:W$413)-SUM('Phase I Pro Forma'!$E$414:V$414),0)),0)</f>
        <v>0</v>
      </c>
      <c r="X414" s="150">
        <f ca="1">IFERROR(-IF(YEAR(X397)&lt;MIN(YEAR('Assumptions and Sensis'!$F$51),2026),(OFFSET('Phase I Pro Forma'!X413,0,-10)),IF(YEAR(X397)=MIN(YEAR('Assumptions and Sensis'!$F$51),2026),SUM('Phase I Pro Forma'!$E$413:X$413)-SUM('Phase I Pro Forma'!$E$414:W$414),0)),0)</f>
        <v>0</v>
      </c>
      <c r="Y414" s="150">
        <f ca="1">IFERROR(-IF(YEAR(Y397)&lt;MIN(YEAR('Assumptions and Sensis'!$F$51),2026),(OFFSET('Phase I Pro Forma'!Y413,0,-10)),IF(YEAR(Y397)=MIN(YEAR('Assumptions and Sensis'!$F$51),2026),SUM('Phase I Pro Forma'!$E$413:Y$413)-SUM('Phase I Pro Forma'!$E$414:X$414),0)),0)</f>
        <v>0</v>
      </c>
      <c r="Z414" s="150">
        <f ca="1">IFERROR(-IF(YEAR(Z397)&lt;MIN(YEAR('Assumptions and Sensis'!$F$51),2026),(OFFSET('Phase I Pro Forma'!Z413,0,-10)),IF(YEAR(Z397)=MIN(YEAR('Assumptions and Sensis'!$F$51),2026),SUM('Phase I Pro Forma'!$E$413:Z$413)-SUM('Phase I Pro Forma'!$E$414:Y$414),0)),0)</f>
        <v>0</v>
      </c>
    </row>
    <row r="415" spans="2:26" x14ac:dyDescent="0.2">
      <c r="B415" s="32" t="s">
        <v>418</v>
      </c>
      <c r="D415" s="47"/>
      <c r="E415" s="47"/>
      <c r="F415" s="150">
        <f>+IF(YEAR(F397)=MIN(YEAR('Assumptions and Sensis'!$F$51),2026),SUM('Phase I Pro Forma'!$F$425:$Z$425),0)</f>
        <v>0</v>
      </c>
      <c r="G415" s="150">
        <f>+IF(YEAR(G397)=MIN(YEAR('Assumptions and Sensis'!$F$51),2026),SUM('Phase I Pro Forma'!$F$425:$Z$425),0)</f>
        <v>0</v>
      </c>
      <c r="H415" s="150">
        <f>+IF(YEAR(H397)=MIN(YEAR('Assumptions and Sensis'!$F$51),2026),SUM('Phase I Pro Forma'!$F$425:$Z$425),0)</f>
        <v>0</v>
      </c>
      <c r="I415" s="150">
        <f>+IF(YEAR(I397)=MIN(YEAR('Assumptions and Sensis'!$F$51),2026),SUM('Phase I Pro Forma'!$F$425:$Z$425),0)</f>
        <v>0</v>
      </c>
      <c r="J415" s="150">
        <f>+IF(YEAR(J397)=MIN(YEAR('Assumptions and Sensis'!$F$51),2026),SUM('Phase I Pro Forma'!$F$425:$Z$425),0)</f>
        <v>0</v>
      </c>
      <c r="K415" s="150">
        <f>+IF(YEAR(K397)=MIN(YEAR('Assumptions and Sensis'!$F$51),2026),SUM('Phase I Pro Forma'!$F$425:$Z$425),0)</f>
        <v>0</v>
      </c>
      <c r="L415" s="150">
        <f ca="1">+IF(YEAR(L397)=MIN(YEAR('Assumptions and Sensis'!$F$51),2026),SUM('Phase I Pro Forma'!$F$425:$Z$425),0)</f>
        <v>2021204.4087774805</v>
      </c>
      <c r="M415" s="150">
        <f>+IF(YEAR(M397)=MIN(YEAR('Assumptions and Sensis'!$F$51),2026),SUM('Phase I Pro Forma'!$F$425:$Z$425),0)</f>
        <v>0</v>
      </c>
      <c r="N415" s="150">
        <f>+IF(YEAR(N397)=MIN(YEAR('Assumptions and Sensis'!$F$51),2026),SUM('Phase I Pro Forma'!$F$425:$Z$425),0)</f>
        <v>0</v>
      </c>
      <c r="O415" s="150">
        <f>+IF(YEAR(O397)=MIN(YEAR('Assumptions and Sensis'!$F$51),2026),SUM('Phase I Pro Forma'!$F$425:$Z$425),0)</f>
        <v>0</v>
      </c>
      <c r="P415" s="150">
        <f>+IF(YEAR(P397)=MIN(YEAR('Assumptions and Sensis'!$F$51),2026),SUM('Phase I Pro Forma'!$F$425:$Z$425),0)</f>
        <v>0</v>
      </c>
      <c r="Q415" s="150">
        <f>+IF(YEAR(Q397)=MIN(YEAR('Assumptions and Sensis'!$F$51),2026),SUM('Phase I Pro Forma'!$F$425:$Z$425),0)</f>
        <v>0</v>
      </c>
      <c r="R415" s="150">
        <f>+IF(YEAR(R397)=MIN(YEAR('Assumptions and Sensis'!$F$51),2026),SUM('Phase I Pro Forma'!$F$425:$Z$425),0)</f>
        <v>0</v>
      </c>
      <c r="S415" s="150">
        <f>+IF(YEAR(S397)=MIN(YEAR('Assumptions and Sensis'!$F$51),2026),SUM('Phase I Pro Forma'!$F$425:$Z$425),0)</f>
        <v>0</v>
      </c>
      <c r="T415" s="150">
        <f>+IF(YEAR(T397)=MIN(YEAR('Assumptions and Sensis'!$F$51),2026),SUM('Phase I Pro Forma'!$F$425:$Z$425),0)</f>
        <v>0</v>
      </c>
      <c r="U415" s="150">
        <f>+IF(YEAR(U397)=MIN(YEAR('Assumptions and Sensis'!$F$51),2026),SUM('Phase I Pro Forma'!$F$425:$Z$425),0)</f>
        <v>0</v>
      </c>
      <c r="V415" s="150">
        <f>+IF(YEAR(V397)=MIN(YEAR('Assumptions and Sensis'!$F$51),2026),SUM('Phase I Pro Forma'!$F$425:$Z$425),0)</f>
        <v>0</v>
      </c>
      <c r="W415" s="150">
        <f>+IF(YEAR(W397)=MIN(YEAR('Assumptions and Sensis'!$F$51),2026),SUM('Phase I Pro Forma'!$F$425:$Z$425),0)</f>
        <v>0</v>
      </c>
      <c r="X415" s="150">
        <f>+IF(YEAR(X397)=MIN(YEAR('Assumptions and Sensis'!$F$51),2026),SUM('Phase I Pro Forma'!$F$425:$Z$425),0)</f>
        <v>0</v>
      </c>
      <c r="Y415" s="150">
        <f>+IF(YEAR(Y397)=MIN(YEAR('Assumptions and Sensis'!$F$51),2026),SUM('Phase I Pro Forma'!$F$425:$Z$425),0)</f>
        <v>0</v>
      </c>
      <c r="Z415" s="150">
        <f>+IF(YEAR(Z397)=MIN(YEAR('Assumptions and Sensis'!$F$51),2026),SUM('Phase I Pro Forma'!$F$425:$Z$425),0)</f>
        <v>0</v>
      </c>
    </row>
    <row r="416" spans="2:26" x14ac:dyDescent="0.2">
      <c r="B416" s="32" t="s">
        <v>641</v>
      </c>
      <c r="D416" s="47"/>
      <c r="E416" s="47"/>
      <c r="F416" s="150">
        <f ca="1">+F403</f>
        <v>0</v>
      </c>
      <c r="G416" s="150">
        <f t="shared" ref="G416:Z416" ca="1" si="663">+G403</f>
        <v>0</v>
      </c>
      <c r="H416" s="150">
        <f t="shared" ca="1" si="663"/>
        <v>0</v>
      </c>
      <c r="I416" s="150">
        <f t="shared" ca="1" si="663"/>
        <v>1133140.576415865</v>
      </c>
      <c r="J416" s="150">
        <f t="shared" ca="1" si="663"/>
        <v>780919.49296806566</v>
      </c>
      <c r="K416" s="150">
        <f t="shared" ca="1" si="663"/>
        <v>615146.40245800954</v>
      </c>
      <c r="L416" s="150">
        <f t="shared" ca="1" si="663"/>
        <v>202797.1414217503</v>
      </c>
      <c r="M416" s="150">
        <f t="shared" ca="1" si="663"/>
        <v>93492.441822308479</v>
      </c>
      <c r="N416" s="150">
        <f t="shared" ca="1" si="663"/>
        <v>-43225.174702068864</v>
      </c>
      <c r="O416" s="150">
        <f t="shared" ca="1" si="663"/>
        <v>-185154.44773200172</v>
      </c>
      <c r="P416" s="150">
        <f t="shared" ca="1" si="663"/>
        <v>-309658.29195573507</v>
      </c>
      <c r="Q416" s="150">
        <f t="shared" si="663"/>
        <v>0</v>
      </c>
      <c r="R416" s="150">
        <f t="shared" si="663"/>
        <v>0</v>
      </c>
      <c r="S416" s="150">
        <f t="shared" si="663"/>
        <v>0</v>
      </c>
      <c r="T416" s="150">
        <f t="shared" si="663"/>
        <v>0</v>
      </c>
      <c r="U416" s="150">
        <f t="shared" si="663"/>
        <v>0</v>
      </c>
      <c r="V416" s="150">
        <f t="shared" si="663"/>
        <v>0</v>
      </c>
      <c r="W416" s="150">
        <f t="shared" si="663"/>
        <v>0</v>
      </c>
      <c r="X416" s="150">
        <f t="shared" si="663"/>
        <v>0</v>
      </c>
      <c r="Y416" s="150">
        <f t="shared" si="663"/>
        <v>0</v>
      </c>
      <c r="Z416" s="150">
        <f t="shared" si="663"/>
        <v>0</v>
      </c>
    </row>
    <row r="417" spans="2:26" x14ac:dyDescent="0.2">
      <c r="B417" s="32" t="s">
        <v>643</v>
      </c>
      <c r="D417" s="47"/>
      <c r="E417" s="47"/>
      <c r="F417" s="150">
        <f ca="1">+F404</f>
        <v>0</v>
      </c>
      <c r="G417" s="150">
        <f t="shared" ref="G417:Z417" ca="1" si="664">+G404</f>
        <v>0</v>
      </c>
      <c r="H417" s="150">
        <f t="shared" ca="1" si="664"/>
        <v>0</v>
      </c>
      <c r="I417" s="150">
        <f t="shared" ca="1" si="664"/>
        <v>-10079580.87596829</v>
      </c>
      <c r="J417" s="150">
        <f t="shared" ca="1" si="664"/>
        <v>5278132.2857078519</v>
      </c>
      <c r="K417" s="150">
        <f t="shared" ca="1" si="664"/>
        <v>5896598.6043395866</v>
      </c>
      <c r="L417" s="150">
        <f t="shared" ca="1" si="664"/>
        <v>7678126.75579214</v>
      </c>
      <c r="M417" s="150">
        <f t="shared" ca="1" si="664"/>
        <v>8004752.9827835169</v>
      </c>
      <c r="N417" s="150">
        <f t="shared" ca="1" si="664"/>
        <v>8449315.2071530111</v>
      </c>
      <c r="O417" s="150">
        <f t="shared" ca="1" si="664"/>
        <v>8905274.030542098</v>
      </c>
      <c r="P417" s="150">
        <f t="shared" ca="1" si="664"/>
        <v>9263961.4557698313</v>
      </c>
      <c r="Q417" s="150">
        <f t="shared" si="664"/>
        <v>0</v>
      </c>
      <c r="R417" s="150">
        <f t="shared" si="664"/>
        <v>0</v>
      </c>
      <c r="S417" s="150">
        <f t="shared" si="664"/>
        <v>0</v>
      </c>
      <c r="T417" s="150">
        <f t="shared" si="664"/>
        <v>0</v>
      </c>
      <c r="U417" s="150">
        <f t="shared" si="664"/>
        <v>0</v>
      </c>
      <c r="V417" s="150">
        <f t="shared" si="664"/>
        <v>0</v>
      </c>
      <c r="W417" s="150">
        <f t="shared" si="664"/>
        <v>0</v>
      </c>
      <c r="X417" s="150">
        <f t="shared" si="664"/>
        <v>0</v>
      </c>
      <c r="Y417" s="150">
        <f t="shared" si="664"/>
        <v>0</v>
      </c>
      <c r="Z417" s="150">
        <f t="shared" si="664"/>
        <v>0</v>
      </c>
    </row>
    <row r="418" spans="2:26" x14ac:dyDescent="0.2">
      <c r="B418" s="32" t="s">
        <v>642</v>
      </c>
      <c r="D418" s="47"/>
      <c r="E418" s="47"/>
      <c r="F418" s="150">
        <f>-F273-F228-F159</f>
        <v>0</v>
      </c>
      <c r="G418" s="150">
        <f t="shared" ref="G418:Z418" si="665">+G405</f>
        <v>0</v>
      </c>
      <c r="H418" s="150">
        <f t="shared" si="665"/>
        <v>0</v>
      </c>
      <c r="I418" s="150">
        <f t="shared" ca="1" si="665"/>
        <v>34971568.917374372</v>
      </c>
      <c r="J418" s="150">
        <f t="shared" si="665"/>
        <v>0</v>
      </c>
      <c r="K418" s="150">
        <f t="shared" si="665"/>
        <v>0</v>
      </c>
      <c r="L418" s="150">
        <f t="shared" si="665"/>
        <v>0</v>
      </c>
      <c r="M418" s="150">
        <f t="shared" si="665"/>
        <v>0</v>
      </c>
      <c r="N418" s="150">
        <f t="shared" si="665"/>
        <v>0</v>
      </c>
      <c r="O418" s="150">
        <f t="shared" si="665"/>
        <v>0</v>
      </c>
      <c r="P418" s="150">
        <f t="shared" ca="1" si="665"/>
        <v>207828472.06390071</v>
      </c>
      <c r="Q418" s="150">
        <f t="shared" si="665"/>
        <v>0</v>
      </c>
      <c r="R418" s="150">
        <f t="shared" si="665"/>
        <v>0</v>
      </c>
      <c r="S418" s="150">
        <f t="shared" si="665"/>
        <v>0</v>
      </c>
      <c r="T418" s="150">
        <f t="shared" si="665"/>
        <v>0</v>
      </c>
      <c r="U418" s="150">
        <f t="shared" si="665"/>
        <v>0</v>
      </c>
      <c r="V418" s="150">
        <f t="shared" si="665"/>
        <v>0</v>
      </c>
      <c r="W418" s="150">
        <f t="shared" si="665"/>
        <v>0</v>
      </c>
      <c r="X418" s="150">
        <f t="shared" si="665"/>
        <v>0</v>
      </c>
      <c r="Y418" s="150">
        <f t="shared" si="665"/>
        <v>0</v>
      </c>
      <c r="Z418" s="150">
        <f t="shared" si="665"/>
        <v>0</v>
      </c>
    </row>
    <row r="419" spans="2:26" x14ac:dyDescent="0.2">
      <c r="B419" s="32" t="s">
        <v>415</v>
      </c>
      <c r="D419" s="47"/>
      <c r="E419" s="47"/>
      <c r="F419" s="150">
        <f>+IF(F399&gt;=10,0,F406)</f>
        <v>0</v>
      </c>
      <c r="G419" s="150">
        <f t="shared" ref="G419:Z419" si="666">+IF(G399&gt;=10,0,G406)</f>
        <v>0</v>
      </c>
      <c r="H419" s="150">
        <f t="shared" si="666"/>
        <v>0</v>
      </c>
      <c r="I419" s="150">
        <f t="shared" si="666"/>
        <v>0</v>
      </c>
      <c r="J419" s="150">
        <f t="shared" si="666"/>
        <v>0</v>
      </c>
      <c r="K419" s="150">
        <f t="shared" si="666"/>
        <v>0</v>
      </c>
      <c r="L419" s="150">
        <f t="shared" si="666"/>
        <v>0</v>
      </c>
      <c r="M419" s="150">
        <f t="shared" si="666"/>
        <v>0</v>
      </c>
      <c r="N419" s="150">
        <f t="shared" si="666"/>
        <v>0</v>
      </c>
      <c r="O419" s="150">
        <f t="shared" si="666"/>
        <v>0</v>
      </c>
      <c r="P419" s="150">
        <f t="shared" si="666"/>
        <v>0</v>
      </c>
      <c r="Q419" s="150">
        <f t="shared" si="666"/>
        <v>0</v>
      </c>
      <c r="R419" s="150">
        <f t="shared" si="666"/>
        <v>0</v>
      </c>
      <c r="S419" s="150">
        <f t="shared" si="666"/>
        <v>0</v>
      </c>
      <c r="T419" s="150">
        <f t="shared" si="666"/>
        <v>0</v>
      </c>
      <c r="U419" s="150">
        <f t="shared" si="666"/>
        <v>0</v>
      </c>
      <c r="V419" s="150">
        <f t="shared" si="666"/>
        <v>0</v>
      </c>
      <c r="W419" s="150">
        <f t="shared" si="666"/>
        <v>0</v>
      </c>
      <c r="X419" s="150">
        <f t="shared" si="666"/>
        <v>0</v>
      </c>
      <c r="Y419" s="150">
        <f t="shared" si="666"/>
        <v>0</v>
      </c>
      <c r="Z419" s="150">
        <f t="shared" si="666"/>
        <v>0</v>
      </c>
    </row>
    <row r="420" spans="2:26" x14ac:dyDescent="0.2">
      <c r="B420" s="137" t="s">
        <v>406</v>
      </c>
      <c r="C420" s="137"/>
      <c r="D420" s="138">
        <f t="shared" ref="D420" ca="1" si="667">+SUM(F420:Z420)</f>
        <v>226340064.6505993</v>
      </c>
      <c r="E420" s="138"/>
      <c r="F420" s="138">
        <f t="shared" ref="F420:Z420" ca="1" si="668">+SUM(F412:F419)</f>
        <v>-40689040.549183212</v>
      </c>
      <c r="G420" s="138">
        <f t="shared" ca="1" si="668"/>
        <v>-10001482.718569461</v>
      </c>
      <c r="H420" s="138">
        <f t="shared" ca="1" si="668"/>
        <v>0</v>
      </c>
      <c r="I420" s="138">
        <f t="shared" ca="1" si="668"/>
        <v>26025128.617821947</v>
      </c>
      <c r="J420" s="138">
        <f t="shared" ca="1" si="668"/>
        <v>6059051.7786759175</v>
      </c>
      <c r="K420" s="138">
        <f t="shared" ca="1" si="668"/>
        <v>6511745.0067975959</v>
      </c>
      <c r="L420" s="138">
        <f t="shared" ca="1" si="668"/>
        <v>-3572567.7525251629</v>
      </c>
      <c r="M420" s="138">
        <f t="shared" ca="1" si="668"/>
        <v>8098245.424605825</v>
      </c>
      <c r="N420" s="138">
        <f t="shared" ca="1" si="668"/>
        <v>8406090.0324509423</v>
      </c>
      <c r="O420" s="138">
        <f t="shared" ca="1" si="668"/>
        <v>8720119.5828100964</v>
      </c>
      <c r="P420" s="138">
        <f t="shared" ca="1" si="668"/>
        <v>216782775.22771481</v>
      </c>
      <c r="Q420" s="138">
        <f t="shared" ca="1" si="668"/>
        <v>0</v>
      </c>
      <c r="R420" s="138">
        <f t="shared" ca="1" si="668"/>
        <v>0</v>
      </c>
      <c r="S420" s="138">
        <f t="shared" ca="1" si="668"/>
        <v>0</v>
      </c>
      <c r="T420" s="138">
        <f t="shared" ca="1" si="668"/>
        <v>0</v>
      </c>
      <c r="U420" s="138">
        <f t="shared" ca="1" si="668"/>
        <v>0</v>
      </c>
      <c r="V420" s="138">
        <f t="shared" ca="1" si="668"/>
        <v>0</v>
      </c>
      <c r="W420" s="138">
        <f t="shared" ca="1" si="668"/>
        <v>0</v>
      </c>
      <c r="X420" s="138">
        <f t="shared" ca="1" si="668"/>
        <v>0</v>
      </c>
      <c r="Y420" s="138">
        <f t="shared" ca="1" si="668"/>
        <v>0</v>
      </c>
      <c r="Z420" s="138">
        <f t="shared" ca="1" si="668"/>
        <v>0</v>
      </c>
    </row>
    <row r="422" spans="2:26" x14ac:dyDescent="0.2">
      <c r="B422" s="188" t="s">
        <v>638</v>
      </c>
      <c r="C422" s="188"/>
      <c r="D422" s="189">
        <f ca="1">+IRR(F420:Z420)</f>
        <v>0.23451555130835033</v>
      </c>
    </row>
    <row r="423" spans="2:26" x14ac:dyDescent="0.2">
      <c r="B423" s="192" t="s">
        <v>639</v>
      </c>
      <c r="C423" s="191"/>
      <c r="D423" s="225">
        <f ca="1">+D422/(1-'Assumptions and Sensis'!$M$227)</f>
        <v>0.29685512823841814</v>
      </c>
    </row>
    <row r="425" spans="2:26" x14ac:dyDescent="0.2">
      <c r="B425" s="40" t="s">
        <v>419</v>
      </c>
      <c r="F425" s="150">
        <f ca="1">IFERROR(IF(YEAR(F397)&lt;=YEAR('Assumptions and Sensis'!$F$51),10%*(OFFSET('Phase I Pro Forma'!F413,0,-5))+5%*(OFFSET('Phase I Pro Forma'!F413,0,-7)),0),0)</f>
        <v>0</v>
      </c>
      <c r="G425" s="150">
        <f ca="1">IFERROR(IF(YEAR(G397)&lt;=YEAR('Assumptions and Sensis'!$F$51),10%*(OFFSET('Phase I Pro Forma'!G413,0,-5))+5%*(OFFSET('Phase I Pro Forma'!G413,0,-7)),0),0)</f>
        <v>0</v>
      </c>
      <c r="H425" s="150">
        <f ca="1">IFERROR(IF(YEAR(H397)&lt;=YEAR('Assumptions and Sensis'!$F$51),10%*(OFFSET('Phase I Pro Forma'!H413,0,-5))+5%*(OFFSET('Phase I Pro Forma'!H413,0,-7)),0),0)</f>
        <v>0</v>
      </c>
      <c r="I425" s="150">
        <f ca="1">IFERROR(IF(YEAR(I397)&lt;=YEAR('Assumptions and Sensis'!$F$51),10%*(OFFSET('Phase I Pro Forma'!I413,0,-5))+5%*(OFFSET('Phase I Pro Forma'!I413,0,-7)),0),0)</f>
        <v>0</v>
      </c>
      <c r="J425" s="150">
        <f ca="1">IFERROR(IF(YEAR(J397)&lt;=YEAR('Assumptions and Sensis'!$F$51),10%*(OFFSET('Phase I Pro Forma'!J413,0,-5))+5%*(OFFSET('Phase I Pro Forma'!J413,0,-7)),0),0)</f>
        <v>0</v>
      </c>
      <c r="K425" s="150">
        <f ca="1">IFERROR(IF(YEAR(K397)&lt;=YEAR('Assumptions and Sensis'!$F$51),10%*(OFFSET('Phase I Pro Forma'!K413,0,-5))+5%*(OFFSET('Phase I Pro Forma'!K413,0,-7)),0),0)</f>
        <v>1081607.4070036046</v>
      </c>
      <c r="L425" s="150">
        <f ca="1">IFERROR(IF(YEAR(L397)&lt;=YEAR('Assumptions and Sensis'!$F$51),10%*(OFFSET('Phase I Pro Forma'!L413,0,-5))+5%*(OFFSET('Phase I Pro Forma'!L413,0,-7)),0),0)</f>
        <v>265862.19884804898</v>
      </c>
      <c r="M425" s="150">
        <f ca="1">IFERROR(IF(YEAR(M397)&lt;=YEAR('Assumptions and Sensis'!$F$51),10%*(OFFSET('Phase I Pro Forma'!M413,0,-5))+5%*(OFFSET('Phase I Pro Forma'!M413,0,-7)),0),0)</f>
        <v>540803.70350180229</v>
      </c>
      <c r="N425" s="150">
        <f ca="1">IFERROR(IF(YEAR(N397)&lt;=YEAR('Assumptions and Sensis'!$F$51),10%*(OFFSET('Phase I Pro Forma'!N413,0,-5))+5%*(OFFSET('Phase I Pro Forma'!N413,0,-7)),0),0)</f>
        <v>132931.09942402449</v>
      </c>
      <c r="O425" s="150">
        <f ca="1">IFERROR(IF(YEAR(O397)&lt;=YEAR('Assumptions and Sensis'!$F$51),10%*(OFFSET('Phase I Pro Forma'!O413,0,-5))+5%*(OFFSET('Phase I Pro Forma'!O413,0,-7)),0),0)</f>
        <v>0</v>
      </c>
      <c r="P425" s="150">
        <f ca="1">IFERROR(IF(YEAR(P397)&lt;=YEAR('Assumptions and Sensis'!$F$51),10%*(OFFSET('Phase I Pro Forma'!P413,0,-5))+5%*(OFFSET('Phase I Pro Forma'!P413,0,-7)),0),0)</f>
        <v>0</v>
      </c>
      <c r="Q425" s="150">
        <f ca="1">IFERROR(IF(YEAR(Q397)&lt;=YEAR('Assumptions and Sensis'!$F$51),10%*(OFFSET('Phase I Pro Forma'!Q413,0,-5))+5%*(OFFSET('Phase I Pro Forma'!Q413,0,-7)),0),0)</f>
        <v>0</v>
      </c>
      <c r="R425" s="150">
        <f ca="1">IFERROR(IF(YEAR(R397)&lt;=YEAR('Assumptions and Sensis'!$F$51),10%*(OFFSET('Phase I Pro Forma'!R413,0,-5))+5%*(OFFSET('Phase I Pro Forma'!R413,0,-7)),0),0)</f>
        <v>0</v>
      </c>
      <c r="S425" s="150">
        <f ca="1">IFERROR(IF(YEAR(S397)&lt;=YEAR('Assumptions and Sensis'!$F$51),10%*(OFFSET('Phase I Pro Forma'!S413,0,-5))+5%*(OFFSET('Phase I Pro Forma'!S413,0,-7)),0),0)</f>
        <v>0</v>
      </c>
      <c r="T425" s="150">
        <f ca="1">IFERROR(IF(YEAR(T397)&lt;=YEAR('Assumptions and Sensis'!$F$51),10%*(OFFSET('Phase I Pro Forma'!T413,0,-5))+5%*(OFFSET('Phase I Pro Forma'!T413,0,-7)),0),0)</f>
        <v>0</v>
      </c>
      <c r="U425" s="150">
        <f ca="1">IFERROR(IF(YEAR(U397)&lt;=YEAR('Assumptions and Sensis'!$F$51),10%*(OFFSET('Phase I Pro Forma'!U413,0,-5))+5%*(OFFSET('Phase I Pro Forma'!U413,0,-7)),0),0)</f>
        <v>0</v>
      </c>
      <c r="V425" s="150">
        <f ca="1">IFERROR(IF(YEAR(V397)&lt;=YEAR('Assumptions and Sensis'!$F$51),10%*(OFFSET('Phase I Pro Forma'!V413,0,-5))+5%*(OFFSET('Phase I Pro Forma'!V413,0,-7)),0),0)</f>
        <v>0</v>
      </c>
      <c r="W425" s="150">
        <f ca="1">IFERROR(IF(YEAR(W397)&lt;=YEAR('Assumptions and Sensis'!$F$51),10%*(OFFSET('Phase I Pro Forma'!W413,0,-5))+5%*(OFFSET('Phase I Pro Forma'!W413,0,-7)),0),0)</f>
        <v>0</v>
      </c>
      <c r="X425" s="150">
        <f ca="1">IFERROR(IF(YEAR(X397)&lt;=YEAR('Assumptions and Sensis'!$F$51),10%*(OFFSET('Phase I Pro Forma'!X413,0,-5))+5%*(OFFSET('Phase I Pro Forma'!X413,0,-7)),0),0)</f>
        <v>0</v>
      </c>
      <c r="Y425" s="150">
        <f ca="1">IFERROR(IF(YEAR(Y397)&lt;=YEAR('Assumptions and Sensis'!$F$51),10%*(OFFSET('Phase I Pro Forma'!Y413,0,-5))+5%*(OFFSET('Phase I Pro Forma'!Y413,0,-7)),0),0)</f>
        <v>0</v>
      </c>
      <c r="Z425" s="150">
        <f ca="1">IFERROR(IF(YEAR(Z397)&lt;=YEAR('Assumptions and Sensis'!$F$51),10%*(OFFSET('Phase I Pro Forma'!Z413,0,-5))+5%*(OFFSET('Phase I Pro Forma'!Z413,0,-7)),0),0)</f>
        <v>0</v>
      </c>
    </row>
    <row r="427" spans="2:26" x14ac:dyDescent="0.2">
      <c r="B427" s="147" t="s">
        <v>399</v>
      </c>
    </row>
    <row r="428" spans="2:26" x14ac:dyDescent="0.2">
      <c r="B428" s="32" t="s">
        <v>400</v>
      </c>
      <c r="D428" s="47">
        <f ca="1">+SUM(F428:Z428)</f>
        <v>234430981.30859536</v>
      </c>
      <c r="E428" s="47"/>
      <c r="F428" s="33">
        <v>0</v>
      </c>
      <c r="G428" s="33">
        <f ca="1">+F435</f>
        <v>51505114.619219258</v>
      </c>
      <c r="H428" s="33">
        <f t="shared" ref="H428" ca="1" si="669">+G435</f>
        <v>64165219.326269209</v>
      </c>
      <c r="I428" s="33">
        <f t="shared" ref="I428" ca="1" si="670">+H435</f>
        <v>64165219.326269209</v>
      </c>
      <c r="J428" s="33">
        <f t="shared" ref="J428" ca="1" si="671">+I435</f>
        <v>33877323.778120905</v>
      </c>
      <c r="K428" s="33">
        <f t="shared" ref="K428" ca="1" si="672">+J435</f>
        <v>24880527.240184166</v>
      </c>
      <c r="L428" s="33">
        <f t="shared" ref="L428" ca="1" si="673">+K435</f>
        <v>16054660.052711202</v>
      </c>
      <c r="M428" s="33">
        <f t="shared" ref="M428" ca="1" si="674">+L435</f>
        <v>7410832.6234821556</v>
      </c>
      <c r="N428" s="33">
        <f t="shared" ref="N428" ca="1" si="675">+M435</f>
        <v>-1039122.4632171169</v>
      </c>
      <c r="O428" s="33">
        <f t="shared" ref="O428" ca="1" si="676">+N435</f>
        <v>-9282603.505122181</v>
      </c>
      <c r="P428" s="33">
        <f t="shared" ref="P428" ca="1" si="677">+O435</f>
        <v>-17306189.689321414</v>
      </c>
      <c r="Q428" s="33">
        <f t="shared" ref="Q428" ca="1" si="678">+P435</f>
        <v>0</v>
      </c>
      <c r="R428" s="33">
        <f t="shared" ref="R428" ca="1" si="679">+Q435</f>
        <v>0</v>
      </c>
      <c r="S428" s="33">
        <f t="shared" ref="S428" ca="1" si="680">+R435</f>
        <v>0</v>
      </c>
      <c r="T428" s="33">
        <f t="shared" ref="T428" ca="1" si="681">+S435</f>
        <v>0</v>
      </c>
      <c r="U428" s="33">
        <f t="shared" ref="U428" ca="1" si="682">+T435</f>
        <v>0</v>
      </c>
      <c r="V428" s="33">
        <f t="shared" ref="V428" ca="1" si="683">+U435</f>
        <v>0</v>
      </c>
      <c r="W428" s="33">
        <f t="shared" ref="W428" ca="1" si="684">+V435</f>
        <v>0</v>
      </c>
      <c r="X428" s="33">
        <f t="shared" ref="X428" ca="1" si="685">+W435</f>
        <v>0</v>
      </c>
      <c r="Y428" s="33">
        <f t="shared" ref="Y428" ca="1" si="686">+X435</f>
        <v>0</v>
      </c>
      <c r="Z428" s="33">
        <f t="shared" ref="Z428" ca="1" si="687">+Y435</f>
        <v>0</v>
      </c>
    </row>
    <row r="429" spans="2:26" x14ac:dyDescent="0.2">
      <c r="B429" s="32" t="s">
        <v>398</v>
      </c>
      <c r="D429" s="47">
        <f t="shared" ref="D429:D434" ca="1" si="688">+SUM(F429:Z429)</f>
        <v>64165219.326269209</v>
      </c>
      <c r="E429" s="47"/>
      <c r="F429" s="150">
        <f ca="1">-F400</f>
        <v>51505114.619219258</v>
      </c>
      <c r="G429" s="150">
        <f t="shared" ref="G429:Z429" ca="1" si="689">-G400</f>
        <v>12660104.707049951</v>
      </c>
      <c r="H429" s="150">
        <f t="shared" ca="1" si="689"/>
        <v>0</v>
      </c>
      <c r="I429" s="150">
        <f t="shared" ca="1" si="689"/>
        <v>0</v>
      </c>
      <c r="J429" s="150">
        <f t="shared" ca="1" si="689"/>
        <v>0</v>
      </c>
      <c r="K429" s="150">
        <f t="shared" ca="1" si="689"/>
        <v>0</v>
      </c>
      <c r="L429" s="150">
        <f t="shared" ca="1" si="689"/>
        <v>0</v>
      </c>
      <c r="M429" s="150">
        <f t="shared" ca="1" si="689"/>
        <v>0</v>
      </c>
      <c r="N429" s="150">
        <f t="shared" ca="1" si="689"/>
        <v>0</v>
      </c>
      <c r="O429" s="150">
        <f t="shared" ca="1" si="689"/>
        <v>0</v>
      </c>
      <c r="P429" s="150">
        <f t="shared" ca="1" si="689"/>
        <v>0</v>
      </c>
      <c r="Q429" s="150">
        <f t="shared" ca="1" si="689"/>
        <v>0</v>
      </c>
      <c r="R429" s="150">
        <f t="shared" ca="1" si="689"/>
        <v>0</v>
      </c>
      <c r="S429" s="150">
        <f t="shared" ca="1" si="689"/>
        <v>0</v>
      </c>
      <c r="T429" s="150">
        <f t="shared" ca="1" si="689"/>
        <v>0</v>
      </c>
      <c r="U429" s="150">
        <f t="shared" ca="1" si="689"/>
        <v>0</v>
      </c>
      <c r="V429" s="150">
        <f t="shared" ca="1" si="689"/>
        <v>0</v>
      </c>
      <c r="W429" s="150">
        <f t="shared" ca="1" si="689"/>
        <v>0</v>
      </c>
      <c r="X429" s="150">
        <f t="shared" ca="1" si="689"/>
        <v>0</v>
      </c>
      <c r="Y429" s="150">
        <f t="shared" ca="1" si="689"/>
        <v>0</v>
      </c>
      <c r="Z429" s="150">
        <f t="shared" ca="1" si="689"/>
        <v>0</v>
      </c>
    </row>
    <row r="430" spans="2:26" x14ac:dyDescent="0.2">
      <c r="B430" s="32" t="s">
        <v>637</v>
      </c>
      <c r="D430" s="47">
        <f t="shared" ca="1" si="688"/>
        <v>70492694.156509146</v>
      </c>
      <c r="E430" s="47"/>
      <c r="F430" s="150">
        <f ca="1">IF(F397&lt;='Assumptions and Sensis'!$F$51,F390-F146-F216-F261,0)</f>
        <v>0</v>
      </c>
      <c r="G430" s="150">
        <f ca="1">IF(G397&lt;='Assumptions and Sensis'!$F$51,G390-G146-G216-G261,0)</f>
        <v>0</v>
      </c>
      <c r="H430" s="150">
        <f ca="1">IF(H397&lt;='Assumptions and Sensis'!$F$51,H390-H146-H216-H261,0)</f>
        <v>0</v>
      </c>
      <c r="I430" s="150">
        <f ca="1">IF(I397&lt;='Assumptions and Sensis'!$F$51,I390-I146-I216-I261,0)</f>
        <v>-5395907.5067422148</v>
      </c>
      <c r="J430" s="150">
        <f ca="1">IF(J397&lt;='Assumptions and Sensis'!$F$51,J390-J146-J216-J261,0)</f>
        <v>7907814.6005351394</v>
      </c>
      <c r="K430" s="150">
        <f ca="1">IF(K397&lt;='Assumptions and Sensis'!$F$51,K390-K146-K216-K261,0)</f>
        <v>8697210.2696306445</v>
      </c>
      <c r="L430" s="150">
        <f ca="1">IF(L397&lt;='Assumptions and Sensis'!$F$51,L390-L146-L216-L261,0)</f>
        <v>10660778.179327117</v>
      </c>
      <c r="M430" s="150">
        <f ca="1">IF(M397&lt;='Assumptions and Sensis'!$F$51,M390-M146-M216-M261,0)</f>
        <v>11181276.748848269</v>
      </c>
      <c r="N430" s="150">
        <f ca="1">IF(N397&lt;='Assumptions and Sensis'!$F$51,N390-N146-N216-N261,0)</f>
        <v>11832313.01801197</v>
      </c>
      <c r="O430" s="150">
        <f ca="1">IF(O397&lt;='Assumptions and Sensis'!$F$51,O390-O146-O216-O261,0)</f>
        <v>12508166.699106889</v>
      </c>
      <c r="P430" s="150">
        <f ca="1">IF(P397&lt;='Assumptions and Sensis'!$F$51,P390-P146-P216-P261,0)</f>
        <v>13101042.147791333</v>
      </c>
      <c r="Q430" s="150">
        <f>IF(Q397&lt;='Assumptions and Sensis'!$F$51,Q390-Q146-Q216-Q261,0)</f>
        <v>0</v>
      </c>
      <c r="R430" s="150">
        <f>IF(R397&lt;='Assumptions and Sensis'!$F$51,R390-R146-R216-R261,0)</f>
        <v>0</v>
      </c>
      <c r="S430" s="150">
        <f>IF(S397&lt;='Assumptions and Sensis'!$F$51,S390-S146-S216-S261,0)</f>
        <v>0</v>
      </c>
      <c r="T430" s="150">
        <f>IF(T397&lt;='Assumptions and Sensis'!$F$51,T390-T146-T216-T261,0)</f>
        <v>0</v>
      </c>
      <c r="U430" s="150">
        <f>IF(U397&lt;='Assumptions and Sensis'!$F$51,U390-U146-U216-U261,0)</f>
        <v>0</v>
      </c>
      <c r="V430" s="150">
        <f>IF(V397&lt;='Assumptions and Sensis'!$F$51,V390-V146-V216-V261,0)</f>
        <v>0</v>
      </c>
      <c r="W430" s="150">
        <f>IF(W397&lt;='Assumptions and Sensis'!$F$51,W390-W146-W216-W261,0)</f>
        <v>0</v>
      </c>
      <c r="X430" s="150">
        <f>IF(X397&lt;='Assumptions and Sensis'!$F$51,X390-X146-X216-X261,0)</f>
        <v>0</v>
      </c>
      <c r="Y430" s="150">
        <f>IF(Y397&lt;='Assumptions and Sensis'!$F$51,Y390-Y146-Y216-Y261,0)</f>
        <v>0</v>
      </c>
      <c r="Z430" s="150">
        <f>IF(Z397&lt;='Assumptions and Sensis'!$F$51,Z390-Z146-Z216-Z261,0)</f>
        <v>0</v>
      </c>
    </row>
    <row r="431" spans="2:26" x14ac:dyDescent="0.2">
      <c r="B431" s="32" t="s">
        <v>410</v>
      </c>
      <c r="D431" s="47">
        <f t="shared" ca="1" si="688"/>
        <v>-81385351.969348162</v>
      </c>
      <c r="E431" s="47"/>
      <c r="F431" s="150">
        <f>+F391</f>
        <v>0</v>
      </c>
      <c r="G431" s="150">
        <f t="shared" ref="G431:Z431" si="690">+G391</f>
        <v>0</v>
      </c>
      <c r="H431" s="150">
        <f t="shared" si="690"/>
        <v>0</v>
      </c>
      <c r="I431" s="150">
        <f t="shared" si="690"/>
        <v>0</v>
      </c>
      <c r="J431" s="150">
        <f t="shared" ca="1" si="690"/>
        <v>-11626478.852764023</v>
      </c>
      <c r="K431" s="150">
        <f t="shared" ca="1" si="690"/>
        <v>-11626478.852764023</v>
      </c>
      <c r="L431" s="150">
        <f t="shared" ca="1" si="690"/>
        <v>-11626478.852764023</v>
      </c>
      <c r="M431" s="150">
        <f t="shared" ca="1" si="690"/>
        <v>-11626478.852764023</v>
      </c>
      <c r="N431" s="150">
        <f t="shared" ca="1" si="690"/>
        <v>-11626478.852764023</v>
      </c>
      <c r="O431" s="150">
        <f t="shared" ca="1" si="690"/>
        <v>-11626478.852764023</v>
      </c>
      <c r="P431" s="150">
        <f t="shared" ca="1" si="690"/>
        <v>-11626478.852764023</v>
      </c>
      <c r="Q431" s="150">
        <f t="shared" si="690"/>
        <v>0</v>
      </c>
      <c r="R431" s="150">
        <f t="shared" si="690"/>
        <v>0</v>
      </c>
      <c r="S431" s="150">
        <f t="shared" si="690"/>
        <v>0</v>
      </c>
      <c r="T431" s="150">
        <f t="shared" si="690"/>
        <v>0</v>
      </c>
      <c r="U431" s="150">
        <f t="shared" si="690"/>
        <v>0</v>
      </c>
      <c r="V431" s="150">
        <f t="shared" si="690"/>
        <v>0</v>
      </c>
      <c r="W431" s="150">
        <f t="shared" si="690"/>
        <v>0</v>
      </c>
      <c r="X431" s="150">
        <f t="shared" si="690"/>
        <v>0</v>
      </c>
      <c r="Y431" s="150">
        <f t="shared" si="690"/>
        <v>0</v>
      </c>
      <c r="Z431" s="150">
        <f t="shared" si="690"/>
        <v>0</v>
      </c>
    </row>
    <row r="432" spans="2:26" x14ac:dyDescent="0.2">
      <c r="B432" s="32" t="s">
        <v>643</v>
      </c>
      <c r="D432" s="47">
        <f t="shared" ca="1" si="688"/>
        <v>-43396580.446119748</v>
      </c>
      <c r="E432" s="47"/>
      <c r="F432" s="150">
        <f ca="1">-F404</f>
        <v>0</v>
      </c>
      <c r="G432" s="150">
        <f t="shared" ref="G432:Z432" ca="1" si="691">-G404</f>
        <v>0</v>
      </c>
      <c r="H432" s="150">
        <f t="shared" ca="1" si="691"/>
        <v>0</v>
      </c>
      <c r="I432" s="150">
        <f t="shared" ca="1" si="691"/>
        <v>10079580.87596829</v>
      </c>
      <c r="J432" s="150">
        <f t="shared" ca="1" si="691"/>
        <v>-5278132.2857078519</v>
      </c>
      <c r="K432" s="150">
        <f t="shared" ca="1" si="691"/>
        <v>-5896598.6043395866</v>
      </c>
      <c r="L432" s="150">
        <f t="shared" ca="1" si="691"/>
        <v>-7678126.75579214</v>
      </c>
      <c r="M432" s="150">
        <f t="shared" ca="1" si="691"/>
        <v>-8004752.9827835169</v>
      </c>
      <c r="N432" s="150">
        <f t="shared" ca="1" si="691"/>
        <v>-8449315.2071530111</v>
      </c>
      <c r="O432" s="150">
        <f t="shared" ca="1" si="691"/>
        <v>-8905274.030542098</v>
      </c>
      <c r="P432" s="150">
        <f t="shared" ca="1" si="691"/>
        <v>-9263961.4557698313</v>
      </c>
      <c r="Q432" s="150">
        <f t="shared" si="691"/>
        <v>0</v>
      </c>
      <c r="R432" s="150">
        <f t="shared" si="691"/>
        <v>0</v>
      </c>
      <c r="S432" s="150">
        <f t="shared" si="691"/>
        <v>0</v>
      </c>
      <c r="T432" s="150">
        <f t="shared" si="691"/>
        <v>0</v>
      </c>
      <c r="U432" s="150">
        <f t="shared" si="691"/>
        <v>0</v>
      </c>
      <c r="V432" s="150">
        <f t="shared" si="691"/>
        <v>0</v>
      </c>
      <c r="W432" s="150">
        <f t="shared" si="691"/>
        <v>0</v>
      </c>
      <c r="X432" s="150">
        <f t="shared" si="691"/>
        <v>0</v>
      </c>
      <c r="Y432" s="150">
        <f t="shared" si="691"/>
        <v>0</v>
      </c>
      <c r="Z432" s="150">
        <f t="shared" si="691"/>
        <v>0</v>
      </c>
    </row>
    <row r="433" spans="2:26" x14ac:dyDescent="0.2">
      <c r="B433" s="32" t="s">
        <v>640</v>
      </c>
      <c r="D433" s="47">
        <f t="shared" ca="1" si="688"/>
        <v>-242800040.98127508</v>
      </c>
      <c r="E433" s="47"/>
      <c r="F433" s="150">
        <f>-F273-F228-F159</f>
        <v>0</v>
      </c>
      <c r="G433" s="150">
        <f t="shared" ref="G433:Z433" si="692">-G273-G228-G159</f>
        <v>0</v>
      </c>
      <c r="H433" s="150">
        <f t="shared" si="692"/>
        <v>0</v>
      </c>
      <c r="I433" s="150">
        <f t="shared" ca="1" si="692"/>
        <v>-34971568.917374372</v>
      </c>
      <c r="J433" s="150">
        <f t="shared" si="692"/>
        <v>0</v>
      </c>
      <c r="K433" s="150">
        <f t="shared" si="692"/>
        <v>0</v>
      </c>
      <c r="L433" s="150">
        <f t="shared" si="692"/>
        <v>0</v>
      </c>
      <c r="M433" s="150">
        <f t="shared" si="692"/>
        <v>0</v>
      </c>
      <c r="N433" s="150">
        <f t="shared" si="692"/>
        <v>0</v>
      </c>
      <c r="O433" s="150">
        <f t="shared" si="692"/>
        <v>0</v>
      </c>
      <c r="P433" s="150">
        <f t="shared" ca="1" si="692"/>
        <v>-207828472.06390071</v>
      </c>
      <c r="Q433" s="150">
        <f t="shared" si="692"/>
        <v>0</v>
      </c>
      <c r="R433" s="150">
        <f t="shared" si="692"/>
        <v>0</v>
      </c>
      <c r="S433" s="150">
        <f t="shared" si="692"/>
        <v>0</v>
      </c>
      <c r="T433" s="150">
        <f t="shared" si="692"/>
        <v>0</v>
      </c>
      <c r="U433" s="150">
        <f t="shared" si="692"/>
        <v>0</v>
      </c>
      <c r="V433" s="150">
        <f t="shared" si="692"/>
        <v>0</v>
      </c>
      <c r="W433" s="150">
        <f t="shared" si="692"/>
        <v>0</v>
      </c>
      <c r="X433" s="150">
        <f t="shared" si="692"/>
        <v>0</v>
      </c>
      <c r="Y433" s="150">
        <f t="shared" si="692"/>
        <v>0</v>
      </c>
      <c r="Z433" s="150">
        <f t="shared" si="692"/>
        <v>0</v>
      </c>
    </row>
    <row r="434" spans="2:26" x14ac:dyDescent="0.2">
      <c r="B434" s="32" t="s">
        <v>414</v>
      </c>
      <c r="D434" s="47">
        <f t="shared" ca="1" si="688"/>
        <v>232924059.91396463</v>
      </c>
      <c r="E434" s="47"/>
      <c r="F434" s="150">
        <f>-IF(YEAR(F397)=YEAR('Assumptions and Sensis'!$F$51),SUM(F428:F433),0)</f>
        <v>0</v>
      </c>
      <c r="G434" s="150">
        <f>-IF(YEAR(G397)=YEAR('Assumptions and Sensis'!$F$51),SUM(G428:G433),0)</f>
        <v>0</v>
      </c>
      <c r="H434" s="150">
        <f>-IF(YEAR(H397)=YEAR('Assumptions and Sensis'!$F$51),SUM(H428:H433),0)</f>
        <v>0</v>
      </c>
      <c r="I434" s="150">
        <f>-IF(YEAR(I397)=YEAR('Assumptions and Sensis'!$F$51),SUM(I428:I433),0)</f>
        <v>0</v>
      </c>
      <c r="J434" s="150">
        <f>-IF(YEAR(J397)=YEAR('Assumptions and Sensis'!$F$51),SUM(J428:J433),0)</f>
        <v>0</v>
      </c>
      <c r="K434" s="150">
        <f>-IF(YEAR(K397)=YEAR('Assumptions and Sensis'!$F$51),SUM(K428:K433),0)</f>
        <v>0</v>
      </c>
      <c r="L434" s="150">
        <f>-IF(YEAR(L397)=YEAR('Assumptions and Sensis'!$F$51),SUM(L428:L433),0)</f>
        <v>0</v>
      </c>
      <c r="M434" s="150">
        <f>-IF(YEAR(M397)=YEAR('Assumptions and Sensis'!$F$51),SUM(M428:M433),0)</f>
        <v>0</v>
      </c>
      <c r="N434" s="150">
        <f>-IF(YEAR(N397)=YEAR('Assumptions and Sensis'!$F$51),SUM(N428:N433),0)</f>
        <v>0</v>
      </c>
      <c r="O434" s="150">
        <f>-IF(YEAR(O397)=YEAR('Assumptions and Sensis'!$F$51),SUM(O428:O433),0)</f>
        <v>0</v>
      </c>
      <c r="P434" s="150">
        <f ca="1">-IF(YEAR(P397)=YEAR('Assumptions and Sensis'!$F$51),SUM(P428:P433),0)</f>
        <v>232924059.91396463</v>
      </c>
      <c r="Q434" s="150">
        <f>-IF(YEAR(Q397)=YEAR('Assumptions and Sensis'!$F$51),SUM(Q428:Q433),0)</f>
        <v>0</v>
      </c>
      <c r="R434" s="150">
        <f>-IF(YEAR(R397)=YEAR('Assumptions and Sensis'!$F$51),SUM(R428:R433),0)</f>
        <v>0</v>
      </c>
      <c r="S434" s="150">
        <f>-IF(YEAR(S397)=YEAR('Assumptions and Sensis'!$F$51),SUM(S428:S433),0)</f>
        <v>0</v>
      </c>
      <c r="T434" s="150">
        <f>-IF(YEAR(T397)=YEAR('Assumptions and Sensis'!$F$51),SUM(T428:T433),0)</f>
        <v>0</v>
      </c>
      <c r="U434" s="150">
        <f>-IF(YEAR(U397)=YEAR('Assumptions and Sensis'!$F$51),SUM(U428:U433),0)</f>
        <v>0</v>
      </c>
      <c r="V434" s="150">
        <f>-IF(YEAR(V397)=YEAR('Assumptions and Sensis'!$F$51),SUM(V428:V433),0)</f>
        <v>0</v>
      </c>
      <c r="W434" s="150">
        <f>-IF(YEAR(W397)=YEAR('Assumptions and Sensis'!$F$51),SUM(W428:W433),0)</f>
        <v>0</v>
      </c>
      <c r="X434" s="150">
        <f>-IF(YEAR(X397)=YEAR('Assumptions and Sensis'!$F$51),SUM(X428:X433),0)</f>
        <v>0</v>
      </c>
      <c r="Y434" s="150">
        <f>-IF(YEAR(Y397)=YEAR('Assumptions and Sensis'!$F$51),SUM(Y428:Y433),0)</f>
        <v>0</v>
      </c>
      <c r="Z434" s="150">
        <f>-IF(YEAR(Z397)=YEAR('Assumptions and Sensis'!$F$51),SUM(Z428:Z433),0)</f>
        <v>0</v>
      </c>
    </row>
    <row r="435" spans="2:26" x14ac:dyDescent="0.2">
      <c r="B435" s="136" t="s">
        <v>402</v>
      </c>
      <c r="C435" s="136"/>
      <c r="D435" s="35">
        <f t="shared" ref="D435" ca="1" si="693">+SUM(F435:Z435)</f>
        <v>234430981.30859536</v>
      </c>
      <c r="E435" s="128"/>
      <c r="F435" s="128">
        <f ca="1">+SUM(F428:F434)</f>
        <v>51505114.619219258</v>
      </c>
      <c r="G435" s="128">
        <f t="shared" ref="G435:Z435" ca="1" si="694">+SUM(G428:G434)</f>
        <v>64165219.326269209</v>
      </c>
      <c r="H435" s="128">
        <f t="shared" ca="1" si="694"/>
        <v>64165219.326269209</v>
      </c>
      <c r="I435" s="128">
        <f t="shared" ca="1" si="694"/>
        <v>33877323.778120905</v>
      </c>
      <c r="J435" s="128">
        <f t="shared" ca="1" si="694"/>
        <v>24880527.240184166</v>
      </c>
      <c r="K435" s="128">
        <f t="shared" ca="1" si="694"/>
        <v>16054660.052711202</v>
      </c>
      <c r="L435" s="128">
        <f t="shared" ca="1" si="694"/>
        <v>7410832.6234821556</v>
      </c>
      <c r="M435" s="128">
        <f t="shared" ca="1" si="694"/>
        <v>-1039122.4632171169</v>
      </c>
      <c r="N435" s="128">
        <f t="shared" ca="1" si="694"/>
        <v>-9282603.505122181</v>
      </c>
      <c r="O435" s="128">
        <f t="shared" ca="1" si="694"/>
        <v>-17306189.689321414</v>
      </c>
      <c r="P435" s="128">
        <f t="shared" ca="1" si="694"/>
        <v>0</v>
      </c>
      <c r="Q435" s="128">
        <f t="shared" ca="1" si="694"/>
        <v>0</v>
      </c>
      <c r="R435" s="128">
        <f t="shared" ca="1" si="694"/>
        <v>0</v>
      </c>
      <c r="S435" s="128">
        <f t="shared" ca="1" si="694"/>
        <v>0</v>
      </c>
      <c r="T435" s="128">
        <f t="shared" ca="1" si="694"/>
        <v>0</v>
      </c>
      <c r="U435" s="128">
        <f t="shared" ca="1" si="694"/>
        <v>0</v>
      </c>
      <c r="V435" s="128">
        <f t="shared" ca="1" si="694"/>
        <v>0</v>
      </c>
      <c r="W435" s="128">
        <f t="shared" ca="1" si="694"/>
        <v>0</v>
      </c>
      <c r="X435" s="128">
        <f t="shared" ca="1" si="694"/>
        <v>0</v>
      </c>
      <c r="Y435" s="128">
        <f t="shared" ca="1" si="694"/>
        <v>0</v>
      </c>
      <c r="Z435" s="128">
        <f t="shared" ca="1" si="694"/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2:Z438"/>
  <sheetViews>
    <sheetView showGridLines="0" topLeftCell="A417" zoomScale="55" zoomScaleNormal="55" workbookViewId="0">
      <selection activeCell="P400" sqref="B400:P438"/>
    </sheetView>
  </sheetViews>
  <sheetFormatPr baseColWidth="10" defaultColWidth="14.5" defaultRowHeight="16" outlineLevelRow="7" outlineLevelCol="1" x14ac:dyDescent="0.2"/>
  <cols>
    <col min="1" max="1" width="8.5" style="40" customWidth="1"/>
    <col min="2" max="2" width="17.83203125" style="40" customWidth="1"/>
    <col min="3" max="3" width="32.6640625" style="40" customWidth="1"/>
    <col min="4" max="4" width="17.5" style="40" hidden="1" customWidth="1" outlineLevel="1"/>
    <col min="5" max="5" width="14.83203125" style="40" hidden="1" customWidth="1" outlineLevel="1"/>
    <col min="6" max="6" width="18" style="40" bestFit="1" customWidth="1" collapsed="1"/>
    <col min="7" max="8" width="15.5" style="40" bestFit="1" customWidth="1"/>
    <col min="9" max="10" width="14.5" style="40"/>
    <col min="11" max="11" width="15.5" style="40" bestFit="1" customWidth="1"/>
    <col min="12" max="16384" width="14.5" style="40"/>
  </cols>
  <sheetData>
    <row r="2" spans="1:26" x14ac:dyDescent="0.2">
      <c r="B2" s="145" t="s">
        <v>258</v>
      </c>
      <c r="E2" s="145">
        <f>+'Phase I Pro Forma'!E2</f>
        <v>0</v>
      </c>
      <c r="F2" s="145">
        <f>+'Phase I Pro Forma'!F2</f>
        <v>0</v>
      </c>
      <c r="G2" s="145">
        <f>+'Phase I Pro Forma'!G2</f>
        <v>0</v>
      </c>
      <c r="H2" s="145">
        <f>+'Phase I Pro Forma'!H2</f>
        <v>0</v>
      </c>
      <c r="I2" s="145">
        <f>+'Phase I Pro Forma'!I2</f>
        <v>1</v>
      </c>
      <c r="J2" s="145">
        <f>+'Phase I Pro Forma'!J2</f>
        <v>2</v>
      </c>
      <c r="K2" s="145">
        <f>+'Phase I Pro Forma'!K2</f>
        <v>3</v>
      </c>
      <c r="L2" s="145">
        <f>+'Phase I Pro Forma'!L2</f>
        <v>4</v>
      </c>
      <c r="M2" s="145">
        <f>+'Phase I Pro Forma'!M2</f>
        <v>5</v>
      </c>
      <c r="N2" s="145">
        <f>+'Phase I Pro Forma'!N2</f>
        <v>6</v>
      </c>
      <c r="O2" s="145">
        <f>+'Phase I Pro Forma'!O2</f>
        <v>7</v>
      </c>
      <c r="P2" s="145">
        <f>+'Phase I Pro Forma'!P2</f>
        <v>8</v>
      </c>
      <c r="Q2" s="145">
        <f>+'Phase I Pro Forma'!Q2</f>
        <v>9</v>
      </c>
      <c r="R2" s="145">
        <f>+'Phase I Pro Forma'!R2</f>
        <v>10</v>
      </c>
      <c r="S2" s="145">
        <f>+'Phase I Pro Forma'!S2</f>
        <v>11</v>
      </c>
      <c r="T2" s="145">
        <f>+'Phase I Pro Forma'!T2</f>
        <v>12</v>
      </c>
      <c r="U2" s="145">
        <f>+'Phase I Pro Forma'!U2</f>
        <v>13</v>
      </c>
      <c r="V2" s="145">
        <f>+'Phase I Pro Forma'!V2</f>
        <v>14</v>
      </c>
      <c r="W2" s="145">
        <f>+'Phase I Pro Forma'!W2</f>
        <v>15</v>
      </c>
      <c r="X2" s="145">
        <f>+'Phase I Pro Forma'!X2</f>
        <v>16</v>
      </c>
      <c r="Y2" s="145">
        <f>+'Phase I Pro Forma'!Y2</f>
        <v>17</v>
      </c>
      <c r="Z2" s="145">
        <f>+'Phase I Pro Forma'!Z2</f>
        <v>18</v>
      </c>
    </row>
    <row r="3" spans="1:26" x14ac:dyDescent="0.2">
      <c r="B3" s="145" t="s">
        <v>278</v>
      </c>
      <c r="F3" s="145">
        <f>+'Phase I Pro Forma'!F3</f>
        <v>0</v>
      </c>
      <c r="G3" s="145">
        <f>+'Phase I Pro Forma'!G3</f>
        <v>0</v>
      </c>
      <c r="H3" s="145">
        <f>+'Phase I Pro Forma'!H3</f>
        <v>0</v>
      </c>
      <c r="I3" s="145">
        <f>+'Phase I Pro Forma'!I3</f>
        <v>0</v>
      </c>
      <c r="J3" s="145">
        <f>+'Phase I Pro Forma'!J3</f>
        <v>0</v>
      </c>
      <c r="K3" s="145">
        <f>+'Phase I Pro Forma'!K3</f>
        <v>1</v>
      </c>
      <c r="L3" s="145">
        <f>+'Phase I Pro Forma'!L3</f>
        <v>2</v>
      </c>
      <c r="M3" s="145">
        <f>+'Phase I Pro Forma'!M3</f>
        <v>3</v>
      </c>
      <c r="N3" s="145">
        <f>+'Phase I Pro Forma'!N3</f>
        <v>4</v>
      </c>
      <c r="O3" s="145">
        <f>+'Phase I Pro Forma'!O3</f>
        <v>5</v>
      </c>
      <c r="P3" s="145">
        <f>+'Phase I Pro Forma'!P3</f>
        <v>6</v>
      </c>
      <c r="Q3" s="145">
        <f>+'Phase I Pro Forma'!Q3</f>
        <v>7</v>
      </c>
      <c r="R3" s="145">
        <f>+'Phase I Pro Forma'!R3</f>
        <v>8</v>
      </c>
      <c r="S3" s="145">
        <f>+'Phase I Pro Forma'!S3</f>
        <v>9</v>
      </c>
      <c r="T3" s="145">
        <f>+'Phase I Pro Forma'!T3</f>
        <v>10</v>
      </c>
      <c r="U3" s="145">
        <f>+'Phase I Pro Forma'!U3</f>
        <v>11</v>
      </c>
      <c r="V3" s="145">
        <f>+'Phase I Pro Forma'!V3</f>
        <v>12</v>
      </c>
      <c r="W3" s="145">
        <f>+'Phase I Pro Forma'!W3</f>
        <v>13</v>
      </c>
      <c r="X3" s="145">
        <f>+'Phase I Pro Forma'!X3</f>
        <v>14</v>
      </c>
      <c r="Y3" s="145">
        <f>+'Phase I Pro Forma'!Y3</f>
        <v>15</v>
      </c>
      <c r="Z3" s="145">
        <f>+'Phase I Pro Forma'!Z3</f>
        <v>16</v>
      </c>
    </row>
    <row r="4" spans="1:26" x14ac:dyDescent="0.2"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">
      <c r="B5" s="147" t="s">
        <v>783</v>
      </c>
      <c r="F5" s="41"/>
      <c r="G5" s="41"/>
      <c r="H5" s="41"/>
      <c r="I5" s="41"/>
      <c r="J5" s="41"/>
      <c r="K5" s="41"/>
      <c r="L5" s="41"/>
      <c r="M5" s="41"/>
      <c r="N5" s="41"/>
    </row>
    <row r="6" spans="1:26" x14ac:dyDescent="0.2">
      <c r="B6" s="36" t="s">
        <v>782</v>
      </c>
      <c r="C6" s="37"/>
      <c r="D6" s="37"/>
      <c r="E6" s="37"/>
      <c r="F6" s="135">
        <f>+F8</f>
        <v>44196</v>
      </c>
      <c r="G6" s="135">
        <f t="shared" ref="G6:Z6" si="0">+G8</f>
        <v>44561</v>
      </c>
      <c r="H6" s="135">
        <f t="shared" si="0"/>
        <v>44926</v>
      </c>
      <c r="I6" s="135">
        <f t="shared" si="0"/>
        <v>45291</v>
      </c>
      <c r="J6" s="135">
        <f t="shared" si="0"/>
        <v>45657</v>
      </c>
      <c r="K6" s="135">
        <f t="shared" si="0"/>
        <v>46022</v>
      </c>
      <c r="L6" s="135">
        <f t="shared" si="0"/>
        <v>46387</v>
      </c>
      <c r="M6" s="135">
        <f t="shared" si="0"/>
        <v>46752</v>
      </c>
      <c r="N6" s="135">
        <f t="shared" si="0"/>
        <v>47118</v>
      </c>
      <c r="O6" s="135">
        <f t="shared" si="0"/>
        <v>47483</v>
      </c>
      <c r="P6" s="135">
        <f t="shared" si="0"/>
        <v>47848</v>
      </c>
      <c r="Q6" s="135">
        <f t="shared" si="0"/>
        <v>48213</v>
      </c>
      <c r="R6" s="135">
        <f t="shared" si="0"/>
        <v>48579</v>
      </c>
      <c r="S6" s="135">
        <f t="shared" si="0"/>
        <v>48944</v>
      </c>
      <c r="T6" s="135">
        <f t="shared" si="0"/>
        <v>49309</v>
      </c>
      <c r="U6" s="135">
        <f t="shared" si="0"/>
        <v>49674</v>
      </c>
      <c r="V6" s="135">
        <f t="shared" si="0"/>
        <v>50040</v>
      </c>
      <c r="W6" s="135">
        <f t="shared" si="0"/>
        <v>50405</v>
      </c>
      <c r="X6" s="135">
        <f t="shared" si="0"/>
        <v>50770</v>
      </c>
      <c r="Y6" s="135">
        <f t="shared" si="0"/>
        <v>51135</v>
      </c>
      <c r="Z6" s="135">
        <f t="shared" si="0"/>
        <v>51501</v>
      </c>
    </row>
    <row r="7" spans="1:26" hidden="1" outlineLevel="6" x14ac:dyDescent="0.2">
      <c r="B7" s="785"/>
      <c r="C7" s="786"/>
      <c r="D7" s="786"/>
      <c r="E7" s="786"/>
      <c r="F7" s="787">
        <f>+YEAR(F8)</f>
        <v>2020</v>
      </c>
      <c r="G7" s="787">
        <f t="shared" ref="G7:Z7" si="1">+YEAR(G8)</f>
        <v>2021</v>
      </c>
      <c r="H7" s="787">
        <f t="shared" si="1"/>
        <v>2022</v>
      </c>
      <c r="I7" s="787">
        <f t="shared" si="1"/>
        <v>2023</v>
      </c>
      <c r="J7" s="787">
        <f t="shared" si="1"/>
        <v>2024</v>
      </c>
      <c r="K7" s="787">
        <f t="shared" si="1"/>
        <v>2025</v>
      </c>
      <c r="L7" s="787">
        <f t="shared" si="1"/>
        <v>2026</v>
      </c>
      <c r="M7" s="787">
        <f t="shared" si="1"/>
        <v>2027</v>
      </c>
      <c r="N7" s="787">
        <f t="shared" si="1"/>
        <v>2028</v>
      </c>
      <c r="O7" s="787">
        <f t="shared" si="1"/>
        <v>2029</v>
      </c>
      <c r="P7" s="787">
        <f t="shared" si="1"/>
        <v>2030</v>
      </c>
      <c r="Q7" s="787">
        <f t="shared" si="1"/>
        <v>2031</v>
      </c>
      <c r="R7" s="787">
        <f t="shared" si="1"/>
        <v>2032</v>
      </c>
      <c r="S7" s="787">
        <f t="shared" si="1"/>
        <v>2033</v>
      </c>
      <c r="T7" s="787">
        <f t="shared" si="1"/>
        <v>2034</v>
      </c>
      <c r="U7" s="787">
        <f t="shared" si="1"/>
        <v>2035</v>
      </c>
      <c r="V7" s="787">
        <f t="shared" si="1"/>
        <v>2036</v>
      </c>
      <c r="W7" s="787">
        <f t="shared" si="1"/>
        <v>2037</v>
      </c>
      <c r="X7" s="787">
        <f t="shared" si="1"/>
        <v>2038</v>
      </c>
      <c r="Y7" s="787">
        <f t="shared" si="1"/>
        <v>2039</v>
      </c>
      <c r="Z7" s="787">
        <f t="shared" si="1"/>
        <v>2040</v>
      </c>
    </row>
    <row r="8" spans="1:26" collapsed="1" x14ac:dyDescent="0.2">
      <c r="B8" s="147" t="s">
        <v>141</v>
      </c>
      <c r="C8" s="148"/>
      <c r="D8" s="148"/>
      <c r="E8" s="148"/>
      <c r="F8" s="776">
        <f>+'Phase I Pro Forma'!F7</f>
        <v>44196</v>
      </c>
      <c r="G8" s="776">
        <f>+'Phase I Pro Forma'!G7</f>
        <v>44561</v>
      </c>
      <c r="H8" s="776">
        <f>+'Phase I Pro Forma'!H7</f>
        <v>44926</v>
      </c>
      <c r="I8" s="776">
        <f>+'Phase I Pro Forma'!I7</f>
        <v>45291</v>
      </c>
      <c r="J8" s="776">
        <f>+'Phase I Pro Forma'!J7</f>
        <v>45657</v>
      </c>
      <c r="K8" s="776">
        <f>+'Phase I Pro Forma'!K7</f>
        <v>46022</v>
      </c>
      <c r="L8" s="776">
        <f>+'Phase I Pro Forma'!L7</f>
        <v>46387</v>
      </c>
      <c r="M8" s="776">
        <f>+'Phase I Pro Forma'!M7</f>
        <v>46752</v>
      </c>
      <c r="N8" s="776">
        <f>+'Phase I Pro Forma'!N7</f>
        <v>47118</v>
      </c>
      <c r="O8" s="776">
        <f>+'Phase I Pro Forma'!O7</f>
        <v>47483</v>
      </c>
      <c r="P8" s="776">
        <f>+'Phase I Pro Forma'!P7</f>
        <v>47848</v>
      </c>
      <c r="Q8" s="776">
        <f>+'Phase I Pro Forma'!Q7</f>
        <v>48213</v>
      </c>
      <c r="R8" s="776">
        <f>+'Phase I Pro Forma'!R7</f>
        <v>48579</v>
      </c>
      <c r="S8" s="776">
        <f>+'Phase I Pro Forma'!S7</f>
        <v>48944</v>
      </c>
      <c r="T8" s="776">
        <f>+'Phase I Pro Forma'!T7</f>
        <v>49309</v>
      </c>
      <c r="U8" s="776">
        <f>+'Phase I Pro Forma'!U7</f>
        <v>49674</v>
      </c>
      <c r="V8" s="776">
        <f>+'Phase I Pro Forma'!V7</f>
        <v>50040</v>
      </c>
      <c r="W8" s="776">
        <f>+'Phase I Pro Forma'!W7</f>
        <v>50405</v>
      </c>
      <c r="X8" s="776">
        <f>+'Phase I Pro Forma'!X7</f>
        <v>50770</v>
      </c>
      <c r="Y8" s="776">
        <f>+'Phase I Pro Forma'!Y7</f>
        <v>51135</v>
      </c>
      <c r="Z8" s="776">
        <f>+'Phase I Pro Forma'!Z7</f>
        <v>51501</v>
      </c>
    </row>
    <row r="9" spans="1:26" hidden="1" outlineLevel="2" x14ac:dyDescent="0.2">
      <c r="A9" s="139"/>
      <c r="B9" s="788" t="s">
        <v>756</v>
      </c>
      <c r="C9" s="788"/>
      <c r="D9" s="791"/>
      <c r="E9" s="791"/>
      <c r="F9" s="789">
        <f>+'Phase I Pro Forma'!F8</f>
        <v>0</v>
      </c>
      <c r="G9" s="789">
        <f>+'Phase I Pro Forma'!G8</f>
        <v>0</v>
      </c>
      <c r="H9" s="789">
        <f>+'Phase I Pro Forma'!H8</f>
        <v>0</v>
      </c>
      <c r="I9" s="789">
        <f>+'Phase I Pro Forma'!I8</f>
        <v>54665.792569710728</v>
      </c>
      <c r="J9" s="789">
        <f>+'Phase I Pro Forma'!J8</f>
        <v>54665.792569710728</v>
      </c>
      <c r="K9" s="789">
        <f>+'Phase I Pro Forma'!K8</f>
        <v>0</v>
      </c>
      <c r="L9" s="789">
        <f>+'Phase I Pro Forma'!L8</f>
        <v>0</v>
      </c>
      <c r="M9" s="789">
        <f>+'Phase I Pro Forma'!M8</f>
        <v>0</v>
      </c>
      <c r="N9" s="789">
        <f>+'Phase I Pro Forma'!N8</f>
        <v>0</v>
      </c>
      <c r="O9" s="789">
        <f>+'Phase I Pro Forma'!O8</f>
        <v>0</v>
      </c>
      <c r="P9" s="789">
        <f>+'Phase I Pro Forma'!P8</f>
        <v>0</v>
      </c>
      <c r="Q9" s="789">
        <f>+'Phase I Pro Forma'!Q8</f>
        <v>0</v>
      </c>
      <c r="R9" s="789">
        <f>+'Phase I Pro Forma'!R8</f>
        <v>0</v>
      </c>
      <c r="S9" s="789">
        <f>+'Phase I Pro Forma'!S8</f>
        <v>0</v>
      </c>
      <c r="T9" s="789">
        <f>+'Phase I Pro Forma'!T8</f>
        <v>0</v>
      </c>
      <c r="U9" s="789">
        <f>+'Phase I Pro Forma'!U8</f>
        <v>0</v>
      </c>
      <c r="V9" s="789">
        <f>+'Phase I Pro Forma'!V8</f>
        <v>0</v>
      </c>
      <c r="W9" s="789">
        <f>+'Phase I Pro Forma'!W8</f>
        <v>0</v>
      </c>
      <c r="X9" s="789">
        <f>+'Phase I Pro Forma'!X8</f>
        <v>0</v>
      </c>
      <c r="Y9" s="789">
        <f>+'Phase I Pro Forma'!Y8</f>
        <v>0</v>
      </c>
      <c r="Z9" s="789">
        <f>+'Phase I Pro Forma'!Z8</f>
        <v>0</v>
      </c>
    </row>
    <row r="10" spans="1:26" collapsed="1" x14ac:dyDescent="0.2">
      <c r="B10" s="32" t="s">
        <v>784</v>
      </c>
      <c r="C10" s="32"/>
      <c r="D10" s="41"/>
      <c r="E10" s="41"/>
      <c r="F10" s="41">
        <f>+D10+F9</f>
        <v>0</v>
      </c>
      <c r="G10" s="41">
        <f t="shared" ref="G10:Z10" si="2">+F10+G9</f>
        <v>0</v>
      </c>
      <c r="H10" s="41">
        <f t="shared" si="2"/>
        <v>0</v>
      </c>
      <c r="I10" s="41">
        <f t="shared" si="2"/>
        <v>54665.792569710728</v>
      </c>
      <c r="J10" s="41">
        <f t="shared" si="2"/>
        <v>109331.58513942146</v>
      </c>
      <c r="K10" s="41">
        <f t="shared" si="2"/>
        <v>109331.58513942146</v>
      </c>
      <c r="L10" s="41">
        <f t="shared" si="2"/>
        <v>109331.58513942146</v>
      </c>
      <c r="M10" s="41">
        <f t="shared" si="2"/>
        <v>109331.58513942146</v>
      </c>
      <c r="N10" s="41">
        <f t="shared" si="2"/>
        <v>109331.58513942146</v>
      </c>
      <c r="O10" s="41">
        <f t="shared" si="2"/>
        <v>109331.58513942146</v>
      </c>
      <c r="P10" s="41">
        <f t="shared" si="2"/>
        <v>109331.58513942146</v>
      </c>
      <c r="Q10" s="41">
        <f t="shared" si="2"/>
        <v>109331.58513942146</v>
      </c>
      <c r="R10" s="41">
        <f t="shared" si="2"/>
        <v>109331.58513942146</v>
      </c>
      <c r="S10" s="41">
        <f t="shared" si="2"/>
        <v>109331.58513942146</v>
      </c>
      <c r="T10" s="41">
        <f t="shared" si="2"/>
        <v>109331.58513942146</v>
      </c>
      <c r="U10" s="41">
        <f t="shared" si="2"/>
        <v>109331.58513942146</v>
      </c>
      <c r="V10" s="41">
        <f t="shared" si="2"/>
        <v>109331.58513942146</v>
      </c>
      <c r="W10" s="41">
        <f t="shared" si="2"/>
        <v>109331.58513942146</v>
      </c>
      <c r="X10" s="41">
        <f t="shared" si="2"/>
        <v>109331.58513942146</v>
      </c>
      <c r="Y10" s="41">
        <f t="shared" si="2"/>
        <v>109331.58513942146</v>
      </c>
      <c r="Z10" s="41">
        <f t="shared" si="2"/>
        <v>109331.58513942146</v>
      </c>
    </row>
    <row r="11" spans="1:26" hidden="1" outlineLevel="4" x14ac:dyDescent="0.2">
      <c r="B11" s="788" t="s">
        <v>490</v>
      </c>
      <c r="C11" s="788"/>
      <c r="D11" s="789"/>
      <c r="E11" s="789"/>
      <c r="F11" s="789">
        <f>+F12-E12</f>
        <v>0</v>
      </c>
      <c r="G11" s="789">
        <f t="shared" ref="G11:Z11" si="3">+G12-F12</f>
        <v>0</v>
      </c>
      <c r="H11" s="789">
        <f t="shared" si="3"/>
        <v>0</v>
      </c>
      <c r="I11" s="789">
        <f t="shared" si="3"/>
        <v>74.792743470376962</v>
      </c>
      <c r="J11" s="789">
        <f t="shared" si="3"/>
        <v>74.792743470376962</v>
      </c>
      <c r="K11" s="789">
        <f t="shared" si="3"/>
        <v>0</v>
      </c>
      <c r="L11" s="789">
        <f t="shared" si="3"/>
        <v>0</v>
      </c>
      <c r="M11" s="789">
        <f t="shared" si="3"/>
        <v>0</v>
      </c>
      <c r="N11" s="789">
        <f t="shared" si="3"/>
        <v>0</v>
      </c>
      <c r="O11" s="789">
        <f t="shared" si="3"/>
        <v>0</v>
      </c>
      <c r="P11" s="789">
        <f t="shared" si="3"/>
        <v>0</v>
      </c>
      <c r="Q11" s="789">
        <f t="shared" si="3"/>
        <v>0</v>
      </c>
      <c r="R11" s="789">
        <f t="shared" si="3"/>
        <v>0</v>
      </c>
      <c r="S11" s="789">
        <f t="shared" si="3"/>
        <v>0</v>
      </c>
      <c r="T11" s="789">
        <f t="shared" si="3"/>
        <v>0</v>
      </c>
      <c r="U11" s="789">
        <f t="shared" si="3"/>
        <v>0</v>
      </c>
      <c r="V11" s="789">
        <f t="shared" si="3"/>
        <v>0</v>
      </c>
      <c r="W11" s="789">
        <f t="shared" si="3"/>
        <v>0</v>
      </c>
      <c r="X11" s="789">
        <f t="shared" si="3"/>
        <v>0</v>
      </c>
      <c r="Y11" s="789">
        <f t="shared" si="3"/>
        <v>0</v>
      </c>
      <c r="Z11" s="789">
        <f t="shared" si="3"/>
        <v>0</v>
      </c>
    </row>
    <row r="12" spans="1:26" hidden="1" outlineLevel="4" x14ac:dyDescent="0.2">
      <c r="B12" s="788" t="s">
        <v>247</v>
      </c>
      <c r="C12" s="788"/>
      <c r="D12" s="789"/>
      <c r="E12" s="789"/>
      <c r="F12" s="789">
        <f>+'Phase I Pro Forma'!F11</f>
        <v>0</v>
      </c>
      <c r="G12" s="789">
        <f>+'Phase I Pro Forma'!G11</f>
        <v>0</v>
      </c>
      <c r="H12" s="789">
        <f>+'Phase I Pro Forma'!H11</f>
        <v>0</v>
      </c>
      <c r="I12" s="789">
        <f>+'Phase I Pro Forma'!I11</f>
        <v>74.792743470376962</v>
      </c>
      <c r="J12" s="789">
        <f>+'Phase I Pro Forma'!J11</f>
        <v>149.58548694075392</v>
      </c>
      <c r="K12" s="789">
        <f>+'Phase I Pro Forma'!K11</f>
        <v>149.58548694075392</v>
      </c>
      <c r="L12" s="789">
        <f>+'Phase I Pro Forma'!L11</f>
        <v>149.58548694075392</v>
      </c>
      <c r="M12" s="789">
        <f>+'Phase I Pro Forma'!M11</f>
        <v>149.58548694075392</v>
      </c>
      <c r="N12" s="789">
        <f>+'Phase I Pro Forma'!N11</f>
        <v>149.58548694075392</v>
      </c>
      <c r="O12" s="789">
        <f>+'Phase I Pro Forma'!O11</f>
        <v>149.58548694075392</v>
      </c>
      <c r="P12" s="789">
        <f>+'Phase I Pro Forma'!P11</f>
        <v>149.58548694075392</v>
      </c>
      <c r="Q12" s="789">
        <f>+'Phase I Pro Forma'!Q11</f>
        <v>149.58548694075392</v>
      </c>
      <c r="R12" s="789">
        <f>+'Phase I Pro Forma'!R11</f>
        <v>149.58548694075392</v>
      </c>
      <c r="S12" s="789">
        <f>+'Phase I Pro Forma'!S11</f>
        <v>149.58548694075392</v>
      </c>
      <c r="T12" s="789">
        <f>+'Phase I Pro Forma'!T11</f>
        <v>149.58548694075392</v>
      </c>
      <c r="U12" s="789">
        <f>+'Phase I Pro Forma'!U11</f>
        <v>149.58548694075392</v>
      </c>
      <c r="V12" s="789">
        <f>+'Phase I Pro Forma'!V11</f>
        <v>149.58548694075392</v>
      </c>
      <c r="W12" s="789">
        <f>+'Phase I Pro Forma'!W11</f>
        <v>149.58548694075392</v>
      </c>
      <c r="X12" s="789">
        <f>+'Phase I Pro Forma'!X11</f>
        <v>149.58548694075392</v>
      </c>
      <c r="Y12" s="789">
        <f>+'Phase I Pro Forma'!Y11</f>
        <v>149.58548694075392</v>
      </c>
      <c r="Z12" s="789">
        <f>+'Phase I Pro Forma'!Z11</f>
        <v>149.58548694075392</v>
      </c>
    </row>
    <row r="13" spans="1:26" hidden="1" outlineLevel="4" x14ac:dyDescent="0.2">
      <c r="B13" s="788" t="s">
        <v>301</v>
      </c>
      <c r="C13" s="788"/>
      <c r="D13" s="789"/>
      <c r="E13" s="789"/>
      <c r="F13" s="790">
        <f t="shared" ref="F13:Z13" si="4">+F10/SUM($F$9:$Z$9)</f>
        <v>0</v>
      </c>
      <c r="G13" s="790">
        <f t="shared" si="4"/>
        <v>0</v>
      </c>
      <c r="H13" s="790">
        <f t="shared" si="4"/>
        <v>0</v>
      </c>
      <c r="I13" s="790">
        <f t="shared" si="4"/>
        <v>0.5</v>
      </c>
      <c r="J13" s="790">
        <f t="shared" si="4"/>
        <v>1</v>
      </c>
      <c r="K13" s="790">
        <f t="shared" si="4"/>
        <v>1</v>
      </c>
      <c r="L13" s="790">
        <f t="shared" si="4"/>
        <v>1</v>
      </c>
      <c r="M13" s="790">
        <f t="shared" si="4"/>
        <v>1</v>
      </c>
      <c r="N13" s="790">
        <f t="shared" si="4"/>
        <v>1</v>
      </c>
      <c r="O13" s="790">
        <f t="shared" si="4"/>
        <v>1</v>
      </c>
      <c r="P13" s="790">
        <f t="shared" si="4"/>
        <v>1</v>
      </c>
      <c r="Q13" s="790">
        <f t="shared" si="4"/>
        <v>1</v>
      </c>
      <c r="R13" s="790">
        <f t="shared" si="4"/>
        <v>1</v>
      </c>
      <c r="S13" s="790">
        <f t="shared" si="4"/>
        <v>1</v>
      </c>
      <c r="T13" s="790">
        <f t="shared" si="4"/>
        <v>1</v>
      </c>
      <c r="U13" s="790">
        <f t="shared" si="4"/>
        <v>1</v>
      </c>
      <c r="V13" s="790">
        <f t="shared" si="4"/>
        <v>1</v>
      </c>
      <c r="W13" s="790">
        <f t="shared" si="4"/>
        <v>1</v>
      </c>
      <c r="X13" s="790">
        <f t="shared" si="4"/>
        <v>1</v>
      </c>
      <c r="Y13" s="790">
        <f t="shared" si="4"/>
        <v>1</v>
      </c>
      <c r="Z13" s="790">
        <f t="shared" si="4"/>
        <v>1</v>
      </c>
    </row>
    <row r="14" spans="1:26" hidden="1" outlineLevel="1" x14ac:dyDescent="0.2">
      <c r="B14" s="788"/>
      <c r="C14" s="788"/>
      <c r="D14" s="789"/>
      <c r="E14" s="789"/>
      <c r="F14" s="790"/>
      <c r="G14" s="790"/>
      <c r="H14" s="790"/>
      <c r="I14" s="790"/>
      <c r="J14" s="790"/>
      <c r="K14" s="790"/>
      <c r="L14" s="790"/>
      <c r="M14" s="790"/>
      <c r="N14" s="790"/>
      <c r="O14" s="790"/>
      <c r="P14" s="790"/>
      <c r="Q14" s="790"/>
      <c r="R14" s="790"/>
      <c r="S14" s="790"/>
      <c r="T14" s="790"/>
      <c r="U14" s="790"/>
      <c r="V14" s="790"/>
      <c r="W14" s="790"/>
      <c r="X14" s="790"/>
      <c r="Y14" s="790"/>
      <c r="Z14" s="790"/>
    </row>
    <row r="15" spans="1:26" hidden="1" outlineLevel="1" x14ac:dyDescent="0.2">
      <c r="B15" s="788" t="s">
        <v>251</v>
      </c>
      <c r="C15" s="788"/>
      <c r="D15" s="789"/>
      <c r="E15" s="789"/>
      <c r="F15" s="790">
        <f>+'Phase I Pro Forma'!F14</f>
        <v>1</v>
      </c>
      <c r="G15" s="790">
        <f>+'Phase I Pro Forma'!G14</f>
        <v>1.02</v>
      </c>
      <c r="H15" s="790">
        <f>+'Phase I Pro Forma'!H14</f>
        <v>1.0404</v>
      </c>
      <c r="I15" s="790">
        <f>+'Phase I Pro Forma'!I14</f>
        <v>1.0612079999999999</v>
      </c>
      <c r="J15" s="790">
        <f>+'Phase I Pro Forma'!J14</f>
        <v>1.08243216</v>
      </c>
      <c r="K15" s="790">
        <f>+'Phase I Pro Forma'!K14</f>
        <v>1.1040808032</v>
      </c>
      <c r="L15" s="790">
        <f>+'Phase I Pro Forma'!L14</f>
        <v>1.1261624192640001</v>
      </c>
      <c r="M15" s="790">
        <f>+'Phase I Pro Forma'!M14</f>
        <v>1.14868566764928</v>
      </c>
      <c r="N15" s="790">
        <f>+'Phase I Pro Forma'!N14</f>
        <v>1.1716593810022657</v>
      </c>
      <c r="O15" s="790">
        <f>+'Phase I Pro Forma'!O14</f>
        <v>1.1950925686223111</v>
      </c>
      <c r="P15" s="790">
        <f>+'Phase I Pro Forma'!P14</f>
        <v>1.2189944199947573</v>
      </c>
      <c r="Q15" s="790">
        <f>+'Phase I Pro Forma'!Q14</f>
        <v>1.2433743083946525</v>
      </c>
      <c r="R15" s="790">
        <f>+'Phase I Pro Forma'!R14</f>
        <v>1.2682417945625455</v>
      </c>
      <c r="S15" s="790">
        <f>+'Phase I Pro Forma'!S14</f>
        <v>1.2936066304537963</v>
      </c>
      <c r="T15" s="790">
        <f>+'Phase I Pro Forma'!T14</f>
        <v>1.3194787630628724</v>
      </c>
      <c r="U15" s="790">
        <f>+'Phase I Pro Forma'!U14</f>
        <v>1.3458683383241299</v>
      </c>
      <c r="V15" s="790">
        <f>+'Phase I Pro Forma'!V14</f>
        <v>1.3727857050906125</v>
      </c>
      <c r="W15" s="790">
        <f>+'Phase I Pro Forma'!W14</f>
        <v>1.4002414191924248</v>
      </c>
      <c r="X15" s="790">
        <f>+'Phase I Pro Forma'!X14</f>
        <v>1.4282462475762734</v>
      </c>
      <c r="Y15" s="790">
        <f>+'Phase I Pro Forma'!Y14</f>
        <v>1.4568111725277988</v>
      </c>
      <c r="Z15" s="790">
        <f>+'Phase I Pro Forma'!Z14</f>
        <v>1.4859473959783549</v>
      </c>
    </row>
    <row r="16" spans="1:26" hidden="1" outlineLevel="1" x14ac:dyDescent="0.2">
      <c r="B16" s="788" t="s">
        <v>252</v>
      </c>
      <c r="C16" s="788"/>
      <c r="D16" s="789"/>
      <c r="E16" s="789"/>
      <c r="F16" s="790">
        <f>+'Phase I Pro Forma'!F15</f>
        <v>1</v>
      </c>
      <c r="G16" s="790">
        <f>+'Phase I Pro Forma'!G15</f>
        <v>1.03</v>
      </c>
      <c r="H16" s="790">
        <f>+'Phase I Pro Forma'!H15</f>
        <v>1.0609</v>
      </c>
      <c r="I16" s="790">
        <f>+'Phase I Pro Forma'!I15</f>
        <v>1.092727</v>
      </c>
      <c r="J16" s="790">
        <f>+'Phase I Pro Forma'!J15</f>
        <v>1.1255088100000001</v>
      </c>
      <c r="K16" s="790">
        <f>+'Phase I Pro Forma'!K15</f>
        <v>1.1592740743000001</v>
      </c>
      <c r="L16" s="790">
        <f>+'Phase I Pro Forma'!L15</f>
        <v>1.1940522965290001</v>
      </c>
      <c r="M16" s="790">
        <f>+'Phase I Pro Forma'!M15</f>
        <v>1.2298738654248702</v>
      </c>
      <c r="N16" s="790">
        <f>+'Phase I Pro Forma'!N15</f>
        <v>1.2667700813876164</v>
      </c>
      <c r="O16" s="790">
        <f>+'Phase I Pro Forma'!O15</f>
        <v>1.3047731838292449</v>
      </c>
      <c r="P16" s="790">
        <f>+'Phase I Pro Forma'!P15</f>
        <v>1.3439163793441222</v>
      </c>
      <c r="Q16" s="790">
        <f>+'Phase I Pro Forma'!Q15</f>
        <v>1.3842338707244459</v>
      </c>
      <c r="R16" s="790">
        <f>+'Phase I Pro Forma'!R15</f>
        <v>1.4257608868461793</v>
      </c>
      <c r="S16" s="790">
        <f>+'Phase I Pro Forma'!S15</f>
        <v>1.4685337134515648</v>
      </c>
      <c r="T16" s="790">
        <f>+'Phase I Pro Forma'!T15</f>
        <v>1.5125897248551119</v>
      </c>
      <c r="U16" s="790">
        <f>+'Phase I Pro Forma'!U15</f>
        <v>1.5579674166007653</v>
      </c>
      <c r="V16" s="790">
        <f>+'Phase I Pro Forma'!V15</f>
        <v>1.6047064390987884</v>
      </c>
      <c r="W16" s="790">
        <f>+'Phase I Pro Forma'!W15</f>
        <v>1.652847632271752</v>
      </c>
      <c r="X16" s="790">
        <f>+'Phase I Pro Forma'!X15</f>
        <v>1.7024330612399046</v>
      </c>
      <c r="Y16" s="790">
        <f>+'Phase I Pro Forma'!Y15</f>
        <v>1.7535060530771018</v>
      </c>
      <c r="Z16" s="790">
        <f>+'Phase I Pro Forma'!Z15</f>
        <v>1.806111234669415</v>
      </c>
    </row>
    <row r="17" spans="2:26" ht="5" customHeight="1" collapsed="1" x14ac:dyDescent="0.2">
      <c r="B17" s="32"/>
      <c r="C17" s="32"/>
      <c r="D17" s="39"/>
      <c r="E17" s="39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2:26" x14ac:dyDescent="0.2">
      <c r="B18" s="32" t="s">
        <v>243</v>
      </c>
      <c r="C18" s="32"/>
      <c r="D18" s="39"/>
      <c r="E18" s="39"/>
      <c r="F18" s="48">
        <f>+'Phase I Pro Forma'!F17/1000000</f>
        <v>0</v>
      </c>
      <c r="G18" s="48">
        <f>+'Phase I Pro Forma'!G17/1000000</f>
        <v>0</v>
      </c>
      <c r="H18" s="48">
        <f>+'Phase I Pro Forma'!H17/1000000</f>
        <v>0</v>
      </c>
      <c r="I18" s="48">
        <f>+'Phase I Pro Forma'!I17/1000000</f>
        <v>0.70387903302817578</v>
      </c>
      <c r="J18" s="48">
        <f>+'Phase I Pro Forma'!J17/1000000</f>
        <v>1.4359132273774788</v>
      </c>
      <c r="K18" s="48">
        <f>+'Phase I Pro Forma'!K17/1000000</f>
        <v>1.4646314919250283</v>
      </c>
      <c r="L18" s="48">
        <f>+'Phase I Pro Forma'!L17/1000000</f>
        <v>1.4939241217635291</v>
      </c>
      <c r="M18" s="48">
        <f>+'Phase I Pro Forma'!M17/1000000</f>
        <v>1.5238026041987998</v>
      </c>
      <c r="N18" s="48">
        <f>+'Phase I Pro Forma'!N17/1000000</f>
        <v>1.5542786562827757</v>
      </c>
      <c r="O18" s="48">
        <f>+'Phase I Pro Forma'!O17/1000000</f>
        <v>1.5853642294084314</v>
      </c>
      <c r="P18" s="48">
        <f>+'Phase I Pro Forma'!P17/1000000</f>
        <v>1.6170715139965999</v>
      </c>
      <c r="Q18" s="48">
        <f>+'Phase I Pro Forma'!Q17/1000000</f>
        <v>1.649412944276532</v>
      </c>
      <c r="R18" s="48">
        <f>+'Phase I Pro Forma'!R17/1000000</f>
        <v>1.6824012031620628</v>
      </c>
      <c r="S18" s="48">
        <f>+'Phase I Pro Forma'!S17/1000000</f>
        <v>1.7160492272253036</v>
      </c>
      <c r="T18" s="48">
        <f>+'Phase I Pro Forma'!T17/1000000</f>
        <v>1.7503702117698099</v>
      </c>
      <c r="U18" s="48">
        <f>+'Phase I Pro Forma'!U17/1000000</f>
        <v>1.7853776160052062</v>
      </c>
      <c r="V18" s="48">
        <f>+'Phase I Pro Forma'!V17/1000000</f>
        <v>1.8210851683253104</v>
      </c>
      <c r="W18" s="48">
        <f>+'Phase I Pro Forma'!W17/1000000</f>
        <v>1.8575068716918168</v>
      </c>
      <c r="X18" s="48">
        <f>+'Phase I Pro Forma'!X17/1000000</f>
        <v>1.8946570091256532</v>
      </c>
      <c r="Y18" s="48">
        <f>+'Phase I Pro Forma'!Y17/1000000</f>
        <v>1.932550149308166</v>
      </c>
      <c r="Z18" s="48">
        <f>+'Phase I Pro Forma'!Z17/1000000</f>
        <v>1.9712011522943296</v>
      </c>
    </row>
    <row r="19" spans="2:26" x14ac:dyDescent="0.2">
      <c r="B19" s="32" t="s">
        <v>244</v>
      </c>
      <c r="C19" s="32"/>
      <c r="D19" s="39"/>
      <c r="E19" s="39"/>
      <c r="F19" s="771">
        <f>+'Phase I Pro Forma'!F18/1000000</f>
        <v>0</v>
      </c>
      <c r="G19" s="771">
        <f>+'Phase I Pro Forma'!G18/1000000</f>
        <v>0</v>
      </c>
      <c r="H19" s="771">
        <f>+'Phase I Pro Forma'!H18/1000000</f>
        <v>0</v>
      </c>
      <c r="I19" s="771">
        <f>+'Phase I Pro Forma'!I18/1000000</f>
        <v>-2.1116370990845273E-2</v>
      </c>
      <c r="J19" s="771">
        <f>+'Phase I Pro Forma'!J18/1000000</f>
        <v>-4.307739682132436E-2</v>
      </c>
      <c r="K19" s="771">
        <f>+'Phase I Pro Forma'!K18/1000000</f>
        <v>-4.3938944757750849E-2</v>
      </c>
      <c r="L19" s="771">
        <f>+'Phase I Pro Forma'!L18/1000000</f>
        <v>-4.4817723652905872E-2</v>
      </c>
      <c r="M19" s="771">
        <f>+'Phase I Pro Forma'!M18/1000000</f>
        <v>-4.5714078125963994E-2</v>
      </c>
      <c r="N19" s="771">
        <f>+'Phase I Pro Forma'!N18/1000000</f>
        <v>-4.6628359688483272E-2</v>
      </c>
      <c r="O19" s="771">
        <f>+'Phase I Pro Forma'!O18/1000000</f>
        <v>-4.7560926882252941E-2</v>
      </c>
      <c r="P19" s="771">
        <f>+'Phase I Pro Forma'!P18/1000000</f>
        <v>-4.8512145419897998E-2</v>
      </c>
      <c r="Q19" s="771">
        <f>+'Phase I Pro Forma'!Q18/1000000</f>
        <v>-4.9482388328295955E-2</v>
      </c>
      <c r="R19" s="771">
        <f>+'Phase I Pro Forma'!R18/1000000</f>
        <v>-5.0472036094861873E-2</v>
      </c>
      <c r="S19" s="771">
        <f>+'Phase I Pro Forma'!S18/1000000</f>
        <v>-5.148147681675911E-2</v>
      </c>
      <c r="T19" s="771">
        <f>+'Phase I Pro Forma'!T18/1000000</f>
        <v>-5.2511106353094299E-2</v>
      </c>
      <c r="U19" s="771">
        <f>+'Phase I Pro Forma'!U18/1000000</f>
        <v>-5.3561328480156184E-2</v>
      </c>
      <c r="V19" s="771">
        <f>+'Phase I Pro Forma'!V18/1000000</f>
        <v>-5.4632555049759307E-2</v>
      </c>
      <c r="W19" s="771">
        <f>+'Phase I Pro Forma'!W18/1000000</f>
        <v>-5.5725206150754499E-2</v>
      </c>
      <c r="X19" s="771">
        <f>+'Phase I Pro Forma'!X18/1000000</f>
        <v>-5.6839710273769599E-2</v>
      </c>
      <c r="Y19" s="771">
        <f>+'Phase I Pro Forma'!Y18/1000000</f>
        <v>-5.7976504479244975E-2</v>
      </c>
      <c r="Z19" s="771">
        <f>+'Phase I Pro Forma'!Z18/1000000</f>
        <v>-5.9136034568829883E-2</v>
      </c>
    </row>
    <row r="20" spans="2:26" x14ac:dyDescent="0.2">
      <c r="B20" s="32" t="s">
        <v>379</v>
      </c>
      <c r="C20" s="32"/>
      <c r="D20" s="39"/>
      <c r="E20" s="39"/>
      <c r="F20" s="772">
        <f>+'Phase I Pro Forma'!F19/1000000</f>
        <v>0</v>
      </c>
      <c r="G20" s="772">
        <f>+'Phase I Pro Forma'!G19/1000000</f>
        <v>0</v>
      </c>
      <c r="H20" s="772">
        <f>+'Phase I Pro Forma'!H19/1000000</f>
        <v>0</v>
      </c>
      <c r="I20" s="772">
        <f>+'Phase I Pro Forma'!I19/1000000</f>
        <v>4.3529376699759396E-3</v>
      </c>
      <c r="J20" s="772">
        <f>+'Phase I Pro Forma'!J19/1000000</f>
        <v>8.7058753399518792E-3</v>
      </c>
      <c r="K20" s="772">
        <f>+'Phase I Pro Forma'!K19/1000000</f>
        <v>8.7058753399518792E-3</v>
      </c>
      <c r="L20" s="772">
        <f>+'Phase I Pro Forma'!L19/1000000</f>
        <v>8.7058753399518792E-3</v>
      </c>
      <c r="M20" s="772">
        <f>+'Phase I Pro Forma'!M19/1000000</f>
        <v>8.7058753399518792E-3</v>
      </c>
      <c r="N20" s="772">
        <f>+'Phase I Pro Forma'!N19/1000000</f>
        <v>8.7058753399518792E-3</v>
      </c>
      <c r="O20" s="772">
        <f>+'Phase I Pro Forma'!O19/1000000</f>
        <v>8.7058753399518792E-3</v>
      </c>
      <c r="P20" s="772">
        <f>+'Phase I Pro Forma'!P19/1000000</f>
        <v>8.7058753399518792E-3</v>
      </c>
      <c r="Q20" s="772">
        <f>+'Phase I Pro Forma'!Q19/1000000</f>
        <v>8.7058753399518792E-3</v>
      </c>
      <c r="R20" s="772">
        <f>+'Phase I Pro Forma'!R19/1000000</f>
        <v>8.7058753399518792E-3</v>
      </c>
      <c r="S20" s="772">
        <f>+'Phase I Pro Forma'!S19/1000000</f>
        <v>8.7058753399518792E-3</v>
      </c>
      <c r="T20" s="772">
        <f>+'Phase I Pro Forma'!T19/1000000</f>
        <v>8.7058753399518792E-3</v>
      </c>
      <c r="U20" s="772">
        <f>+'Phase I Pro Forma'!U19/1000000</f>
        <v>8.7058753399518792E-3</v>
      </c>
      <c r="V20" s="772">
        <f>+'Phase I Pro Forma'!V19/1000000</f>
        <v>8.7058753399518792E-3</v>
      </c>
      <c r="W20" s="772">
        <f>+'Phase I Pro Forma'!W19/1000000</f>
        <v>8.7058753399518792E-3</v>
      </c>
      <c r="X20" s="772">
        <f>+'Phase I Pro Forma'!X19/1000000</f>
        <v>8.7058753399518792E-3</v>
      </c>
      <c r="Y20" s="772">
        <f>+'Phase I Pro Forma'!Y19/1000000</f>
        <v>8.7058753399518792E-3</v>
      </c>
      <c r="Z20" s="772">
        <f>+'Phase I Pro Forma'!Z19/1000000</f>
        <v>8.7058753399518792E-3</v>
      </c>
    </row>
    <row r="21" spans="2:26" x14ac:dyDescent="0.2">
      <c r="B21" s="136" t="s">
        <v>253</v>
      </c>
      <c r="C21" s="136"/>
      <c r="D21" s="136"/>
      <c r="E21" s="136"/>
      <c r="F21" s="773">
        <f>+'Phase I Pro Forma'!F20/1000000</f>
        <v>0</v>
      </c>
      <c r="G21" s="773">
        <f>+'Phase I Pro Forma'!G20/1000000</f>
        <v>0</v>
      </c>
      <c r="H21" s="773">
        <f>+'Phase I Pro Forma'!H20/1000000</f>
        <v>0</v>
      </c>
      <c r="I21" s="773">
        <f>+'Phase I Pro Forma'!I20/1000000</f>
        <v>0.68711559970730651</v>
      </c>
      <c r="J21" s="773">
        <f>+'Phase I Pro Forma'!J20/1000000</f>
        <v>1.4015417058961064</v>
      </c>
      <c r="K21" s="773">
        <f>+'Phase I Pro Forma'!K20/1000000</f>
        <v>1.4293984225072294</v>
      </c>
      <c r="L21" s="773">
        <f>+'Phase I Pro Forma'!L20/1000000</f>
        <v>1.4578122734505752</v>
      </c>
      <c r="M21" s="773">
        <f>+'Phase I Pro Forma'!M20/1000000</f>
        <v>1.4867944014127876</v>
      </c>
      <c r="N21" s="773">
        <f>+'Phase I Pro Forma'!N20/1000000</f>
        <v>1.5163561719342444</v>
      </c>
      <c r="O21" s="773">
        <f>+'Phase I Pro Forma'!O20/1000000</f>
        <v>1.5465091778661302</v>
      </c>
      <c r="P21" s="773">
        <f>+'Phase I Pro Forma'!P20/1000000</f>
        <v>1.5772652439166539</v>
      </c>
      <c r="Q21" s="773">
        <f>+'Phase I Pro Forma'!Q20/1000000</f>
        <v>1.6086364312881878</v>
      </c>
      <c r="R21" s="773">
        <f>+'Phase I Pro Forma'!R20/1000000</f>
        <v>1.6406350424071527</v>
      </c>
      <c r="S21" s="773">
        <f>+'Phase I Pro Forma'!S20/1000000</f>
        <v>1.6732736257484964</v>
      </c>
      <c r="T21" s="773">
        <f>+'Phase I Pro Forma'!T20/1000000</f>
        <v>1.7065649807566674</v>
      </c>
      <c r="U21" s="773">
        <f>+'Phase I Pro Forma'!U20/1000000</f>
        <v>1.7405221628650018</v>
      </c>
      <c r="V21" s="773">
        <f>+'Phase I Pro Forma'!V20/1000000</f>
        <v>1.7751584886155027</v>
      </c>
      <c r="W21" s="773">
        <f>+'Phase I Pro Forma'!W20/1000000</f>
        <v>1.8104875408810139</v>
      </c>
      <c r="X21" s="773">
        <f>+'Phase I Pro Forma'!X20/1000000</f>
        <v>1.8465231741918353</v>
      </c>
      <c r="Y21" s="773">
        <f>+'Phase I Pro Forma'!Y20/1000000</f>
        <v>1.8832795201688728</v>
      </c>
      <c r="Z21" s="773">
        <f>+'Phase I Pro Forma'!Z20/1000000</f>
        <v>1.9207709930654515</v>
      </c>
    </row>
    <row r="22" spans="2:26" ht="5" customHeight="1" x14ac:dyDescent="0.2"/>
    <row r="23" spans="2:26" x14ac:dyDescent="0.2">
      <c r="B23" s="32" t="s">
        <v>389</v>
      </c>
      <c r="F23" s="48">
        <f>+'Phase I Pro Forma'!F22/1000000</f>
        <v>0</v>
      </c>
      <c r="G23" s="48">
        <f>+'Phase I Pro Forma'!G22/1000000</f>
        <v>0</v>
      </c>
      <c r="H23" s="48">
        <f>+'Phase I Pro Forma'!H22/1000000</f>
        <v>0</v>
      </c>
      <c r="I23" s="48">
        <f>+'Phase I Pro Forma'!I22/1000000</f>
        <v>0.47402269112609668</v>
      </c>
      <c r="J23" s="48">
        <f>+'Phase I Pro Forma'!J22/1000000</f>
        <v>0.97648674371975941</v>
      </c>
      <c r="K23" s="48">
        <f>+'Phase I Pro Forma'!K22/1000000</f>
        <v>1.0057813460313521</v>
      </c>
      <c r="L23" s="48">
        <f>+'Phase I Pro Forma'!L22/1000000</f>
        <v>1.0359547864122927</v>
      </c>
      <c r="M23" s="48">
        <f>+'Phase I Pro Forma'!M22/1000000</f>
        <v>1.0670334300046613</v>
      </c>
      <c r="N23" s="48">
        <f>+'Phase I Pro Forma'!N22/1000000</f>
        <v>1.0990444329048012</v>
      </c>
      <c r="O23" s="48">
        <f>+'Phase I Pro Forma'!O22/1000000</f>
        <v>1.1320157658919454</v>
      </c>
      <c r="P23" s="48">
        <f>+'Phase I Pro Forma'!P22/1000000</f>
        <v>1.1659762388687038</v>
      </c>
      <c r="Q23" s="48">
        <f>+'Phase I Pro Forma'!Q22/1000000</f>
        <v>1.2009555260347649</v>
      </c>
      <c r="R23" s="48">
        <f>+'Phase I Pro Forma'!R22/1000000</f>
        <v>1.236984191815808</v>
      </c>
      <c r="S23" s="48">
        <f>+'Phase I Pro Forma'!S22/1000000</f>
        <v>1.2740937175702822</v>
      </c>
      <c r="T23" s="48">
        <f>+'Phase I Pro Forma'!T22/1000000</f>
        <v>1.3123165290973908</v>
      </c>
      <c r="U23" s="48">
        <f>+'Phase I Pro Forma'!U22/1000000</f>
        <v>1.3516860249703126</v>
      </c>
      <c r="V23" s="48">
        <f>+'Phase I Pro Forma'!V22/1000000</f>
        <v>1.3922366057194222</v>
      </c>
      <c r="W23" s="48">
        <f>+'Phase I Pro Forma'!W22/1000000</f>
        <v>1.434003703891005</v>
      </c>
      <c r="X23" s="48">
        <f>+'Phase I Pro Forma'!X22/1000000</f>
        <v>1.4770238150077348</v>
      </c>
      <c r="Y23" s="48">
        <f>+'Phase I Pro Forma'!Y22/1000000</f>
        <v>1.521334529457967</v>
      </c>
      <c r="Z23" s="48">
        <f>+'Phase I Pro Forma'!Z22/1000000</f>
        <v>1.5669745653417062</v>
      </c>
    </row>
    <row r="24" spans="2:26" x14ac:dyDescent="0.2">
      <c r="B24" s="32" t="s">
        <v>325</v>
      </c>
      <c r="F24" s="772">
        <f ca="1">+'Phase I Pro Forma'!F23/1000000</f>
        <v>0</v>
      </c>
      <c r="G24" s="772">
        <f ca="1">+'Phase I Pro Forma'!G23/1000000</f>
        <v>0</v>
      </c>
      <c r="H24" s="772">
        <f ca="1">+'Phase I Pro Forma'!H23/1000000</f>
        <v>0</v>
      </c>
      <c r="I24" s="772">
        <f ca="1">+'Phase I Pro Forma'!I23/1000000</f>
        <v>0</v>
      </c>
      <c r="J24" s="772">
        <f ca="1">+'Phase I Pro Forma'!J23/1000000</f>
        <v>0</v>
      </c>
      <c r="K24" s="772">
        <f ca="1">+'Phase I Pro Forma'!K23/1000000</f>
        <v>0</v>
      </c>
      <c r="L24" s="772">
        <f ca="1">+'Phase I Pro Forma'!L23/1000000</f>
        <v>0</v>
      </c>
      <c r="M24" s="772">
        <f ca="1">+'Phase I Pro Forma'!M23/1000000</f>
        <v>0</v>
      </c>
      <c r="N24" s="772">
        <f ca="1">+'Phase I Pro Forma'!N23/1000000</f>
        <v>0</v>
      </c>
      <c r="O24" s="772">
        <f ca="1">+'Phase I Pro Forma'!O23/1000000</f>
        <v>0</v>
      </c>
      <c r="P24" s="772">
        <f ca="1">+'Phase I Pro Forma'!P23/1000000</f>
        <v>0</v>
      </c>
      <c r="Q24" s="772">
        <f ca="1">+'Phase I Pro Forma'!Q23/1000000</f>
        <v>0</v>
      </c>
      <c r="R24" s="772">
        <f ca="1">+'Phase I Pro Forma'!R23/1000000</f>
        <v>0</v>
      </c>
      <c r="S24" s="772">
        <f ca="1">+'Phase I Pro Forma'!S23/1000000</f>
        <v>0</v>
      </c>
      <c r="T24" s="772">
        <f ca="1">+'Phase I Pro Forma'!T23/1000000</f>
        <v>0</v>
      </c>
      <c r="U24" s="772">
        <f ca="1">+'Phase I Pro Forma'!U23/1000000</f>
        <v>0</v>
      </c>
      <c r="V24" s="772">
        <f ca="1">+'Phase I Pro Forma'!V23/1000000</f>
        <v>0</v>
      </c>
      <c r="W24" s="772">
        <f ca="1">+'Phase I Pro Forma'!W23/1000000</f>
        <v>0</v>
      </c>
      <c r="X24" s="772">
        <f ca="1">+'Phase I Pro Forma'!X23/1000000</f>
        <v>0</v>
      </c>
      <c r="Y24" s="772">
        <f ca="1">+'Phase I Pro Forma'!Y23/1000000</f>
        <v>0</v>
      </c>
      <c r="Z24" s="772">
        <f ca="1">+'Phase I Pro Forma'!Z23/1000000</f>
        <v>0</v>
      </c>
    </row>
    <row r="25" spans="2:26" x14ac:dyDescent="0.2">
      <c r="B25" s="136" t="s">
        <v>249</v>
      </c>
      <c r="C25" s="136"/>
      <c r="D25" s="136"/>
      <c r="E25" s="136"/>
      <c r="F25" s="773">
        <f ca="1">+'Phase I Pro Forma'!F24/1000000</f>
        <v>0</v>
      </c>
      <c r="G25" s="773">
        <f ca="1">+'Phase I Pro Forma'!G24/1000000</f>
        <v>0</v>
      </c>
      <c r="H25" s="773">
        <f ca="1">+'Phase I Pro Forma'!H24/1000000</f>
        <v>0</v>
      </c>
      <c r="I25" s="773">
        <f ca="1">+'Phase I Pro Forma'!I24/1000000</f>
        <v>0.47402269112609668</v>
      </c>
      <c r="J25" s="773">
        <f ca="1">+'Phase I Pro Forma'!J24/1000000</f>
        <v>0.97648674371975941</v>
      </c>
      <c r="K25" s="773">
        <f ca="1">+'Phase I Pro Forma'!K24/1000000</f>
        <v>1.0057813460313521</v>
      </c>
      <c r="L25" s="773">
        <f ca="1">+'Phase I Pro Forma'!L24/1000000</f>
        <v>1.0359547864122927</v>
      </c>
      <c r="M25" s="773">
        <f ca="1">+'Phase I Pro Forma'!M24/1000000</f>
        <v>1.0670334300046613</v>
      </c>
      <c r="N25" s="773">
        <f ca="1">+'Phase I Pro Forma'!N24/1000000</f>
        <v>1.0990444329048012</v>
      </c>
      <c r="O25" s="773">
        <f ca="1">+'Phase I Pro Forma'!O24/1000000</f>
        <v>1.1320157658919454</v>
      </c>
      <c r="P25" s="773">
        <f ca="1">+'Phase I Pro Forma'!P24/1000000</f>
        <v>1.1659762388687038</v>
      </c>
      <c r="Q25" s="773">
        <f ca="1">+'Phase I Pro Forma'!Q24/1000000</f>
        <v>1.2009555260347649</v>
      </c>
      <c r="R25" s="773">
        <f ca="1">+'Phase I Pro Forma'!R24/1000000</f>
        <v>1.236984191815808</v>
      </c>
      <c r="S25" s="773">
        <f ca="1">+'Phase I Pro Forma'!S24/1000000</f>
        <v>1.2740937175702822</v>
      </c>
      <c r="T25" s="773">
        <f ca="1">+'Phase I Pro Forma'!T24/1000000</f>
        <v>1.3123165290973908</v>
      </c>
      <c r="U25" s="773">
        <f ca="1">+'Phase I Pro Forma'!U24/1000000</f>
        <v>1.3516860249703126</v>
      </c>
      <c r="V25" s="773">
        <f ca="1">+'Phase I Pro Forma'!V24/1000000</f>
        <v>1.3922366057194222</v>
      </c>
      <c r="W25" s="773">
        <f ca="1">+'Phase I Pro Forma'!W24/1000000</f>
        <v>1.434003703891005</v>
      </c>
      <c r="X25" s="773">
        <f ca="1">+'Phase I Pro Forma'!X24/1000000</f>
        <v>1.4770238150077348</v>
      </c>
      <c r="Y25" s="773">
        <f ca="1">+'Phase I Pro Forma'!Y24/1000000</f>
        <v>1.521334529457967</v>
      </c>
      <c r="Z25" s="773">
        <f ca="1">+'Phase I Pro Forma'!Z24/1000000</f>
        <v>1.5669745653417062</v>
      </c>
    </row>
    <row r="26" spans="2:26" ht="5" customHeight="1" x14ac:dyDescent="0.2">
      <c r="B26" s="32"/>
    </row>
    <row r="27" spans="2:26" x14ac:dyDescent="0.2">
      <c r="B27" s="777" t="s">
        <v>248</v>
      </c>
      <c r="C27" s="777"/>
      <c r="D27" s="777"/>
      <c r="E27" s="777"/>
      <c r="F27" s="778">
        <f t="shared" ref="F27:Z27" ca="1" si="5">+F21-F25</f>
        <v>0</v>
      </c>
      <c r="G27" s="778">
        <f t="shared" ca="1" si="5"/>
        <v>0</v>
      </c>
      <c r="H27" s="778">
        <f t="shared" ca="1" si="5"/>
        <v>0</v>
      </c>
      <c r="I27" s="778">
        <f t="shared" ca="1" si="5"/>
        <v>0.21309290858120983</v>
      </c>
      <c r="J27" s="778">
        <f t="shared" ca="1" si="5"/>
        <v>0.42505496217634697</v>
      </c>
      <c r="K27" s="778">
        <f t="shared" ca="1" si="5"/>
        <v>0.42361707647587732</v>
      </c>
      <c r="L27" s="778">
        <f t="shared" ca="1" si="5"/>
        <v>0.42185748703828252</v>
      </c>
      <c r="M27" s="778">
        <f t="shared" ca="1" si="5"/>
        <v>0.41976097140812629</v>
      </c>
      <c r="N27" s="778">
        <f t="shared" ca="1" si="5"/>
        <v>0.41731173902944318</v>
      </c>
      <c r="O27" s="778">
        <f t="shared" ca="1" si="5"/>
        <v>0.41449341197418477</v>
      </c>
      <c r="P27" s="778">
        <f t="shared" ca="1" si="5"/>
        <v>0.41128900504795007</v>
      </c>
      <c r="Q27" s="778">
        <f t="shared" ca="1" si="5"/>
        <v>0.40768090525342293</v>
      </c>
      <c r="R27" s="778">
        <f t="shared" ca="1" si="5"/>
        <v>0.40365085059134476</v>
      </c>
      <c r="S27" s="778">
        <f t="shared" ca="1" si="5"/>
        <v>0.39917990817821414</v>
      </c>
      <c r="T27" s="778">
        <f t="shared" ca="1" si="5"/>
        <v>0.39424845165927658</v>
      </c>
      <c r="U27" s="778">
        <f t="shared" ca="1" si="5"/>
        <v>0.38883613789468918</v>
      </c>
      <c r="V27" s="778">
        <f t="shared" ca="1" si="5"/>
        <v>0.38292188289608053</v>
      </c>
      <c r="W27" s="778">
        <f t="shared" ca="1" si="5"/>
        <v>0.37648383699000898</v>
      </c>
      <c r="X27" s="778">
        <f t="shared" ca="1" si="5"/>
        <v>0.36949935918410048</v>
      </c>
      <c r="Y27" s="778">
        <f t="shared" ca="1" si="5"/>
        <v>0.3619449907109058</v>
      </c>
      <c r="Z27" s="778">
        <f t="shared" ca="1" si="5"/>
        <v>0.35379642772374531</v>
      </c>
    </row>
    <row r="28" spans="2:26" x14ac:dyDescent="0.2">
      <c r="B28" s="779" t="s">
        <v>254</v>
      </c>
      <c r="C28" s="780"/>
      <c r="D28" s="780"/>
      <c r="E28" s="780"/>
      <c r="F28" s="781" t="str">
        <f t="shared" ref="F28:Z28" ca="1" si="6">+IFERROR(F27/F21,"")</f>
        <v/>
      </c>
      <c r="G28" s="781" t="str">
        <f t="shared" ca="1" si="6"/>
        <v/>
      </c>
      <c r="H28" s="781" t="str">
        <f t="shared" ca="1" si="6"/>
        <v/>
      </c>
      <c r="I28" s="782">
        <f t="shared" ca="1" si="6"/>
        <v>0.31012672201297992</v>
      </c>
      <c r="J28" s="782">
        <f t="shared" ca="1" si="6"/>
        <v>0.30327671334231099</v>
      </c>
      <c r="K28" s="782">
        <f t="shared" ca="1" si="6"/>
        <v>0.29636039176035595</v>
      </c>
      <c r="L28" s="782">
        <f t="shared" ca="1" si="6"/>
        <v>0.2893770993159257</v>
      </c>
      <c r="M28" s="782">
        <f t="shared" ca="1" si="6"/>
        <v>0.28232617166789126</v>
      </c>
      <c r="N28" s="782">
        <f t="shared" ca="1" si="6"/>
        <v>0.27520693802243418</v>
      </c>
      <c r="O28" s="782">
        <f t="shared" ca="1" si="6"/>
        <v>0.26801872106966856</v>
      </c>
      <c r="P28" s="782">
        <f t="shared" ca="1" si="6"/>
        <v>0.26076083691962942</v>
      </c>
      <c r="Q28" s="782">
        <f t="shared" ca="1" si="6"/>
        <v>0.25343259503762089</v>
      </c>
      <c r="R28" s="782">
        <f t="shared" ca="1" si="6"/>
        <v>0.24603329817892042</v>
      </c>
      <c r="S28" s="782">
        <f t="shared" ca="1" si="6"/>
        <v>0.2385622423228306</v>
      </c>
      <c r="T28" s="782">
        <f t="shared" ca="1" si="6"/>
        <v>0.23101871660607512</v>
      </c>
      <c r="U28" s="782">
        <f t="shared" ca="1" si="6"/>
        <v>0.22340200325552995</v>
      </c>
      <c r="V28" s="782">
        <f t="shared" ca="1" si="6"/>
        <v>0.21571137752028685</v>
      </c>
      <c r="W28" s="782">
        <f t="shared" ca="1" si="6"/>
        <v>0.2079461076030413</v>
      </c>
      <c r="X28" s="782">
        <f t="shared" ca="1" si="6"/>
        <v>0.20010545459079801</v>
      </c>
      <c r="Y28" s="782">
        <f t="shared" ca="1" si="6"/>
        <v>0.19218867238488865</v>
      </c>
      <c r="Z28" s="782">
        <f t="shared" ca="1" si="6"/>
        <v>0.1841950076302977</v>
      </c>
    </row>
    <row r="29" spans="2:26" x14ac:dyDescent="0.2">
      <c r="B29" s="779" t="s">
        <v>188</v>
      </c>
      <c r="C29" s="780"/>
      <c r="D29" s="780"/>
      <c r="E29" s="780"/>
      <c r="F29" s="783">
        <f ca="1">+'Phase I Pro Forma'!F28/1000000</f>
        <v>0</v>
      </c>
      <c r="G29" s="783">
        <f ca="1">+'Phase I Pro Forma'!G28/1000000</f>
        <v>0</v>
      </c>
      <c r="H29" s="783">
        <f ca="1">+'Phase I Pro Forma'!H28/1000000</f>
        <v>0</v>
      </c>
      <c r="I29" s="783">
        <f ca="1">+'Phase I Pro Forma'!I28/1000000</f>
        <v>3.7059636274993006</v>
      </c>
      <c r="J29" s="783">
        <f ca="1">+'Phase I Pro Forma'!J28/1000000</f>
        <v>7.3922602117625553</v>
      </c>
      <c r="K29" s="783">
        <f ca="1">+'Phase I Pro Forma'!K28/1000000</f>
        <v>7.3672535039282989</v>
      </c>
      <c r="L29" s="783">
        <f ca="1">+'Phase I Pro Forma'!L28/1000000</f>
        <v>7.3366519484918671</v>
      </c>
      <c r="M29" s="783">
        <f ca="1">+'Phase I Pro Forma'!M28/1000000</f>
        <v>7.300190807097847</v>
      </c>
      <c r="N29" s="783">
        <f ca="1">+'Phase I Pro Forma'!N28/1000000</f>
        <v>7.2575954613816185</v>
      </c>
      <c r="O29" s="783">
        <f ca="1">+'Phase I Pro Forma'!O28/1000000</f>
        <v>7.2085810778119068</v>
      </c>
      <c r="P29" s="783">
        <f ca="1">+'Phase I Pro Forma'!P28/1000000</f>
        <v>7.1528522617034769</v>
      </c>
      <c r="Q29" s="783">
        <f ca="1">+'Phase I Pro Forma'!Q28/1000000</f>
        <v>7.0901027000595285</v>
      </c>
      <c r="R29" s="783">
        <f ca="1">+'Phase I Pro Forma'!R28/1000000</f>
        <v>7.0200147928929528</v>
      </c>
      <c r="S29" s="783">
        <f ca="1">+'Phase I Pro Forma'!S28/1000000</f>
        <v>6.9422592726645904</v>
      </c>
      <c r="T29" s="783">
        <f ca="1">+'Phase I Pro Forma'!T28/1000000</f>
        <v>6.8564948114656801</v>
      </c>
      <c r="U29" s="783">
        <f ca="1">+'Phase I Pro Forma'!U28/1000000</f>
        <v>6.7623676155598149</v>
      </c>
      <c r="V29" s="783">
        <f ca="1">+'Phase I Pro Forma'!V28/1000000</f>
        <v>6.6595110068883576</v>
      </c>
      <c r="W29" s="783">
        <f ca="1">+'Phase I Pro Forma'!W28/1000000</f>
        <v>6.5475449911305921</v>
      </c>
      <c r="X29" s="783">
        <f ca="1">+'Phase I Pro Forma'!X28/1000000</f>
        <v>6.4260758118974</v>
      </c>
      <c r="Y29" s="783">
        <f ca="1">+'Phase I Pro Forma'!Y28/1000000</f>
        <v>6.2946954906244477</v>
      </c>
      <c r="Z29" s="783">
        <f ca="1">+'Phase I Pro Forma'!Z28/1000000</f>
        <v>6.15298135171731</v>
      </c>
    </row>
    <row r="30" spans="2:26" ht="5" customHeight="1" x14ac:dyDescent="0.2"/>
    <row r="31" spans="2:26" x14ac:dyDescent="0.2">
      <c r="B31" s="147" t="s">
        <v>931</v>
      </c>
      <c r="C31" s="148"/>
      <c r="D31" s="148"/>
      <c r="E31" s="148"/>
      <c r="F31" s="776">
        <f>+F6</f>
        <v>44196</v>
      </c>
      <c r="G31" s="776">
        <f t="shared" ref="G31:Z31" si="7">+G6</f>
        <v>44561</v>
      </c>
      <c r="H31" s="776">
        <f t="shared" si="7"/>
        <v>44926</v>
      </c>
      <c r="I31" s="776">
        <f t="shared" si="7"/>
        <v>45291</v>
      </c>
      <c r="J31" s="776">
        <f t="shared" si="7"/>
        <v>45657</v>
      </c>
      <c r="K31" s="776">
        <f t="shared" si="7"/>
        <v>46022</v>
      </c>
      <c r="L31" s="776">
        <f t="shared" si="7"/>
        <v>46387</v>
      </c>
      <c r="M31" s="776">
        <f t="shared" si="7"/>
        <v>46752</v>
      </c>
      <c r="N31" s="776">
        <f t="shared" si="7"/>
        <v>47118</v>
      </c>
      <c r="O31" s="776">
        <f t="shared" si="7"/>
        <v>47483</v>
      </c>
      <c r="P31" s="776">
        <f t="shared" si="7"/>
        <v>47848</v>
      </c>
      <c r="Q31" s="776">
        <f t="shared" si="7"/>
        <v>48213</v>
      </c>
      <c r="R31" s="776">
        <f t="shared" si="7"/>
        <v>48579</v>
      </c>
      <c r="S31" s="776">
        <f t="shared" si="7"/>
        <v>48944</v>
      </c>
      <c r="T31" s="776">
        <f t="shared" si="7"/>
        <v>49309</v>
      </c>
      <c r="U31" s="776">
        <f t="shared" si="7"/>
        <v>49674</v>
      </c>
      <c r="V31" s="776">
        <f t="shared" si="7"/>
        <v>50040</v>
      </c>
      <c r="W31" s="776">
        <f t="shared" si="7"/>
        <v>50405</v>
      </c>
      <c r="X31" s="776">
        <f t="shared" si="7"/>
        <v>50770</v>
      </c>
      <c r="Y31" s="776">
        <f t="shared" si="7"/>
        <v>51135</v>
      </c>
      <c r="Z31" s="776">
        <f t="shared" si="7"/>
        <v>51501</v>
      </c>
    </row>
    <row r="32" spans="2:26" hidden="1" outlineLevel="2" x14ac:dyDescent="0.2">
      <c r="B32" s="788" t="s">
        <v>756</v>
      </c>
      <c r="C32" s="788"/>
      <c r="D32" s="791"/>
      <c r="E32" s="791"/>
      <c r="F32" s="789">
        <f>+'Phase I Pro Forma'!F31</f>
        <v>0</v>
      </c>
      <c r="G32" s="789">
        <f>+'Phase I Pro Forma'!G31</f>
        <v>0</v>
      </c>
      <c r="H32" s="789">
        <f>+'Phase I Pro Forma'!H31</f>
        <v>0</v>
      </c>
      <c r="I32" s="789">
        <f>+'Phase I Pro Forma'!I31</f>
        <v>218663.17027884291</v>
      </c>
      <c r="J32" s="789">
        <f>+'Phase I Pro Forma'!J31</f>
        <v>218663.17027884291</v>
      </c>
      <c r="K32" s="789">
        <f>+'Phase I Pro Forma'!K31</f>
        <v>0</v>
      </c>
      <c r="L32" s="789">
        <f>+'Phase I Pro Forma'!L31</f>
        <v>0</v>
      </c>
      <c r="M32" s="789">
        <f>+'Phase I Pro Forma'!M31</f>
        <v>0</v>
      </c>
      <c r="N32" s="789">
        <f>+'Phase I Pro Forma'!N31</f>
        <v>0</v>
      </c>
      <c r="O32" s="789">
        <f>+'Phase I Pro Forma'!O31</f>
        <v>0</v>
      </c>
      <c r="P32" s="789">
        <f>+'Phase I Pro Forma'!P31</f>
        <v>0</v>
      </c>
      <c r="Q32" s="789">
        <f>+'Phase I Pro Forma'!Q31</f>
        <v>0</v>
      </c>
      <c r="R32" s="789">
        <f>+'Phase I Pro Forma'!R31</f>
        <v>0</v>
      </c>
      <c r="S32" s="789">
        <f>+'Phase I Pro Forma'!S31</f>
        <v>0</v>
      </c>
      <c r="T32" s="789">
        <f>+'Phase I Pro Forma'!T31</f>
        <v>0</v>
      </c>
      <c r="U32" s="789">
        <f>+'Phase I Pro Forma'!U31</f>
        <v>0</v>
      </c>
      <c r="V32" s="789">
        <f>+'Phase I Pro Forma'!V31</f>
        <v>0</v>
      </c>
      <c r="W32" s="789">
        <f>+'Phase I Pro Forma'!W31</f>
        <v>0</v>
      </c>
      <c r="X32" s="789">
        <f>+'Phase I Pro Forma'!X31</f>
        <v>0</v>
      </c>
      <c r="Y32" s="789">
        <f>+'Phase I Pro Forma'!Y31</f>
        <v>0</v>
      </c>
      <c r="Z32" s="789">
        <f>+'Phase I Pro Forma'!Z31</f>
        <v>0</v>
      </c>
    </row>
    <row r="33" spans="2:26" collapsed="1" x14ac:dyDescent="0.2">
      <c r="B33" s="32" t="s">
        <v>784</v>
      </c>
      <c r="C33" s="32"/>
      <c r="D33" s="41">
        <v>0</v>
      </c>
      <c r="E33" s="41"/>
      <c r="F33" s="41">
        <f>+D33+F32</f>
        <v>0</v>
      </c>
      <c r="G33" s="41">
        <f t="shared" ref="G33:Z33" si="8">+F33+G32</f>
        <v>0</v>
      </c>
      <c r="H33" s="41">
        <f t="shared" si="8"/>
        <v>0</v>
      </c>
      <c r="I33" s="41">
        <f t="shared" si="8"/>
        <v>218663.17027884291</v>
      </c>
      <c r="J33" s="41">
        <f t="shared" si="8"/>
        <v>437326.34055768582</v>
      </c>
      <c r="K33" s="41">
        <f t="shared" si="8"/>
        <v>437326.34055768582</v>
      </c>
      <c r="L33" s="41">
        <f t="shared" si="8"/>
        <v>437326.34055768582</v>
      </c>
      <c r="M33" s="41">
        <f t="shared" si="8"/>
        <v>437326.34055768582</v>
      </c>
      <c r="N33" s="41">
        <f t="shared" si="8"/>
        <v>437326.34055768582</v>
      </c>
      <c r="O33" s="41">
        <f t="shared" si="8"/>
        <v>437326.34055768582</v>
      </c>
      <c r="P33" s="41">
        <f t="shared" si="8"/>
        <v>437326.34055768582</v>
      </c>
      <c r="Q33" s="41">
        <f t="shared" si="8"/>
        <v>437326.34055768582</v>
      </c>
      <c r="R33" s="41">
        <f t="shared" si="8"/>
        <v>437326.34055768582</v>
      </c>
      <c r="S33" s="41">
        <f t="shared" si="8"/>
        <v>437326.34055768582</v>
      </c>
      <c r="T33" s="41">
        <f t="shared" si="8"/>
        <v>437326.34055768582</v>
      </c>
      <c r="U33" s="41">
        <f t="shared" si="8"/>
        <v>437326.34055768582</v>
      </c>
      <c r="V33" s="41">
        <f t="shared" si="8"/>
        <v>437326.34055768582</v>
      </c>
      <c r="W33" s="41">
        <f t="shared" si="8"/>
        <v>437326.34055768582</v>
      </c>
      <c r="X33" s="41">
        <f t="shared" si="8"/>
        <v>437326.34055768582</v>
      </c>
      <c r="Y33" s="41">
        <f t="shared" si="8"/>
        <v>437326.34055768582</v>
      </c>
      <c r="Z33" s="41">
        <f t="shared" si="8"/>
        <v>437326.34055768582</v>
      </c>
    </row>
    <row r="34" spans="2:26" hidden="1" outlineLevel="7" x14ac:dyDescent="0.2">
      <c r="B34" s="788" t="s">
        <v>490</v>
      </c>
      <c r="C34" s="788"/>
      <c r="D34" s="789"/>
      <c r="E34" s="789"/>
      <c r="F34" s="789">
        <f>+F35-E35</f>
        <v>0</v>
      </c>
      <c r="G34" s="789">
        <f t="shared" ref="G34:Z34" si="9">+G35-F35</f>
        <v>0</v>
      </c>
      <c r="H34" s="789">
        <f t="shared" si="9"/>
        <v>0</v>
      </c>
      <c r="I34" s="789">
        <f t="shared" si="9"/>
        <v>299.17097388150785</v>
      </c>
      <c r="J34" s="789">
        <f t="shared" si="9"/>
        <v>299.17097388150785</v>
      </c>
      <c r="K34" s="789">
        <f t="shared" si="9"/>
        <v>0</v>
      </c>
      <c r="L34" s="789">
        <f t="shared" si="9"/>
        <v>0</v>
      </c>
      <c r="M34" s="789">
        <f t="shared" si="9"/>
        <v>0</v>
      </c>
      <c r="N34" s="789">
        <f t="shared" si="9"/>
        <v>0</v>
      </c>
      <c r="O34" s="789">
        <f t="shared" si="9"/>
        <v>0</v>
      </c>
      <c r="P34" s="789">
        <f t="shared" si="9"/>
        <v>0</v>
      </c>
      <c r="Q34" s="789">
        <f t="shared" si="9"/>
        <v>0</v>
      </c>
      <c r="R34" s="789">
        <f t="shared" si="9"/>
        <v>0</v>
      </c>
      <c r="S34" s="789">
        <f t="shared" si="9"/>
        <v>0</v>
      </c>
      <c r="T34" s="789">
        <f t="shared" si="9"/>
        <v>0</v>
      </c>
      <c r="U34" s="789">
        <f t="shared" si="9"/>
        <v>0</v>
      </c>
      <c r="V34" s="789">
        <f t="shared" si="9"/>
        <v>0</v>
      </c>
      <c r="W34" s="789">
        <f t="shared" si="9"/>
        <v>0</v>
      </c>
      <c r="X34" s="789">
        <f t="shared" si="9"/>
        <v>0</v>
      </c>
      <c r="Y34" s="789">
        <f t="shared" si="9"/>
        <v>0</v>
      </c>
      <c r="Z34" s="789">
        <f t="shared" si="9"/>
        <v>0</v>
      </c>
    </row>
    <row r="35" spans="2:26" hidden="1" outlineLevel="7" x14ac:dyDescent="0.2">
      <c r="B35" s="788" t="s">
        <v>247</v>
      </c>
      <c r="C35" s="788"/>
      <c r="D35" s="789"/>
      <c r="E35" s="789"/>
      <c r="F35" s="789">
        <f>+'Phase I Pro Forma'!F34</f>
        <v>0</v>
      </c>
      <c r="G35" s="789">
        <f>+'Phase I Pro Forma'!G34</f>
        <v>0</v>
      </c>
      <c r="H35" s="789">
        <f>+'Phase I Pro Forma'!H34</f>
        <v>0</v>
      </c>
      <c r="I35" s="789">
        <f>+'Phase I Pro Forma'!I34</f>
        <v>299.17097388150785</v>
      </c>
      <c r="J35" s="789">
        <f>+'Phase I Pro Forma'!J34</f>
        <v>598.3419477630157</v>
      </c>
      <c r="K35" s="789">
        <f>+'Phase I Pro Forma'!K34</f>
        <v>598.3419477630157</v>
      </c>
      <c r="L35" s="789">
        <f>+'Phase I Pro Forma'!L34</f>
        <v>598.3419477630157</v>
      </c>
      <c r="M35" s="789">
        <f>+'Phase I Pro Forma'!M34</f>
        <v>598.3419477630157</v>
      </c>
      <c r="N35" s="789">
        <f>+'Phase I Pro Forma'!N34</f>
        <v>598.3419477630157</v>
      </c>
      <c r="O35" s="789">
        <f>+'Phase I Pro Forma'!O34</f>
        <v>598.3419477630157</v>
      </c>
      <c r="P35" s="789">
        <f>+'Phase I Pro Forma'!P34</f>
        <v>598.3419477630157</v>
      </c>
      <c r="Q35" s="789">
        <f>+'Phase I Pro Forma'!Q34</f>
        <v>598.3419477630157</v>
      </c>
      <c r="R35" s="789">
        <f>+'Phase I Pro Forma'!R34</f>
        <v>598.3419477630157</v>
      </c>
      <c r="S35" s="789">
        <f>+'Phase I Pro Forma'!S34</f>
        <v>598.3419477630157</v>
      </c>
      <c r="T35" s="789">
        <f>+'Phase I Pro Forma'!T34</f>
        <v>598.3419477630157</v>
      </c>
      <c r="U35" s="789">
        <f>+'Phase I Pro Forma'!U34</f>
        <v>598.3419477630157</v>
      </c>
      <c r="V35" s="789">
        <f>+'Phase I Pro Forma'!V34</f>
        <v>598.3419477630157</v>
      </c>
      <c r="W35" s="789">
        <f>+'Phase I Pro Forma'!W34</f>
        <v>598.3419477630157</v>
      </c>
      <c r="X35" s="789">
        <f>+'Phase I Pro Forma'!X34</f>
        <v>598.3419477630157</v>
      </c>
      <c r="Y35" s="789">
        <f>+'Phase I Pro Forma'!Y34</f>
        <v>598.3419477630157</v>
      </c>
      <c r="Z35" s="789">
        <f>+'Phase I Pro Forma'!Z34</f>
        <v>598.3419477630157</v>
      </c>
    </row>
    <row r="36" spans="2:26" hidden="1" outlineLevel="7" x14ac:dyDescent="0.2">
      <c r="B36" s="788" t="s">
        <v>301</v>
      </c>
      <c r="C36" s="788"/>
      <c r="D36" s="789"/>
      <c r="E36" s="789"/>
      <c r="F36" s="790">
        <f>+F33/SUM($F32:$Z32)</f>
        <v>0</v>
      </c>
      <c r="G36" s="790">
        <f t="shared" ref="G36:Z36" si="10">+G33/SUM($F32:$Z32)</f>
        <v>0</v>
      </c>
      <c r="H36" s="790">
        <f t="shared" si="10"/>
        <v>0</v>
      </c>
      <c r="I36" s="790">
        <f t="shared" si="10"/>
        <v>0.5</v>
      </c>
      <c r="J36" s="790">
        <f t="shared" si="10"/>
        <v>1</v>
      </c>
      <c r="K36" s="790">
        <f t="shared" si="10"/>
        <v>1</v>
      </c>
      <c r="L36" s="790">
        <f t="shared" si="10"/>
        <v>1</v>
      </c>
      <c r="M36" s="790">
        <f t="shared" si="10"/>
        <v>1</v>
      </c>
      <c r="N36" s="790">
        <f t="shared" si="10"/>
        <v>1</v>
      </c>
      <c r="O36" s="790">
        <f t="shared" si="10"/>
        <v>1</v>
      </c>
      <c r="P36" s="790">
        <f t="shared" si="10"/>
        <v>1</v>
      </c>
      <c r="Q36" s="790">
        <f t="shared" si="10"/>
        <v>1</v>
      </c>
      <c r="R36" s="790">
        <f t="shared" si="10"/>
        <v>1</v>
      </c>
      <c r="S36" s="790">
        <f t="shared" si="10"/>
        <v>1</v>
      </c>
      <c r="T36" s="790">
        <f t="shared" si="10"/>
        <v>1</v>
      </c>
      <c r="U36" s="790">
        <f t="shared" si="10"/>
        <v>1</v>
      </c>
      <c r="V36" s="790">
        <f t="shared" si="10"/>
        <v>1</v>
      </c>
      <c r="W36" s="790">
        <f t="shared" si="10"/>
        <v>1</v>
      </c>
      <c r="X36" s="790">
        <f t="shared" si="10"/>
        <v>1</v>
      </c>
      <c r="Y36" s="790">
        <f t="shared" si="10"/>
        <v>1</v>
      </c>
      <c r="Z36" s="790">
        <f t="shared" si="10"/>
        <v>1</v>
      </c>
    </row>
    <row r="37" spans="2:26" ht="5" customHeight="1" collapsed="1" x14ac:dyDescent="0.2">
      <c r="B37" s="32"/>
      <c r="C37" s="32"/>
      <c r="D37" s="39"/>
      <c r="E37" s="39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2:26" hidden="1" x14ac:dyDescent="0.2">
      <c r="B38" s="788" t="s">
        <v>251</v>
      </c>
      <c r="C38" s="788"/>
      <c r="D38" s="789"/>
      <c r="E38" s="789"/>
      <c r="F38" s="790">
        <f>+'Phase I Pro Forma'!F37</f>
        <v>1</v>
      </c>
      <c r="G38" s="790">
        <f>+'Phase I Pro Forma'!G37</f>
        <v>1.03</v>
      </c>
      <c r="H38" s="790">
        <f>+'Phase I Pro Forma'!H37</f>
        <v>1.0609</v>
      </c>
      <c r="I38" s="790">
        <f>+'Phase I Pro Forma'!I37</f>
        <v>1.092727</v>
      </c>
      <c r="J38" s="790">
        <f>+'Phase I Pro Forma'!J37</f>
        <v>1.1255088100000001</v>
      </c>
      <c r="K38" s="790">
        <f>+'Phase I Pro Forma'!K37</f>
        <v>1.1592740743000001</v>
      </c>
      <c r="L38" s="790">
        <f>+'Phase I Pro Forma'!L37</f>
        <v>1.1940522965290001</v>
      </c>
      <c r="M38" s="790">
        <f>+'Phase I Pro Forma'!M37</f>
        <v>1.2298738654248702</v>
      </c>
      <c r="N38" s="790">
        <f>+'Phase I Pro Forma'!N37</f>
        <v>1.2667700813876164</v>
      </c>
      <c r="O38" s="790">
        <f>+'Phase I Pro Forma'!O37</f>
        <v>1.3047731838292449</v>
      </c>
      <c r="P38" s="790">
        <f>+'Phase I Pro Forma'!P37</f>
        <v>1.3439163793441222</v>
      </c>
      <c r="Q38" s="790">
        <f>+'Phase I Pro Forma'!Q37</f>
        <v>1.3842338707244459</v>
      </c>
      <c r="R38" s="790">
        <f>+'Phase I Pro Forma'!R37</f>
        <v>1.4257608868461793</v>
      </c>
      <c r="S38" s="790">
        <f>+'Phase I Pro Forma'!S37</f>
        <v>1.4685337134515648</v>
      </c>
      <c r="T38" s="790">
        <f>+'Phase I Pro Forma'!T37</f>
        <v>1.5125897248551119</v>
      </c>
      <c r="U38" s="790">
        <f>+'Phase I Pro Forma'!U37</f>
        <v>1.5579674166007653</v>
      </c>
      <c r="V38" s="790">
        <f>+'Phase I Pro Forma'!V37</f>
        <v>1.6047064390987884</v>
      </c>
      <c r="W38" s="790">
        <f>+'Phase I Pro Forma'!W37</f>
        <v>1.652847632271752</v>
      </c>
      <c r="X38" s="790">
        <f>+'Phase I Pro Forma'!X37</f>
        <v>1.7024330612399046</v>
      </c>
      <c r="Y38" s="790">
        <f>+'Phase I Pro Forma'!Y37</f>
        <v>1.7535060530771018</v>
      </c>
      <c r="Z38" s="790">
        <f>+'Phase I Pro Forma'!Z37</f>
        <v>1.806111234669415</v>
      </c>
    </row>
    <row r="39" spans="2:26" hidden="1" x14ac:dyDescent="0.2">
      <c r="B39" s="788" t="s">
        <v>252</v>
      </c>
      <c r="C39" s="788"/>
      <c r="D39" s="789"/>
      <c r="E39" s="789"/>
      <c r="F39" s="790">
        <f>+'Phase I Pro Forma'!F38</f>
        <v>1</v>
      </c>
      <c r="G39" s="790">
        <f>+'Phase I Pro Forma'!G38</f>
        <v>1.03</v>
      </c>
      <c r="H39" s="790">
        <f>+'Phase I Pro Forma'!H38</f>
        <v>1.0609</v>
      </c>
      <c r="I39" s="790">
        <f>+'Phase I Pro Forma'!I38</f>
        <v>1.092727</v>
      </c>
      <c r="J39" s="790">
        <f>+'Phase I Pro Forma'!J38</f>
        <v>1.1255088100000001</v>
      </c>
      <c r="K39" s="790">
        <f>+'Phase I Pro Forma'!K38</f>
        <v>1.1592740743000001</v>
      </c>
      <c r="L39" s="790">
        <f>+'Phase I Pro Forma'!L38</f>
        <v>1.1940522965290001</v>
      </c>
      <c r="M39" s="790">
        <f>+'Phase I Pro Forma'!M38</f>
        <v>1.2298738654248702</v>
      </c>
      <c r="N39" s="790">
        <f>+'Phase I Pro Forma'!N38</f>
        <v>1.2667700813876164</v>
      </c>
      <c r="O39" s="790">
        <f>+'Phase I Pro Forma'!O38</f>
        <v>1.3047731838292449</v>
      </c>
      <c r="P39" s="790">
        <f>+'Phase I Pro Forma'!P38</f>
        <v>1.3439163793441222</v>
      </c>
      <c r="Q39" s="790">
        <f>+'Phase I Pro Forma'!Q38</f>
        <v>1.3842338707244459</v>
      </c>
      <c r="R39" s="790">
        <f>+'Phase I Pro Forma'!R38</f>
        <v>1.4257608868461793</v>
      </c>
      <c r="S39" s="790">
        <f>+'Phase I Pro Forma'!S38</f>
        <v>1.4685337134515648</v>
      </c>
      <c r="T39" s="790">
        <f>+'Phase I Pro Forma'!T38</f>
        <v>1.5125897248551119</v>
      </c>
      <c r="U39" s="790">
        <f>+'Phase I Pro Forma'!U38</f>
        <v>1.5579674166007653</v>
      </c>
      <c r="V39" s="790">
        <f>+'Phase I Pro Forma'!V38</f>
        <v>1.6047064390987884</v>
      </c>
      <c r="W39" s="790">
        <f>+'Phase I Pro Forma'!W38</f>
        <v>1.652847632271752</v>
      </c>
      <c r="X39" s="790">
        <f>+'Phase I Pro Forma'!X38</f>
        <v>1.7024330612399046</v>
      </c>
      <c r="Y39" s="790">
        <f>+'Phase I Pro Forma'!Y38</f>
        <v>1.7535060530771018</v>
      </c>
      <c r="Z39" s="790">
        <f>+'Phase I Pro Forma'!Z38</f>
        <v>1.806111234669415</v>
      </c>
    </row>
    <row r="40" spans="2:26" hidden="1" x14ac:dyDescent="0.2">
      <c r="B40" s="788"/>
      <c r="C40" s="788"/>
      <c r="D40" s="791"/>
      <c r="E40" s="791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</row>
    <row r="41" spans="2:26" x14ac:dyDescent="0.2">
      <c r="B41" s="32" t="s">
        <v>243</v>
      </c>
      <c r="C41" s="32"/>
      <c r="D41" s="39"/>
      <c r="E41" s="39"/>
      <c r="F41" s="48">
        <f>+'Phase I Pro Forma'!F40/1000000</f>
        <v>0</v>
      </c>
      <c r="G41" s="48">
        <f>+'Phase I Pro Forma'!G40/1000000</f>
        <v>0</v>
      </c>
      <c r="H41" s="48">
        <f>+'Phase I Pro Forma'!H40/1000000</f>
        <v>0</v>
      </c>
      <c r="I41" s="48">
        <f>+'Phase I Pro Forma'!I40/1000000</f>
        <v>6.8905706531799931</v>
      </c>
      <c r="J41" s="48">
        <f>+'Phase I Pro Forma'!J40/1000000</f>
        <v>14.194575545550785</v>
      </c>
      <c r="K41" s="48">
        <f>+'Phase I Pro Forma'!K40/1000000</f>
        <v>14.620412811917308</v>
      </c>
      <c r="L41" s="48">
        <f>+'Phase I Pro Forma'!L40/1000000</f>
        <v>15.059025196274828</v>
      </c>
      <c r="M41" s="48">
        <f>+'Phase I Pro Forma'!M40/1000000</f>
        <v>15.510795952163074</v>
      </c>
      <c r="N41" s="48">
        <f>+'Phase I Pro Forma'!N40/1000000</f>
        <v>15.976119830727969</v>
      </c>
      <c r="O41" s="48">
        <f>+'Phase I Pro Forma'!O40/1000000</f>
        <v>16.455403425649806</v>
      </c>
      <c r="P41" s="48">
        <f>+'Phase I Pro Forma'!P40/1000000</f>
        <v>16.9490655284193</v>
      </c>
      <c r="Q41" s="48">
        <f>+'Phase I Pro Forma'!Q40/1000000</f>
        <v>17.457537494271882</v>
      </c>
      <c r="R41" s="48">
        <f>+'Phase I Pro Forma'!R40/1000000</f>
        <v>17.981263619100037</v>
      </c>
      <c r="S41" s="48">
        <f>+'Phase I Pro Forma'!S40/1000000</f>
        <v>18.52070152767304</v>
      </c>
      <c r="T41" s="48">
        <f>+'Phase I Pro Forma'!T40/1000000</f>
        <v>19.076322573503234</v>
      </c>
      <c r="U41" s="48">
        <f>+'Phase I Pro Forma'!U40/1000000</f>
        <v>19.648612250708329</v>
      </c>
      <c r="V41" s="48">
        <f>+'Phase I Pro Forma'!V40/1000000</f>
        <v>20.238070618229582</v>
      </c>
      <c r="W41" s="48">
        <f>+'Phase I Pro Forma'!W40/1000000</f>
        <v>20.845212736776467</v>
      </c>
      <c r="X41" s="48">
        <f>+'Phase I Pro Forma'!X40/1000000</f>
        <v>21.470569118879762</v>
      </c>
      <c r="Y41" s="48">
        <f>+'Phase I Pro Forma'!Y40/1000000</f>
        <v>22.114686192446158</v>
      </c>
      <c r="Z41" s="48">
        <f>+'Phase I Pro Forma'!Z40/1000000</f>
        <v>22.778126778219544</v>
      </c>
    </row>
    <row r="42" spans="2:26" x14ac:dyDescent="0.2">
      <c r="B42" s="32" t="s">
        <v>244</v>
      </c>
      <c r="C42" s="32"/>
      <c r="D42" s="39"/>
      <c r="E42" s="39"/>
      <c r="F42" s="771">
        <f>+'Phase I Pro Forma'!F41/1000000</f>
        <v>0</v>
      </c>
      <c r="G42" s="771">
        <f>+'Phase I Pro Forma'!G41/1000000</f>
        <v>0</v>
      </c>
      <c r="H42" s="771">
        <f>+'Phase I Pro Forma'!H41/1000000</f>
        <v>0</v>
      </c>
      <c r="I42" s="771">
        <f>+'Phase I Pro Forma'!I41/1000000</f>
        <v>-0.34452853265899969</v>
      </c>
      <c r="J42" s="771">
        <f>+'Phase I Pro Forma'!J41/1000000</f>
        <v>-0.70972877727753936</v>
      </c>
      <c r="K42" s="771">
        <f>+'Phase I Pro Forma'!K41/1000000</f>
        <v>-0.73102064059586547</v>
      </c>
      <c r="L42" s="771">
        <f>+'Phase I Pro Forma'!L41/1000000</f>
        <v>-0.75295125981374145</v>
      </c>
      <c r="M42" s="771">
        <f>+'Phase I Pro Forma'!M41/1000000</f>
        <v>-0.77553979760815372</v>
      </c>
      <c r="N42" s="771">
        <f>+'Phase I Pro Forma'!N41/1000000</f>
        <v>-0.79880599153639842</v>
      </c>
      <c r="O42" s="771">
        <f>+'Phase I Pro Forma'!O41/1000000</f>
        <v>-0.82277017128249041</v>
      </c>
      <c r="P42" s="771">
        <f>+'Phase I Pro Forma'!P41/1000000</f>
        <v>-0.84745327642096513</v>
      </c>
      <c r="Q42" s="771">
        <f>+'Phase I Pro Forma'!Q41/1000000</f>
        <v>-0.8728768747135941</v>
      </c>
      <c r="R42" s="771">
        <f>+'Phase I Pro Forma'!R41/1000000</f>
        <v>-0.89906318095500193</v>
      </c>
      <c r="S42" s="771">
        <f>+'Phase I Pro Forma'!S41/1000000</f>
        <v>-0.92603507638365201</v>
      </c>
      <c r="T42" s="771">
        <f>+'Phase I Pro Forma'!T41/1000000</f>
        <v>-0.95381612867516175</v>
      </c>
      <c r="U42" s="771">
        <f>+'Phase I Pro Forma'!U41/1000000</f>
        <v>-0.98243061253541664</v>
      </c>
      <c r="V42" s="771">
        <f>+'Phase I Pro Forma'!V41/1000000</f>
        <v>-1.0119035309114792</v>
      </c>
      <c r="W42" s="771">
        <f>+'Phase I Pro Forma'!W41/1000000</f>
        <v>-1.0422606368388234</v>
      </c>
      <c r="X42" s="771">
        <f>+'Phase I Pro Forma'!X41/1000000</f>
        <v>-1.0735284559439882</v>
      </c>
      <c r="Y42" s="771">
        <f>+'Phase I Pro Forma'!Y41/1000000</f>
        <v>-1.105734309622308</v>
      </c>
      <c r="Z42" s="771">
        <f>+'Phase I Pro Forma'!Z41/1000000</f>
        <v>-1.138906338910977</v>
      </c>
    </row>
    <row r="43" spans="2:26" x14ac:dyDescent="0.2">
      <c r="B43" s="32" t="s">
        <v>344</v>
      </c>
      <c r="C43" s="32"/>
      <c r="D43" s="39"/>
      <c r="E43" s="39"/>
      <c r="F43" s="772">
        <f>+'Phase I Pro Forma'!F42/1000000</f>
        <v>0</v>
      </c>
      <c r="G43" s="772">
        <f>+'Phase I Pro Forma'!G42/1000000</f>
        <v>0</v>
      </c>
      <c r="H43" s="772">
        <f>+'Phase I Pro Forma'!H42/1000000</f>
        <v>0</v>
      </c>
      <c r="I43" s="772">
        <f>+'Phase I Pro Forma'!I42/1000000</f>
        <v>0.1875802006237054</v>
      </c>
      <c r="J43" s="772">
        <f>+'Phase I Pro Forma'!J42/1000000</f>
        <v>0.37516040124741079</v>
      </c>
      <c r="K43" s="772">
        <f>+'Phase I Pro Forma'!K42/1000000</f>
        <v>0.37516040124741079</v>
      </c>
      <c r="L43" s="772">
        <f>+'Phase I Pro Forma'!L42/1000000</f>
        <v>0.37516040124741079</v>
      </c>
      <c r="M43" s="772">
        <f>+'Phase I Pro Forma'!M42/1000000</f>
        <v>0.37516040124741079</v>
      </c>
      <c r="N43" s="772">
        <f>+'Phase I Pro Forma'!N42/1000000</f>
        <v>0.37516040124741079</v>
      </c>
      <c r="O43" s="772">
        <f>+'Phase I Pro Forma'!O42/1000000</f>
        <v>0.37516040124741079</v>
      </c>
      <c r="P43" s="772">
        <f>+'Phase I Pro Forma'!P42/1000000</f>
        <v>0.37516040124741079</v>
      </c>
      <c r="Q43" s="772">
        <f>+'Phase I Pro Forma'!Q42/1000000</f>
        <v>0.37516040124741079</v>
      </c>
      <c r="R43" s="772">
        <f>+'Phase I Pro Forma'!R42/1000000</f>
        <v>0.37516040124741079</v>
      </c>
      <c r="S43" s="772">
        <f>+'Phase I Pro Forma'!S42/1000000</f>
        <v>0.37516040124741079</v>
      </c>
      <c r="T43" s="772">
        <f>+'Phase I Pro Forma'!T42/1000000</f>
        <v>0.37516040124741079</v>
      </c>
      <c r="U43" s="772">
        <f>+'Phase I Pro Forma'!U42/1000000</f>
        <v>0.37516040124741079</v>
      </c>
      <c r="V43" s="772">
        <f>+'Phase I Pro Forma'!V42/1000000</f>
        <v>0.37516040124741079</v>
      </c>
      <c r="W43" s="772">
        <f>+'Phase I Pro Forma'!W42/1000000</f>
        <v>0.37516040124741079</v>
      </c>
      <c r="X43" s="772">
        <f>+'Phase I Pro Forma'!X42/1000000</f>
        <v>0.37516040124741079</v>
      </c>
      <c r="Y43" s="772">
        <f>+'Phase I Pro Forma'!Y42/1000000</f>
        <v>0.37516040124741079</v>
      </c>
      <c r="Z43" s="772">
        <f>+'Phase I Pro Forma'!Z42/1000000</f>
        <v>0.37516040124741079</v>
      </c>
    </row>
    <row r="44" spans="2:26" x14ac:dyDescent="0.2">
      <c r="B44" s="136" t="s">
        <v>253</v>
      </c>
      <c r="C44" s="136"/>
      <c r="D44" s="136"/>
      <c r="E44" s="136"/>
      <c r="F44" s="773">
        <f t="shared" ref="F44:Z44" si="11">+SUM(F41:F43)</f>
        <v>0</v>
      </c>
      <c r="G44" s="773">
        <f t="shared" si="11"/>
        <v>0</v>
      </c>
      <c r="H44" s="773">
        <f t="shared" si="11"/>
        <v>0</v>
      </c>
      <c r="I44" s="773">
        <f t="shared" si="11"/>
        <v>6.7336223211446988</v>
      </c>
      <c r="J44" s="773">
        <f t="shared" si="11"/>
        <v>13.860007169520658</v>
      </c>
      <c r="K44" s="773">
        <f t="shared" si="11"/>
        <v>14.264552572568855</v>
      </c>
      <c r="L44" s="773">
        <f t="shared" si="11"/>
        <v>14.681234337708498</v>
      </c>
      <c r="M44" s="773">
        <f t="shared" si="11"/>
        <v>15.110416555802331</v>
      </c>
      <c r="N44" s="773">
        <f t="shared" si="11"/>
        <v>15.552474240438983</v>
      </c>
      <c r="O44" s="773">
        <f t="shared" si="11"/>
        <v>16.007793655614726</v>
      </c>
      <c r="P44" s="773">
        <f t="shared" si="11"/>
        <v>16.476772653245746</v>
      </c>
      <c r="Q44" s="773">
        <f t="shared" si="11"/>
        <v>16.959821020805698</v>
      </c>
      <c r="R44" s="773">
        <f t="shared" si="11"/>
        <v>17.457360839392447</v>
      </c>
      <c r="S44" s="773">
        <f t="shared" si="11"/>
        <v>17.969826852536798</v>
      </c>
      <c r="T44" s="773">
        <f t="shared" si="11"/>
        <v>18.497666846075482</v>
      </c>
      <c r="U44" s="773">
        <f t="shared" si="11"/>
        <v>19.041342039420321</v>
      </c>
      <c r="V44" s="773">
        <f t="shared" si="11"/>
        <v>19.601327488565513</v>
      </c>
      <c r="W44" s="773">
        <f t="shared" si="11"/>
        <v>20.178112501185055</v>
      </c>
      <c r="X44" s="773">
        <f t="shared" si="11"/>
        <v>20.772201064183182</v>
      </c>
      <c r="Y44" s="773">
        <f t="shared" si="11"/>
        <v>21.384112284071261</v>
      </c>
      <c r="Z44" s="773">
        <f t="shared" si="11"/>
        <v>22.014380840555976</v>
      </c>
    </row>
    <row r="45" spans="2:26" ht="5" customHeight="1" x14ac:dyDescent="0.2"/>
    <row r="46" spans="2:26" x14ac:dyDescent="0.2">
      <c r="B46" s="32" t="s">
        <v>389</v>
      </c>
      <c r="F46" s="48">
        <f>+'Phase I Pro Forma'!F45/1000000</f>
        <v>0</v>
      </c>
      <c r="G46" s="48">
        <f>+'Phase I Pro Forma'!G45/1000000</f>
        <v>0</v>
      </c>
      <c r="H46" s="48">
        <f>+'Phase I Pro Forma'!H45/1000000</f>
        <v>0</v>
      </c>
      <c r="I46" s="48">
        <f>+'Phase I Pro Forma'!I45/1000000</f>
        <v>1.9614732046597103</v>
      </c>
      <c r="J46" s="48">
        <f>+'Phase I Pro Forma'!J45/1000000</f>
        <v>4.0406348015990039</v>
      </c>
      <c r="K46" s="48">
        <f>+'Phase I Pro Forma'!K45/1000000</f>
        <v>4.1618538456469745</v>
      </c>
      <c r="L46" s="48">
        <f>+'Phase I Pro Forma'!L45/1000000</f>
        <v>4.2867094610163834</v>
      </c>
      <c r="M46" s="48">
        <f>+'Phase I Pro Forma'!M45/1000000</f>
        <v>4.4153107448468747</v>
      </c>
      <c r="N46" s="48">
        <f>+'Phase I Pro Forma'!N45/1000000</f>
        <v>4.5477700671922818</v>
      </c>
      <c r="O46" s="48">
        <f>+'Phase I Pro Forma'!O45/1000000</f>
        <v>4.6842031692080495</v>
      </c>
      <c r="P46" s="48">
        <f>+'Phase I Pro Forma'!P45/1000000</f>
        <v>4.8247292642842909</v>
      </c>
      <c r="Q46" s="48">
        <f>+'Phase I Pro Forma'!Q45/1000000</f>
        <v>4.9694711422128206</v>
      </c>
      <c r="R46" s="48">
        <f>+'Phase I Pro Forma'!R45/1000000</f>
        <v>5.1185552764792055</v>
      </c>
      <c r="S46" s="48">
        <f>+'Phase I Pro Forma'!S45/1000000</f>
        <v>5.2721119347735819</v>
      </c>
      <c r="T46" s="48">
        <f>+'Phase I Pro Forma'!T45/1000000</f>
        <v>5.4302752928167894</v>
      </c>
      <c r="U46" s="48">
        <f>+'Phase I Pro Forma'!U45/1000000</f>
        <v>5.5931835516012933</v>
      </c>
      <c r="V46" s="48">
        <f>+'Phase I Pro Forma'!V45/1000000</f>
        <v>5.7609790581493332</v>
      </c>
      <c r="W46" s="48">
        <f>+'Phase I Pro Forma'!W45/1000000</f>
        <v>5.933808429893813</v>
      </c>
      <c r="X46" s="48">
        <f>+'Phase I Pro Forma'!X45/1000000</f>
        <v>6.1118226827906268</v>
      </c>
      <c r="Y46" s="48">
        <f>+'Phase I Pro Forma'!Y45/1000000</f>
        <v>6.2951773632743464</v>
      </c>
      <c r="Z46" s="48">
        <f>+'Phase I Pro Forma'!Z45/1000000</f>
        <v>6.4840326841725773</v>
      </c>
    </row>
    <row r="47" spans="2:26" x14ac:dyDescent="0.2">
      <c r="B47" s="32" t="s">
        <v>325</v>
      </c>
      <c r="F47" s="772">
        <f ca="1">+'Phase I Pro Forma'!F46/1000000</f>
        <v>0</v>
      </c>
      <c r="G47" s="772">
        <f ca="1">+'Phase I Pro Forma'!G46/1000000</f>
        <v>0</v>
      </c>
      <c r="H47" s="772">
        <f ca="1">+'Phase I Pro Forma'!H46/1000000</f>
        <v>0</v>
      </c>
      <c r="I47" s="772">
        <f ca="1">+'Phase I Pro Forma'!I46/1000000</f>
        <v>1.3181066455431798</v>
      </c>
      <c r="J47" s="772">
        <f ca="1">+'Phase I Pro Forma'!J46/1000000</f>
        <v>2.6889375569080869</v>
      </c>
      <c r="K47" s="772">
        <f ca="1">+'Phase I Pro Forma'!K46/1000000</f>
        <v>2.6889375569080869</v>
      </c>
      <c r="L47" s="772">
        <f ca="1">+'Phase I Pro Forma'!L46/1000000</f>
        <v>2.6889375569080869</v>
      </c>
      <c r="M47" s="772">
        <f ca="1">+'Phase I Pro Forma'!M46/1000000</f>
        <v>2.7427163080462487</v>
      </c>
      <c r="N47" s="772">
        <f ca="1">+'Phase I Pro Forma'!N46/1000000</f>
        <v>2.7427163080462487</v>
      </c>
      <c r="O47" s="772">
        <f ca="1">+'Phase I Pro Forma'!O46/1000000</f>
        <v>2.7427163080462487</v>
      </c>
      <c r="P47" s="772">
        <f ca="1">+'Phase I Pro Forma'!P46/1000000</f>
        <v>2.7975706342071738</v>
      </c>
      <c r="Q47" s="772">
        <f ca="1">+'Phase I Pro Forma'!Q46/1000000</f>
        <v>2.7975706342071738</v>
      </c>
      <c r="R47" s="772">
        <f ca="1">+'Phase I Pro Forma'!R46/1000000</f>
        <v>2.7975706342071738</v>
      </c>
      <c r="S47" s="772">
        <f ca="1">+'Phase I Pro Forma'!S46/1000000</f>
        <v>2.8535220468913178</v>
      </c>
      <c r="T47" s="772">
        <f ca="1">+'Phase I Pro Forma'!T46/1000000</f>
        <v>2.8535220468913178</v>
      </c>
      <c r="U47" s="772">
        <f ca="1">+'Phase I Pro Forma'!U46/1000000</f>
        <v>2.8535220468913178</v>
      </c>
      <c r="V47" s="772">
        <f ca="1">+'Phase I Pro Forma'!V46/1000000</f>
        <v>2.910592487829144</v>
      </c>
      <c r="W47" s="772">
        <f ca="1">+'Phase I Pro Forma'!W46/1000000</f>
        <v>2.910592487829144</v>
      </c>
      <c r="X47" s="772">
        <f ca="1">+'Phase I Pro Forma'!X46/1000000</f>
        <v>2.910592487829144</v>
      </c>
      <c r="Y47" s="772">
        <f ca="1">+'Phase I Pro Forma'!Y46/1000000</f>
        <v>2.9688043375857265</v>
      </c>
      <c r="Z47" s="772">
        <f ca="1">+'Phase I Pro Forma'!Z46/1000000</f>
        <v>2.9688043375857265</v>
      </c>
    </row>
    <row r="48" spans="2:26" x14ac:dyDescent="0.2">
      <c r="B48" s="136" t="s">
        <v>249</v>
      </c>
      <c r="C48" s="136"/>
      <c r="D48" s="136"/>
      <c r="E48" s="136"/>
      <c r="F48" s="773">
        <f ca="1">+SUM(F46:F47)</f>
        <v>0</v>
      </c>
      <c r="G48" s="773">
        <f t="shared" ref="G48" ca="1" si="12">+SUM(G46:G47)</f>
        <v>0</v>
      </c>
      <c r="H48" s="773">
        <f t="shared" ref="H48:Z48" ca="1" si="13">+SUM(H46:H47)</f>
        <v>0</v>
      </c>
      <c r="I48" s="773">
        <f t="shared" ca="1" si="13"/>
        <v>3.2795798502028903</v>
      </c>
      <c r="J48" s="773">
        <f t="shared" ca="1" si="13"/>
        <v>6.7295723585070908</v>
      </c>
      <c r="K48" s="773">
        <f t="shared" ca="1" si="13"/>
        <v>6.8507914025550614</v>
      </c>
      <c r="L48" s="773">
        <f t="shared" ca="1" si="13"/>
        <v>6.9756470179244703</v>
      </c>
      <c r="M48" s="773">
        <f t="shared" ca="1" si="13"/>
        <v>7.1580270528931234</v>
      </c>
      <c r="N48" s="773">
        <f t="shared" ca="1" si="13"/>
        <v>7.2904863752385305</v>
      </c>
      <c r="O48" s="773">
        <f t="shared" ca="1" si="13"/>
        <v>7.4269194772542981</v>
      </c>
      <c r="P48" s="773">
        <f t="shared" ca="1" si="13"/>
        <v>7.6222998984914643</v>
      </c>
      <c r="Q48" s="773">
        <f t="shared" ca="1" si="13"/>
        <v>7.7670417764199939</v>
      </c>
      <c r="R48" s="773">
        <f t="shared" ca="1" si="13"/>
        <v>7.9161259106863788</v>
      </c>
      <c r="S48" s="773">
        <f t="shared" ca="1" si="13"/>
        <v>8.1256339816648993</v>
      </c>
      <c r="T48" s="773">
        <f t="shared" ca="1" si="13"/>
        <v>8.2837973397081068</v>
      </c>
      <c r="U48" s="773">
        <f t="shared" ca="1" si="13"/>
        <v>8.4467055984926116</v>
      </c>
      <c r="V48" s="773">
        <f t="shared" ca="1" si="13"/>
        <v>8.6715715459784768</v>
      </c>
      <c r="W48" s="773">
        <f t="shared" ca="1" si="13"/>
        <v>8.8444009177229574</v>
      </c>
      <c r="X48" s="773">
        <f t="shared" ca="1" si="13"/>
        <v>9.0224151706197713</v>
      </c>
      <c r="Y48" s="773">
        <f t="shared" ca="1" si="13"/>
        <v>9.2639817008600733</v>
      </c>
      <c r="Z48" s="773">
        <f t="shared" ca="1" si="13"/>
        <v>9.4528370217583042</v>
      </c>
    </row>
    <row r="49" spans="1:26" ht="5" customHeight="1" x14ac:dyDescent="0.2">
      <c r="B49" s="32"/>
    </row>
    <row r="50" spans="1:26" x14ac:dyDescent="0.2">
      <c r="A50" s="107"/>
      <c r="B50" s="777" t="s">
        <v>248</v>
      </c>
      <c r="C50" s="777"/>
      <c r="D50" s="777"/>
      <c r="E50" s="777"/>
      <c r="F50" s="778">
        <f ca="1">+F44-F48</f>
        <v>0</v>
      </c>
      <c r="G50" s="778">
        <f t="shared" ref="G50:Z50" ca="1" si="14">+G44-G48</f>
        <v>0</v>
      </c>
      <c r="H50" s="778">
        <f t="shared" ca="1" si="14"/>
        <v>0</v>
      </c>
      <c r="I50" s="778">
        <f t="shared" ca="1" si="14"/>
        <v>3.4540424709418085</v>
      </c>
      <c r="J50" s="778">
        <f t="shared" ca="1" si="14"/>
        <v>7.1304348110135676</v>
      </c>
      <c r="K50" s="778">
        <f t="shared" ca="1" si="14"/>
        <v>7.4137611700137933</v>
      </c>
      <c r="L50" s="778">
        <f t="shared" ca="1" si="14"/>
        <v>7.7055873197840272</v>
      </c>
      <c r="M50" s="778">
        <f t="shared" ca="1" si="14"/>
        <v>7.9523895029092078</v>
      </c>
      <c r="N50" s="778">
        <f t="shared" ca="1" si="14"/>
        <v>8.261987865200453</v>
      </c>
      <c r="O50" s="778">
        <f t="shared" ca="1" si="14"/>
        <v>8.5808741783604283</v>
      </c>
      <c r="P50" s="778">
        <f t="shared" ca="1" si="14"/>
        <v>8.8544727547542816</v>
      </c>
      <c r="Q50" s="778">
        <f t="shared" ca="1" si="14"/>
        <v>9.1927792443857044</v>
      </c>
      <c r="R50" s="778">
        <f t="shared" ca="1" si="14"/>
        <v>9.5412349287060678</v>
      </c>
      <c r="S50" s="778">
        <f t="shared" ca="1" si="14"/>
        <v>9.8441928708718986</v>
      </c>
      <c r="T50" s="778">
        <f t="shared" ca="1" si="14"/>
        <v>10.213869506367375</v>
      </c>
      <c r="U50" s="778">
        <f t="shared" ca="1" si="14"/>
        <v>10.59463644092771</v>
      </c>
      <c r="V50" s="778">
        <f t="shared" ca="1" si="14"/>
        <v>10.929755942587036</v>
      </c>
      <c r="W50" s="778">
        <f t="shared" ca="1" si="14"/>
        <v>11.333711583462097</v>
      </c>
      <c r="X50" s="778">
        <f t="shared" ca="1" si="14"/>
        <v>11.749785893563411</v>
      </c>
      <c r="Y50" s="778">
        <f t="shared" ca="1" si="14"/>
        <v>12.120130583211187</v>
      </c>
      <c r="Z50" s="778">
        <f t="shared" ca="1" si="14"/>
        <v>12.561543818797672</v>
      </c>
    </row>
    <row r="51" spans="1:26" x14ac:dyDescent="0.2">
      <c r="B51" s="779" t="s">
        <v>254</v>
      </c>
      <c r="C51" s="780"/>
      <c r="D51" s="780"/>
      <c r="E51" s="780"/>
      <c r="F51" s="781" t="str">
        <f ca="1">+IFERROR(F50/F44,"")</f>
        <v/>
      </c>
      <c r="G51" s="781" t="str">
        <f t="shared" ref="G51:Z51" ca="1" si="15">+IFERROR(G50/G44,"")</f>
        <v/>
      </c>
      <c r="H51" s="781" t="str">
        <f t="shared" ca="1" si="15"/>
        <v/>
      </c>
      <c r="I51" s="782">
        <f t="shared" ca="1" si="15"/>
        <v>0.51295458910659986</v>
      </c>
      <c r="J51" s="782">
        <f t="shared" ca="1" si="15"/>
        <v>0.51446111995482968</v>
      </c>
      <c r="K51" s="782">
        <f t="shared" ca="1" si="15"/>
        <v>0.51973317300331379</v>
      </c>
      <c r="L51" s="782">
        <f t="shared" ca="1" si="15"/>
        <v>0.52485963663098534</v>
      </c>
      <c r="M51" s="782">
        <f t="shared" ca="1" si="15"/>
        <v>0.52628525981009611</v>
      </c>
      <c r="N51" s="782">
        <f t="shared" ca="1" si="15"/>
        <v>0.53123302038449483</v>
      </c>
      <c r="O51" s="782">
        <f t="shared" ca="1" si="15"/>
        <v>0.53604352748204565</v>
      </c>
      <c r="P51" s="782">
        <f t="shared" ca="1" si="15"/>
        <v>0.53739120767743598</v>
      </c>
      <c r="Q51" s="782">
        <f t="shared" ca="1" si="15"/>
        <v>0.54203279817094374</v>
      </c>
      <c r="R51" s="782">
        <f t="shared" ca="1" si="15"/>
        <v>0.54654509444384736</v>
      </c>
      <c r="S51" s="782">
        <f t="shared" ca="1" si="15"/>
        <v>0.54781790340301439</v>
      </c>
      <c r="T51" s="782">
        <f t="shared" ca="1" si="15"/>
        <v>0.55217069219377679</v>
      </c>
      <c r="U51" s="782">
        <f t="shared" ca="1" si="15"/>
        <v>0.5564017714189563</v>
      </c>
      <c r="V51" s="782">
        <f t="shared" ca="1" si="15"/>
        <v>0.55760284342797384</v>
      </c>
      <c r="W51" s="782">
        <f t="shared" ca="1" si="15"/>
        <v>0.56168343708047375</v>
      </c>
      <c r="X51" s="782">
        <f t="shared" ca="1" si="15"/>
        <v>0.56564953599564261</v>
      </c>
      <c r="Y51" s="782">
        <f t="shared" ca="1" si="15"/>
        <v>0.56678203061248</v>
      </c>
      <c r="Z51" s="782">
        <f t="shared" ca="1" si="15"/>
        <v>0.57060627367980199</v>
      </c>
    </row>
    <row r="52" spans="1:26" x14ac:dyDescent="0.2">
      <c r="B52" s="779" t="s">
        <v>188</v>
      </c>
      <c r="C52" s="780"/>
      <c r="D52" s="780"/>
      <c r="E52" s="780"/>
      <c r="F52" s="783">
        <f ca="1">+'Phase I Pro Forma'!F51/1000000</f>
        <v>0</v>
      </c>
      <c r="G52" s="783">
        <f ca="1">+'Phase I Pro Forma'!G51/1000000</f>
        <v>0</v>
      </c>
      <c r="H52" s="783">
        <f ca="1">+'Phase I Pro Forma'!H51/1000000</f>
        <v>0</v>
      </c>
      <c r="I52" s="783">
        <f ca="1">+'Phase I Pro Forma'!I51/1000000</f>
        <v>62.800772198941971</v>
      </c>
      <c r="J52" s="783">
        <f ca="1">+'Phase I Pro Forma'!J51/1000000</f>
        <v>129.64426929115575</v>
      </c>
      <c r="K52" s="783">
        <f ca="1">+'Phase I Pro Forma'!K51/1000000</f>
        <v>134.79565763661441</v>
      </c>
      <c r="L52" s="783">
        <f ca="1">+'Phase I Pro Forma'!L51/1000000</f>
        <v>140.10158763243686</v>
      </c>
      <c r="M52" s="783">
        <f ca="1">+'Phase I Pro Forma'!M51/1000000</f>
        <v>144.58890005289467</v>
      </c>
      <c r="N52" s="783">
        <f ca="1">+'Phase I Pro Forma'!N51/1000000</f>
        <v>150.21796118546274</v>
      </c>
      <c r="O52" s="783">
        <f ca="1">+'Phase I Pro Forma'!O51/1000000</f>
        <v>156.01589415200777</v>
      </c>
      <c r="P52" s="783">
        <f ca="1">+'Phase I Pro Forma'!P51/1000000</f>
        <v>160.9904137228051</v>
      </c>
      <c r="Q52" s="783">
        <f ca="1">+'Phase I Pro Forma'!Q51/1000000</f>
        <v>167.1414408070128</v>
      </c>
      <c r="R52" s="783">
        <f ca="1">+'Phase I Pro Forma'!R51/1000000</f>
        <v>173.47699870374674</v>
      </c>
      <c r="S52" s="783">
        <f ca="1">+'Phase I Pro Forma'!S51/1000000</f>
        <v>178.98532492494365</v>
      </c>
      <c r="T52" s="783">
        <f ca="1">+'Phase I Pro Forma'!T51/1000000</f>
        <v>185.70671829758862</v>
      </c>
      <c r="U52" s="783">
        <f ca="1">+'Phase I Pro Forma'!U51/1000000</f>
        <v>192.62975347141298</v>
      </c>
      <c r="V52" s="783">
        <f ca="1">+'Phase I Pro Forma'!V51/1000000</f>
        <v>198.72283531976436</v>
      </c>
      <c r="W52" s="783">
        <f ca="1">+'Phase I Pro Forma'!W51/1000000</f>
        <v>206.06748333567452</v>
      </c>
      <c r="X52" s="783">
        <f ca="1">+'Phase I Pro Forma'!X51/1000000</f>
        <v>213.63247079206209</v>
      </c>
      <c r="Y52" s="783">
        <f ca="1">+'Phase I Pro Forma'!Y51/1000000</f>
        <v>220.36601060383984</v>
      </c>
      <c r="Z52" s="783">
        <f ca="1">+'Phase I Pro Forma'!Z51/1000000</f>
        <v>228.39170579632133</v>
      </c>
    </row>
    <row r="53" spans="1:26" ht="5" customHeight="1" x14ac:dyDescent="0.2"/>
    <row r="54" spans="1:26" x14ac:dyDescent="0.2">
      <c r="B54" s="147" t="s">
        <v>25</v>
      </c>
      <c r="C54" s="148"/>
      <c r="D54" s="148"/>
      <c r="E54" s="148"/>
      <c r="F54" s="776">
        <f>+F6</f>
        <v>44196</v>
      </c>
      <c r="G54" s="776">
        <f t="shared" ref="G54:Z54" si="16">+G6</f>
        <v>44561</v>
      </c>
      <c r="H54" s="776">
        <f t="shared" si="16"/>
        <v>44926</v>
      </c>
      <c r="I54" s="776">
        <f t="shared" si="16"/>
        <v>45291</v>
      </c>
      <c r="J54" s="776">
        <f t="shared" si="16"/>
        <v>45657</v>
      </c>
      <c r="K54" s="776">
        <f t="shared" si="16"/>
        <v>46022</v>
      </c>
      <c r="L54" s="776">
        <f t="shared" si="16"/>
        <v>46387</v>
      </c>
      <c r="M54" s="776">
        <f t="shared" si="16"/>
        <v>46752</v>
      </c>
      <c r="N54" s="776">
        <f t="shared" si="16"/>
        <v>47118</v>
      </c>
      <c r="O54" s="776">
        <f t="shared" si="16"/>
        <v>47483</v>
      </c>
      <c r="P54" s="776">
        <f t="shared" si="16"/>
        <v>47848</v>
      </c>
      <c r="Q54" s="776">
        <f t="shared" si="16"/>
        <v>48213</v>
      </c>
      <c r="R54" s="776">
        <f t="shared" si="16"/>
        <v>48579</v>
      </c>
      <c r="S54" s="776">
        <f t="shared" si="16"/>
        <v>48944</v>
      </c>
      <c r="T54" s="776">
        <f t="shared" si="16"/>
        <v>49309</v>
      </c>
      <c r="U54" s="776">
        <f t="shared" si="16"/>
        <v>49674</v>
      </c>
      <c r="V54" s="776">
        <f t="shared" si="16"/>
        <v>50040</v>
      </c>
      <c r="W54" s="776">
        <f t="shared" si="16"/>
        <v>50405</v>
      </c>
      <c r="X54" s="776">
        <f t="shared" si="16"/>
        <v>50770</v>
      </c>
      <c r="Y54" s="776">
        <f t="shared" si="16"/>
        <v>51135</v>
      </c>
      <c r="Z54" s="776">
        <f t="shared" si="16"/>
        <v>51501</v>
      </c>
    </row>
    <row r="55" spans="1:26" hidden="1" outlineLevel="3" x14ac:dyDescent="0.2">
      <c r="B55" s="788" t="s">
        <v>756</v>
      </c>
      <c r="C55" s="788"/>
      <c r="D55" s="791"/>
      <c r="E55" s="791"/>
      <c r="F55" s="789">
        <f>+'Phase I Pro Forma'!F54</f>
        <v>0</v>
      </c>
      <c r="G55" s="789">
        <f>+'Phase I Pro Forma'!G54</f>
        <v>0</v>
      </c>
      <c r="H55" s="789">
        <f>+'Phase I Pro Forma'!H54</f>
        <v>0</v>
      </c>
      <c r="I55" s="789">
        <f>+'Phase I Pro Forma'!I54</f>
        <v>107100</v>
      </c>
      <c r="J55" s="789">
        <f>+'Phase I Pro Forma'!J54</f>
        <v>107100</v>
      </c>
      <c r="K55" s="789">
        <f>+'Phase I Pro Forma'!K54</f>
        <v>0</v>
      </c>
      <c r="L55" s="789">
        <f>+'Phase I Pro Forma'!L54</f>
        <v>0</v>
      </c>
      <c r="M55" s="789">
        <f>+'Phase I Pro Forma'!M54</f>
        <v>0</v>
      </c>
      <c r="N55" s="789">
        <f>+'Phase I Pro Forma'!N54</f>
        <v>0</v>
      </c>
      <c r="O55" s="789">
        <f>+'Phase I Pro Forma'!O54</f>
        <v>0</v>
      </c>
      <c r="P55" s="789">
        <f>+'Phase I Pro Forma'!P54</f>
        <v>0</v>
      </c>
      <c r="Q55" s="789">
        <f>+'Phase I Pro Forma'!Q54</f>
        <v>0</v>
      </c>
      <c r="R55" s="789">
        <f>+'Phase I Pro Forma'!R54</f>
        <v>0</v>
      </c>
      <c r="S55" s="789">
        <f>+'Phase I Pro Forma'!S54</f>
        <v>0</v>
      </c>
      <c r="T55" s="789">
        <f>+'Phase I Pro Forma'!T54</f>
        <v>0</v>
      </c>
      <c r="U55" s="789">
        <f>+'Phase I Pro Forma'!U54</f>
        <v>0</v>
      </c>
      <c r="V55" s="789">
        <f>+'Phase I Pro Forma'!V54</f>
        <v>0</v>
      </c>
      <c r="W55" s="789">
        <f>+'Phase I Pro Forma'!W54</f>
        <v>0</v>
      </c>
      <c r="X55" s="789">
        <f>+'Phase I Pro Forma'!X54</f>
        <v>0</v>
      </c>
      <c r="Y55" s="789">
        <f>+'Phase I Pro Forma'!Y54</f>
        <v>0</v>
      </c>
      <c r="Z55" s="789">
        <f>+'Phase I Pro Forma'!Z54</f>
        <v>0</v>
      </c>
    </row>
    <row r="56" spans="1:26" collapsed="1" x14ac:dyDescent="0.2">
      <c r="B56" s="32" t="s">
        <v>784</v>
      </c>
      <c r="C56" s="32"/>
      <c r="D56" s="41">
        <v>0</v>
      </c>
      <c r="E56" s="41"/>
      <c r="F56" s="41">
        <f>+D56+F55</f>
        <v>0</v>
      </c>
      <c r="G56" s="41">
        <f t="shared" ref="G56:Z56" si="17">+F56+G55</f>
        <v>0</v>
      </c>
      <c r="H56" s="41">
        <f t="shared" si="17"/>
        <v>0</v>
      </c>
      <c r="I56" s="41">
        <f t="shared" si="17"/>
        <v>107100</v>
      </c>
      <c r="J56" s="41">
        <f t="shared" si="17"/>
        <v>214200</v>
      </c>
      <c r="K56" s="41">
        <f t="shared" si="17"/>
        <v>214200</v>
      </c>
      <c r="L56" s="41">
        <f t="shared" si="17"/>
        <v>214200</v>
      </c>
      <c r="M56" s="41">
        <f t="shared" si="17"/>
        <v>214200</v>
      </c>
      <c r="N56" s="41">
        <f t="shared" si="17"/>
        <v>214200</v>
      </c>
      <c r="O56" s="41">
        <f t="shared" si="17"/>
        <v>214200</v>
      </c>
      <c r="P56" s="41">
        <f t="shared" si="17"/>
        <v>214200</v>
      </c>
      <c r="Q56" s="41">
        <f t="shared" si="17"/>
        <v>214200</v>
      </c>
      <c r="R56" s="41">
        <f t="shared" si="17"/>
        <v>214200</v>
      </c>
      <c r="S56" s="41">
        <f t="shared" si="17"/>
        <v>214200</v>
      </c>
      <c r="T56" s="41">
        <f t="shared" si="17"/>
        <v>214200</v>
      </c>
      <c r="U56" s="41">
        <f t="shared" si="17"/>
        <v>214200</v>
      </c>
      <c r="V56" s="41">
        <f t="shared" si="17"/>
        <v>214200</v>
      </c>
      <c r="W56" s="41">
        <f t="shared" si="17"/>
        <v>214200</v>
      </c>
      <c r="X56" s="41">
        <f t="shared" si="17"/>
        <v>214200</v>
      </c>
      <c r="Y56" s="41">
        <f t="shared" si="17"/>
        <v>214200</v>
      </c>
      <c r="Z56" s="41">
        <f t="shared" si="17"/>
        <v>214200</v>
      </c>
    </row>
    <row r="57" spans="1:26" hidden="1" x14ac:dyDescent="0.2">
      <c r="B57" s="788" t="s">
        <v>301</v>
      </c>
      <c r="C57" s="788"/>
      <c r="D57" s="789"/>
      <c r="E57" s="789"/>
      <c r="F57" s="790">
        <f>+'Phase I Pro Forma'!F56</f>
        <v>0</v>
      </c>
      <c r="G57" s="790">
        <f>+'Phase I Pro Forma'!G56</f>
        <v>0</v>
      </c>
      <c r="H57" s="790">
        <f>+'Phase I Pro Forma'!H56</f>
        <v>0</v>
      </c>
      <c r="I57" s="790">
        <f>+'Phase I Pro Forma'!I56</f>
        <v>0.5</v>
      </c>
      <c r="J57" s="790">
        <f>+'Phase I Pro Forma'!J56</f>
        <v>1</v>
      </c>
      <c r="K57" s="790">
        <f>+'Phase I Pro Forma'!K56</f>
        <v>1</v>
      </c>
      <c r="L57" s="790">
        <f>+'Phase I Pro Forma'!L56</f>
        <v>1</v>
      </c>
      <c r="M57" s="790">
        <f>+'Phase I Pro Forma'!M56</f>
        <v>1</v>
      </c>
      <c r="N57" s="790">
        <f>+'Phase I Pro Forma'!N56</f>
        <v>1</v>
      </c>
      <c r="O57" s="790">
        <f>+'Phase I Pro Forma'!O56</f>
        <v>1</v>
      </c>
      <c r="P57" s="790">
        <f>+'Phase I Pro Forma'!P56</f>
        <v>1</v>
      </c>
      <c r="Q57" s="790">
        <f>+'Phase I Pro Forma'!Q56</f>
        <v>1</v>
      </c>
      <c r="R57" s="790">
        <f>+'Phase I Pro Forma'!R56</f>
        <v>1</v>
      </c>
      <c r="S57" s="790">
        <f>+'Phase I Pro Forma'!S56</f>
        <v>1</v>
      </c>
      <c r="T57" s="790">
        <f>+'Phase I Pro Forma'!T56</f>
        <v>1</v>
      </c>
      <c r="U57" s="790">
        <f>+'Phase I Pro Forma'!U56</f>
        <v>1</v>
      </c>
      <c r="V57" s="790">
        <f>+'Phase I Pro Forma'!V56</f>
        <v>1</v>
      </c>
      <c r="W57" s="790">
        <f>+'Phase I Pro Forma'!W56</f>
        <v>1</v>
      </c>
      <c r="X57" s="790">
        <f>+'Phase I Pro Forma'!X56</f>
        <v>1</v>
      </c>
      <c r="Y57" s="790">
        <f>+'Phase I Pro Forma'!Y56</f>
        <v>1</v>
      </c>
      <c r="Z57" s="790">
        <f>+'Phase I Pro Forma'!Z56</f>
        <v>1</v>
      </c>
    </row>
    <row r="58" spans="1:26" ht="5" hidden="1" customHeight="1" x14ac:dyDescent="0.2">
      <c r="B58" s="788"/>
      <c r="C58" s="788"/>
      <c r="D58" s="791"/>
      <c r="E58" s="791"/>
      <c r="F58" s="792"/>
      <c r="G58" s="792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2"/>
    </row>
    <row r="59" spans="1:26" hidden="1" x14ac:dyDescent="0.2">
      <c r="B59" s="788" t="s">
        <v>251</v>
      </c>
      <c r="C59" s="788"/>
      <c r="D59" s="789"/>
      <c r="E59" s="789"/>
      <c r="F59" s="790">
        <f>+'Phase I Pro Forma'!F58</f>
        <v>1</v>
      </c>
      <c r="G59" s="790">
        <f>+'Phase I Pro Forma'!G58</f>
        <v>1</v>
      </c>
      <c r="H59" s="790">
        <f>+'Phase I Pro Forma'!H58</f>
        <v>1</v>
      </c>
      <c r="I59" s="790">
        <f>+'Phase I Pro Forma'!I58</f>
        <v>1</v>
      </c>
      <c r="J59" s="790">
        <f>+'Phase I Pro Forma'!J58</f>
        <v>1</v>
      </c>
      <c r="K59" s="790">
        <f>+'Phase I Pro Forma'!K58</f>
        <v>1</v>
      </c>
      <c r="L59" s="790">
        <f>+'Phase I Pro Forma'!L58</f>
        <v>1.1000000000000001</v>
      </c>
      <c r="M59" s="790">
        <f>+'Phase I Pro Forma'!M58</f>
        <v>1.1000000000000001</v>
      </c>
      <c r="N59" s="790">
        <f>+'Phase I Pro Forma'!N58</f>
        <v>1.1000000000000001</v>
      </c>
      <c r="O59" s="790">
        <f>+'Phase I Pro Forma'!O58</f>
        <v>1.1000000000000001</v>
      </c>
      <c r="P59" s="790">
        <f>+'Phase I Pro Forma'!P58</f>
        <v>1.1000000000000001</v>
      </c>
      <c r="Q59" s="790">
        <f>+'Phase I Pro Forma'!Q58</f>
        <v>1.2100000000000002</v>
      </c>
      <c r="R59" s="790">
        <f>+'Phase I Pro Forma'!R58</f>
        <v>1.2100000000000002</v>
      </c>
      <c r="S59" s="790">
        <f>+'Phase I Pro Forma'!S58</f>
        <v>1.2100000000000002</v>
      </c>
      <c r="T59" s="790">
        <f>+'Phase I Pro Forma'!T58</f>
        <v>1.2100000000000002</v>
      </c>
      <c r="U59" s="790">
        <f>+'Phase I Pro Forma'!U58</f>
        <v>1.2100000000000002</v>
      </c>
      <c r="V59" s="790">
        <f>+'Phase I Pro Forma'!V58</f>
        <v>1.3310000000000004</v>
      </c>
      <c r="W59" s="790">
        <f>+'Phase I Pro Forma'!W58</f>
        <v>1.3310000000000004</v>
      </c>
      <c r="X59" s="790">
        <f>+'Phase I Pro Forma'!X58</f>
        <v>1.3310000000000004</v>
      </c>
      <c r="Y59" s="790">
        <f>+'Phase I Pro Forma'!Y58</f>
        <v>1.3310000000000004</v>
      </c>
      <c r="Z59" s="790">
        <f>+'Phase I Pro Forma'!Z58</f>
        <v>1.3310000000000004</v>
      </c>
    </row>
    <row r="60" spans="1:26" hidden="1" x14ac:dyDescent="0.2">
      <c r="B60" s="788" t="s">
        <v>252</v>
      </c>
      <c r="C60" s="788"/>
      <c r="D60" s="789"/>
      <c r="E60" s="789"/>
      <c r="F60" s="790">
        <f>+'Phase I Pro Forma'!F59</f>
        <v>1</v>
      </c>
      <c r="G60" s="790">
        <f>+'Phase I Pro Forma'!G59</f>
        <v>1.03</v>
      </c>
      <c r="H60" s="790">
        <f>+'Phase I Pro Forma'!H59</f>
        <v>1.0609</v>
      </c>
      <c r="I60" s="790">
        <f>+'Phase I Pro Forma'!I59</f>
        <v>1.092727</v>
      </c>
      <c r="J60" s="790">
        <f>+'Phase I Pro Forma'!J59</f>
        <v>1.1255088100000001</v>
      </c>
      <c r="K60" s="790">
        <f>+'Phase I Pro Forma'!K59</f>
        <v>1.1592740743000001</v>
      </c>
      <c r="L60" s="790">
        <f>+'Phase I Pro Forma'!L59</f>
        <v>1.1940522965290001</v>
      </c>
      <c r="M60" s="790">
        <f>+'Phase I Pro Forma'!M59</f>
        <v>1.2298738654248702</v>
      </c>
      <c r="N60" s="790">
        <f>+'Phase I Pro Forma'!N59</f>
        <v>1.2667700813876164</v>
      </c>
      <c r="O60" s="790">
        <f>+'Phase I Pro Forma'!O59</f>
        <v>1.3047731838292449</v>
      </c>
      <c r="P60" s="790">
        <f>+'Phase I Pro Forma'!P59</f>
        <v>1.3439163793441222</v>
      </c>
      <c r="Q60" s="790">
        <f>+'Phase I Pro Forma'!Q59</f>
        <v>1.3842338707244459</v>
      </c>
      <c r="R60" s="790">
        <f>+'Phase I Pro Forma'!R59</f>
        <v>1.4257608868461793</v>
      </c>
      <c r="S60" s="790">
        <f>+'Phase I Pro Forma'!S59</f>
        <v>1.4685337134515648</v>
      </c>
      <c r="T60" s="790">
        <f>+'Phase I Pro Forma'!T59</f>
        <v>1.5125897248551119</v>
      </c>
      <c r="U60" s="790">
        <f>+'Phase I Pro Forma'!U59</f>
        <v>1.5579674166007653</v>
      </c>
      <c r="V60" s="790">
        <f>+'Phase I Pro Forma'!V59</f>
        <v>1.6047064390987884</v>
      </c>
      <c r="W60" s="790">
        <f>+'Phase I Pro Forma'!W59</f>
        <v>1.652847632271752</v>
      </c>
      <c r="X60" s="790">
        <f>+'Phase I Pro Forma'!X59</f>
        <v>1.7024330612399046</v>
      </c>
      <c r="Y60" s="790">
        <f>+'Phase I Pro Forma'!Y59</f>
        <v>1.7535060530771018</v>
      </c>
      <c r="Z60" s="790">
        <f>+'Phase I Pro Forma'!Z59</f>
        <v>1.806111234669415</v>
      </c>
    </row>
    <row r="61" spans="1:26" ht="5" customHeight="1" x14ac:dyDescent="0.2">
      <c r="B61" s="32"/>
      <c r="C61" s="32"/>
      <c r="D61" s="39"/>
      <c r="E61" s="39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">
      <c r="B62" s="32" t="s">
        <v>243</v>
      </c>
      <c r="C62" s="32"/>
      <c r="D62" s="39"/>
      <c r="E62" s="39"/>
      <c r="F62" s="48">
        <f>+'Phase I Pro Forma'!F61/1000000</f>
        <v>0</v>
      </c>
      <c r="G62" s="48">
        <f>+'Phase I Pro Forma'!G61/1000000</f>
        <v>0</v>
      </c>
      <c r="H62" s="48">
        <f>+'Phase I Pro Forma'!H61/1000000</f>
        <v>0</v>
      </c>
      <c r="I62" s="48">
        <f>+'Phase I Pro Forma'!I61/1000000</f>
        <v>2.5780500000000002</v>
      </c>
      <c r="J62" s="48">
        <f>+'Phase I Pro Forma'!J61/1000000</f>
        <v>5.1561000000000003</v>
      </c>
      <c r="K62" s="48">
        <f>+'Phase I Pro Forma'!K61/1000000</f>
        <v>5.1561000000000003</v>
      </c>
      <c r="L62" s="48">
        <f>+'Phase I Pro Forma'!L61/1000000</f>
        <v>5.67171</v>
      </c>
      <c r="M62" s="48">
        <f>+'Phase I Pro Forma'!M61/1000000</f>
        <v>5.67171</v>
      </c>
      <c r="N62" s="48">
        <f>+'Phase I Pro Forma'!N61/1000000</f>
        <v>5.67171</v>
      </c>
      <c r="O62" s="48">
        <f>+'Phase I Pro Forma'!O61/1000000</f>
        <v>5.67171</v>
      </c>
      <c r="P62" s="48">
        <f>+'Phase I Pro Forma'!P61/1000000</f>
        <v>5.67171</v>
      </c>
      <c r="Q62" s="48">
        <f>+'Phase I Pro Forma'!Q61/1000000</f>
        <v>6.238881000000001</v>
      </c>
      <c r="R62" s="48">
        <f>+'Phase I Pro Forma'!R61/1000000</f>
        <v>6.238881000000001</v>
      </c>
      <c r="S62" s="48">
        <f>+'Phase I Pro Forma'!S61/1000000</f>
        <v>6.238881000000001</v>
      </c>
      <c r="T62" s="48">
        <f>+'Phase I Pro Forma'!T61/1000000</f>
        <v>6.238881000000001</v>
      </c>
      <c r="U62" s="48">
        <f>+'Phase I Pro Forma'!U61/1000000</f>
        <v>6.238881000000001</v>
      </c>
      <c r="V62" s="48">
        <f>+'Phase I Pro Forma'!V61/1000000</f>
        <v>6.8627691000000022</v>
      </c>
      <c r="W62" s="48">
        <f>+'Phase I Pro Forma'!W61/1000000</f>
        <v>6.8627691000000022</v>
      </c>
      <c r="X62" s="48">
        <f>+'Phase I Pro Forma'!X61/1000000</f>
        <v>6.8627691000000022</v>
      </c>
      <c r="Y62" s="48">
        <f>+'Phase I Pro Forma'!Y61/1000000</f>
        <v>6.8627691000000022</v>
      </c>
      <c r="Z62" s="48">
        <f>+'Phase I Pro Forma'!Z61/1000000</f>
        <v>6.8627691000000022</v>
      </c>
    </row>
    <row r="63" spans="1:26" x14ac:dyDescent="0.2">
      <c r="B63" s="32" t="s">
        <v>244</v>
      </c>
      <c r="C63" s="32"/>
      <c r="D63" s="39"/>
      <c r="E63" s="39"/>
      <c r="F63" s="771">
        <f>+'Phase I Pro Forma'!F62/1000000</f>
        <v>0</v>
      </c>
      <c r="G63" s="771">
        <f>+'Phase I Pro Forma'!G62/1000000</f>
        <v>0</v>
      </c>
      <c r="H63" s="771">
        <f>+'Phase I Pro Forma'!H62/1000000</f>
        <v>0</v>
      </c>
      <c r="I63" s="771">
        <f>+'Phase I Pro Forma'!I62/1000000</f>
        <v>-0.25780500000000001</v>
      </c>
      <c r="J63" s="771">
        <f>+'Phase I Pro Forma'!J62/1000000</f>
        <v>-0.51561000000000001</v>
      </c>
      <c r="K63" s="771">
        <f>+'Phase I Pro Forma'!K62/1000000</f>
        <v>-0.51561000000000001</v>
      </c>
      <c r="L63" s="771">
        <f>+'Phase I Pro Forma'!L62/1000000</f>
        <v>-0.56717099999999998</v>
      </c>
      <c r="M63" s="771">
        <f>+'Phase I Pro Forma'!M62/1000000</f>
        <v>-0.56717099999999998</v>
      </c>
      <c r="N63" s="771">
        <f>+'Phase I Pro Forma'!N62/1000000</f>
        <v>-0.56717099999999998</v>
      </c>
      <c r="O63" s="771">
        <f>+'Phase I Pro Forma'!O62/1000000</f>
        <v>-0.56717099999999998</v>
      </c>
      <c r="P63" s="771">
        <f>+'Phase I Pro Forma'!P62/1000000</f>
        <v>-0.56717099999999998</v>
      </c>
      <c r="Q63" s="771">
        <f>+'Phase I Pro Forma'!Q62/1000000</f>
        <v>-0.62388810000000006</v>
      </c>
      <c r="R63" s="771">
        <f>+'Phase I Pro Forma'!R62/1000000</f>
        <v>-0.62388810000000006</v>
      </c>
      <c r="S63" s="771">
        <f>+'Phase I Pro Forma'!S62/1000000</f>
        <v>-0.62388810000000006</v>
      </c>
      <c r="T63" s="771">
        <f>+'Phase I Pro Forma'!T62/1000000</f>
        <v>-0.62388810000000006</v>
      </c>
      <c r="U63" s="771">
        <f>+'Phase I Pro Forma'!U62/1000000</f>
        <v>-0.62388810000000006</v>
      </c>
      <c r="V63" s="771">
        <f>+'Phase I Pro Forma'!V62/1000000</f>
        <v>-0.68627691000000024</v>
      </c>
      <c r="W63" s="771">
        <f>+'Phase I Pro Forma'!W62/1000000</f>
        <v>-0.68627691000000024</v>
      </c>
      <c r="X63" s="771">
        <f>+'Phase I Pro Forma'!X62/1000000</f>
        <v>-0.68627691000000024</v>
      </c>
      <c r="Y63" s="771">
        <f>+'Phase I Pro Forma'!Y62/1000000</f>
        <v>-0.68627691000000024</v>
      </c>
      <c r="Z63" s="771">
        <f>+'Phase I Pro Forma'!Z62/1000000</f>
        <v>-0.68627691000000024</v>
      </c>
    </row>
    <row r="64" spans="1:26" x14ac:dyDescent="0.2">
      <c r="B64" s="32" t="s">
        <v>259</v>
      </c>
      <c r="C64" s="32"/>
      <c r="D64" s="39"/>
      <c r="E64" s="39"/>
      <c r="F64" s="772">
        <f ca="1">+'Phase I Pro Forma'!F63/1000000</f>
        <v>0</v>
      </c>
      <c r="G64" s="772">
        <f ca="1">+'Phase I Pro Forma'!G63/1000000</f>
        <v>0</v>
      </c>
      <c r="H64" s="772">
        <f ca="1">+'Phase I Pro Forma'!H63/1000000</f>
        <v>0</v>
      </c>
      <c r="I64" s="772">
        <f ca="1">+'Phase I Pro Forma'!I63/1000000</f>
        <v>1.2246648086231422</v>
      </c>
      <c r="J64" s="772">
        <f ca="1">+'Phase I Pro Forma'!J63/1000000</f>
        <v>2.5114236885016106</v>
      </c>
      <c r="K64" s="772">
        <f ca="1">+'Phase I Pro Forma'!K63/1000000</f>
        <v>2.5519257983347461</v>
      </c>
      <c r="L64" s="772">
        <f ca="1">+'Phase I Pro Forma'!L63/1000000</f>
        <v>2.5936429714628764</v>
      </c>
      <c r="M64" s="772">
        <f ca="1">+'Phase I Pro Forma'!M63/1000000</f>
        <v>2.659838726999459</v>
      </c>
      <c r="N64" s="772">
        <f ca="1">+'Phase I Pro Forma'!N63/1000000</f>
        <v>2.7040964759710922</v>
      </c>
      <c r="O64" s="772">
        <f ca="1">+'Phase I Pro Forma'!O63/1000000</f>
        <v>2.749681957411874</v>
      </c>
      <c r="P64" s="772">
        <f ca="1">+'Phase I Pro Forma'!P63/1000000</f>
        <v>2.8203266118547803</v>
      </c>
      <c r="Q64" s="772">
        <f ca="1">+'Phase I Pro Forma'!Q63/1000000</f>
        <v>2.8686882491153063</v>
      </c>
      <c r="R64" s="772">
        <f ca="1">+'Phase I Pro Forma'!R63/1000000</f>
        <v>2.9185007354936472</v>
      </c>
      <c r="S64" s="772">
        <f ca="1">+'Phase I Pro Forma'!S63/1000000</f>
        <v>2.9939730371934186</v>
      </c>
      <c r="T64" s="772">
        <f ca="1">+'Phase I Pro Forma'!T63/1000000</f>
        <v>3.0468191039922008</v>
      </c>
      <c r="U64" s="772">
        <f ca="1">+'Phase I Pro Forma'!U63/1000000</f>
        <v>3.1012505527949479</v>
      </c>
      <c r="V64" s="772">
        <f ca="1">+'Phase I Pro Forma'!V63/1000000</f>
        <v>3.181963694606456</v>
      </c>
      <c r="W64" s="772">
        <f ca="1">+'Phase I Pro Forma'!W63/1000000</f>
        <v>3.2397100186412895</v>
      </c>
      <c r="X64" s="772">
        <f ca="1">+'Phase I Pro Forma'!X63/1000000</f>
        <v>3.2991887323971674</v>
      </c>
      <c r="Y64" s="772">
        <f ca="1">+'Phase I Pro Forma'!Y63/1000000</f>
        <v>3.385593532101296</v>
      </c>
      <c r="Z64" s="772">
        <f ca="1">+'Phase I Pro Forma'!Z63/1000000</f>
        <v>3.4486944995249074</v>
      </c>
    </row>
    <row r="65" spans="2:26" x14ac:dyDescent="0.2">
      <c r="B65" s="136" t="s">
        <v>253</v>
      </c>
      <c r="C65" s="136"/>
      <c r="D65" s="136"/>
      <c r="E65" s="136"/>
      <c r="F65" s="773">
        <f t="shared" ref="F65:Z65" ca="1" si="18">+SUM(F62:F64)</f>
        <v>0</v>
      </c>
      <c r="G65" s="773">
        <f t="shared" ca="1" si="18"/>
        <v>0</v>
      </c>
      <c r="H65" s="773">
        <f t="shared" ca="1" si="18"/>
        <v>0</v>
      </c>
      <c r="I65" s="773">
        <f t="shared" ca="1" si="18"/>
        <v>3.5449098086231423</v>
      </c>
      <c r="J65" s="773">
        <f t="shared" ca="1" si="18"/>
        <v>7.1519136885016117</v>
      </c>
      <c r="K65" s="773">
        <f t="shared" ca="1" si="18"/>
        <v>7.1924157983347463</v>
      </c>
      <c r="L65" s="773">
        <f t="shared" ca="1" si="18"/>
        <v>7.6981819714628763</v>
      </c>
      <c r="M65" s="773">
        <f t="shared" ca="1" si="18"/>
        <v>7.7643777269994594</v>
      </c>
      <c r="N65" s="773">
        <f t="shared" ca="1" si="18"/>
        <v>7.8086354759710925</v>
      </c>
      <c r="O65" s="773">
        <f t="shared" ca="1" si="18"/>
        <v>7.854220957411874</v>
      </c>
      <c r="P65" s="773">
        <f t="shared" ca="1" si="18"/>
        <v>7.9248656118547807</v>
      </c>
      <c r="Q65" s="773">
        <f t="shared" ca="1" si="18"/>
        <v>8.4836811491153075</v>
      </c>
      <c r="R65" s="773">
        <f t="shared" ca="1" si="18"/>
        <v>8.5334936354936488</v>
      </c>
      <c r="S65" s="773">
        <f t="shared" ca="1" si="18"/>
        <v>8.6089659371934193</v>
      </c>
      <c r="T65" s="773">
        <f t="shared" ca="1" si="18"/>
        <v>8.6618120039922015</v>
      </c>
      <c r="U65" s="773">
        <f t="shared" ca="1" si="18"/>
        <v>8.7162434527949486</v>
      </c>
      <c r="V65" s="773">
        <f t="shared" ca="1" si="18"/>
        <v>9.3584558846064585</v>
      </c>
      <c r="W65" s="773">
        <f t="shared" ca="1" si="18"/>
        <v>9.4162022086412911</v>
      </c>
      <c r="X65" s="773">
        <f t="shared" ca="1" si="18"/>
        <v>9.475680922397169</v>
      </c>
      <c r="Y65" s="773">
        <f t="shared" ca="1" si="18"/>
        <v>9.5620857221012976</v>
      </c>
      <c r="Z65" s="773">
        <f t="shared" ca="1" si="18"/>
        <v>9.6251866895249094</v>
      </c>
    </row>
    <row r="66" spans="2:26" ht="5" customHeight="1" x14ac:dyDescent="0.2"/>
    <row r="67" spans="2:26" x14ac:dyDescent="0.2">
      <c r="B67" s="32" t="s">
        <v>389</v>
      </c>
      <c r="F67" s="48">
        <f>+'Phase I Pro Forma'!F66/1000000</f>
        <v>0</v>
      </c>
      <c r="G67" s="48">
        <f>+'Phase I Pro Forma'!G66/1000000</f>
        <v>0</v>
      </c>
      <c r="H67" s="48">
        <f>+'Phase I Pro Forma'!H66/1000000</f>
        <v>0</v>
      </c>
      <c r="I67" s="48">
        <f>+'Phase I Pro Forma'!I66/1000000</f>
        <v>0.81921743189999996</v>
      </c>
      <c r="J67" s="48">
        <f>+'Phase I Pro Forma'!J66/1000000</f>
        <v>1.6875879097140003</v>
      </c>
      <c r="K67" s="48">
        <f>+'Phase I Pro Forma'!K66/1000000</f>
        <v>1.7382155470054201</v>
      </c>
      <c r="L67" s="48">
        <f>+'Phase I Pro Forma'!L66/1000000</f>
        <v>1.7903620134155827</v>
      </c>
      <c r="M67" s="48">
        <f>+'Phase I Pro Forma'!M66/1000000</f>
        <v>1.8440728738180503</v>
      </c>
      <c r="N67" s="48">
        <f>+'Phase I Pro Forma'!N66/1000000</f>
        <v>1.899395060032592</v>
      </c>
      <c r="O67" s="48">
        <f>+'Phase I Pro Forma'!O66/1000000</f>
        <v>1.9563769118335699</v>
      </c>
      <c r="P67" s="48">
        <f>+'Phase I Pro Forma'!P66/1000000</f>
        <v>2.0150682191885769</v>
      </c>
      <c r="Q67" s="48">
        <f>+'Phase I Pro Forma'!Q66/1000000</f>
        <v>2.0755202657642342</v>
      </c>
      <c r="R67" s="48">
        <f>+'Phase I Pro Forma'!R66/1000000</f>
        <v>2.1377858737371609</v>
      </c>
      <c r="S67" s="48">
        <f>+'Phase I Pro Forma'!S66/1000000</f>
        <v>2.2019194499492762</v>
      </c>
      <c r="T67" s="48">
        <f>+'Phase I Pro Forma'!T66/1000000</f>
        <v>2.2679770334477545</v>
      </c>
      <c r="U67" s="48">
        <f>+'Phase I Pro Forma'!U66/1000000</f>
        <v>2.3360163444511874</v>
      </c>
      <c r="V67" s="48">
        <f>+'Phase I Pro Forma'!V66/1000000</f>
        <v>2.4060968347847234</v>
      </c>
      <c r="W67" s="48">
        <f>+'Phase I Pro Forma'!W66/1000000</f>
        <v>2.478279739828265</v>
      </c>
      <c r="X67" s="48">
        <f>+'Phase I Pro Forma'!X66/1000000</f>
        <v>2.5526281320231128</v>
      </c>
      <c r="Y67" s="48">
        <f>+'Phase I Pro Forma'!Y66/1000000</f>
        <v>2.6292069759838066</v>
      </c>
      <c r="Z67" s="48">
        <f>+'Phase I Pro Forma'!Z66/1000000</f>
        <v>2.7080831852633209</v>
      </c>
    </row>
    <row r="68" spans="2:26" x14ac:dyDescent="0.2">
      <c r="B68" s="32" t="s">
        <v>325</v>
      </c>
      <c r="F68" s="772">
        <f ca="1">+'Phase I Pro Forma'!F67/1000000</f>
        <v>0</v>
      </c>
      <c r="G68" s="772">
        <f ca="1">+'Phase I Pro Forma'!G67/1000000</f>
        <v>0</v>
      </c>
      <c r="H68" s="772">
        <f ca="1">+'Phase I Pro Forma'!H67/1000000</f>
        <v>0</v>
      </c>
      <c r="I68" s="772">
        <f ca="1">+'Phase I Pro Forma'!I67/1000000</f>
        <v>0.71161357887892762</v>
      </c>
      <c r="J68" s="772">
        <f ca="1">+'Phase I Pro Forma'!J67/1000000</f>
        <v>1.4516917009130126</v>
      </c>
      <c r="K68" s="772">
        <f ca="1">+'Phase I Pro Forma'!K67/1000000</f>
        <v>1.4516917009130126</v>
      </c>
      <c r="L68" s="772">
        <f ca="1">+'Phase I Pro Forma'!L67/1000000</f>
        <v>1.4516917009130126</v>
      </c>
      <c r="M68" s="772">
        <f ca="1">+'Phase I Pro Forma'!M67/1000000</f>
        <v>1.4807255349312729</v>
      </c>
      <c r="N68" s="772">
        <f ca="1">+'Phase I Pro Forma'!N67/1000000</f>
        <v>1.4807255349312729</v>
      </c>
      <c r="O68" s="772">
        <f ca="1">+'Phase I Pro Forma'!O67/1000000</f>
        <v>1.4807255349312729</v>
      </c>
      <c r="P68" s="772">
        <f ca="1">+'Phase I Pro Forma'!P67/1000000</f>
        <v>1.5103400456298983</v>
      </c>
      <c r="Q68" s="772">
        <f ca="1">+'Phase I Pro Forma'!Q67/1000000</f>
        <v>1.5103400456298983</v>
      </c>
      <c r="R68" s="772">
        <f ca="1">+'Phase I Pro Forma'!R67/1000000</f>
        <v>1.5103400456298983</v>
      </c>
      <c r="S68" s="772">
        <f ca="1">+'Phase I Pro Forma'!S67/1000000</f>
        <v>1.5405468465424965</v>
      </c>
      <c r="T68" s="772">
        <f ca="1">+'Phase I Pro Forma'!T67/1000000</f>
        <v>1.5405468465424965</v>
      </c>
      <c r="U68" s="772">
        <f ca="1">+'Phase I Pro Forma'!U67/1000000</f>
        <v>1.5405468465424965</v>
      </c>
      <c r="V68" s="772">
        <f ca="1">+'Phase I Pro Forma'!V67/1000000</f>
        <v>1.5713577834733463</v>
      </c>
      <c r="W68" s="772">
        <f ca="1">+'Phase I Pro Forma'!W67/1000000</f>
        <v>1.5713577834733463</v>
      </c>
      <c r="X68" s="772">
        <f ca="1">+'Phase I Pro Forma'!X67/1000000</f>
        <v>1.5713577834733463</v>
      </c>
      <c r="Y68" s="772">
        <f ca="1">+'Phase I Pro Forma'!Y67/1000000</f>
        <v>1.6027849391428131</v>
      </c>
      <c r="Z68" s="772">
        <f ca="1">+'Phase I Pro Forma'!Z67/1000000</f>
        <v>1.6027849391428131</v>
      </c>
    </row>
    <row r="69" spans="2:26" x14ac:dyDescent="0.2">
      <c r="B69" s="136" t="s">
        <v>249</v>
      </c>
      <c r="C69" s="136"/>
      <c r="D69" s="136"/>
      <c r="E69" s="136"/>
      <c r="F69" s="773">
        <f ca="1">+SUM(F67:F68)</f>
        <v>0</v>
      </c>
      <c r="G69" s="773">
        <f t="shared" ref="G69" ca="1" si="19">+SUM(G67:G68)</f>
        <v>0</v>
      </c>
      <c r="H69" s="773">
        <f t="shared" ref="H69:Z69" ca="1" si="20">+SUM(H67:H68)</f>
        <v>0</v>
      </c>
      <c r="I69" s="773">
        <f t="shared" ca="1" si="20"/>
        <v>1.5308310107789276</v>
      </c>
      <c r="J69" s="773">
        <f t="shared" ca="1" si="20"/>
        <v>3.1392796106270131</v>
      </c>
      <c r="K69" s="773">
        <f t="shared" ca="1" si="20"/>
        <v>3.1899072479184327</v>
      </c>
      <c r="L69" s="773">
        <f t="shared" ca="1" si="20"/>
        <v>3.2420537143285952</v>
      </c>
      <c r="M69" s="773">
        <f t="shared" ca="1" si="20"/>
        <v>3.3247984087493232</v>
      </c>
      <c r="N69" s="773">
        <f t="shared" ca="1" si="20"/>
        <v>3.3801205949638646</v>
      </c>
      <c r="O69" s="773">
        <f t="shared" ca="1" si="20"/>
        <v>3.4371024467648428</v>
      </c>
      <c r="P69" s="773">
        <f t="shared" ca="1" si="20"/>
        <v>3.5254082648184752</v>
      </c>
      <c r="Q69" s="773">
        <f t="shared" ca="1" si="20"/>
        <v>3.5858603113941325</v>
      </c>
      <c r="R69" s="773">
        <f t="shared" ca="1" si="20"/>
        <v>3.6481259193670592</v>
      </c>
      <c r="S69" s="773">
        <f t="shared" ca="1" si="20"/>
        <v>3.7424662964917728</v>
      </c>
      <c r="T69" s="773">
        <f t="shared" ca="1" si="20"/>
        <v>3.808523879990251</v>
      </c>
      <c r="U69" s="773">
        <f t="shared" ca="1" si="20"/>
        <v>3.876563190993684</v>
      </c>
      <c r="V69" s="773">
        <f t="shared" ca="1" si="20"/>
        <v>3.9774546182580695</v>
      </c>
      <c r="W69" s="773">
        <f t="shared" ca="1" si="20"/>
        <v>4.0496375233016115</v>
      </c>
      <c r="X69" s="773">
        <f t="shared" ca="1" si="20"/>
        <v>4.1239859154964593</v>
      </c>
      <c r="Y69" s="773">
        <f t="shared" ca="1" si="20"/>
        <v>4.2319919151266197</v>
      </c>
      <c r="Z69" s="773">
        <f t="shared" ca="1" si="20"/>
        <v>4.3108681244061344</v>
      </c>
    </row>
    <row r="70" spans="2:26" ht="5" customHeight="1" x14ac:dyDescent="0.2">
      <c r="B70" s="32"/>
    </row>
    <row r="71" spans="2:26" x14ac:dyDescent="0.2">
      <c r="B71" s="777" t="s">
        <v>248</v>
      </c>
      <c r="C71" s="777"/>
      <c r="D71" s="777"/>
      <c r="E71" s="777"/>
      <c r="F71" s="778">
        <f ca="1">+F65-F69</f>
        <v>0</v>
      </c>
      <c r="G71" s="778">
        <f t="shared" ref="G71:Z71" ca="1" si="21">+G65-G69</f>
        <v>0</v>
      </c>
      <c r="H71" s="778">
        <f t="shared" ca="1" si="21"/>
        <v>0</v>
      </c>
      <c r="I71" s="778">
        <f t="shared" ca="1" si="21"/>
        <v>2.0140787978442147</v>
      </c>
      <c r="J71" s="778">
        <f t="shared" ca="1" si="21"/>
        <v>4.0126340778745986</v>
      </c>
      <c r="K71" s="778">
        <f t="shared" ca="1" si="21"/>
        <v>4.002508550416314</v>
      </c>
      <c r="L71" s="778">
        <f t="shared" ca="1" si="21"/>
        <v>4.4561282571342815</v>
      </c>
      <c r="M71" s="778">
        <f t="shared" ca="1" si="21"/>
        <v>4.4395793182501357</v>
      </c>
      <c r="N71" s="778">
        <f t="shared" ca="1" si="21"/>
        <v>4.4285148810072279</v>
      </c>
      <c r="O71" s="778">
        <f t="shared" ca="1" si="21"/>
        <v>4.4171185106470308</v>
      </c>
      <c r="P71" s="778">
        <f t="shared" ca="1" si="21"/>
        <v>4.3994573470363054</v>
      </c>
      <c r="Q71" s="778">
        <f t="shared" ca="1" si="21"/>
        <v>4.8978208377211754</v>
      </c>
      <c r="R71" s="778">
        <f t="shared" ca="1" si="21"/>
        <v>4.8853677161265896</v>
      </c>
      <c r="S71" s="778">
        <f t="shared" ca="1" si="21"/>
        <v>4.8664996407016465</v>
      </c>
      <c r="T71" s="778">
        <f t="shared" ca="1" si="21"/>
        <v>4.853288124001951</v>
      </c>
      <c r="U71" s="778">
        <f t="shared" ca="1" si="21"/>
        <v>4.8396802618012646</v>
      </c>
      <c r="V71" s="778">
        <f t="shared" ca="1" si="21"/>
        <v>5.381001266348389</v>
      </c>
      <c r="W71" s="778">
        <f t="shared" ca="1" si="21"/>
        <v>5.3665646853396796</v>
      </c>
      <c r="X71" s="778">
        <f t="shared" ca="1" si="21"/>
        <v>5.3516950069007097</v>
      </c>
      <c r="Y71" s="778">
        <f t="shared" ca="1" si="21"/>
        <v>5.3300938069746779</v>
      </c>
      <c r="Z71" s="778">
        <f t="shared" ca="1" si="21"/>
        <v>5.314318565118775</v>
      </c>
    </row>
    <row r="72" spans="2:26" x14ac:dyDescent="0.2">
      <c r="B72" s="779" t="s">
        <v>254</v>
      </c>
      <c r="C72" s="780"/>
      <c r="D72" s="780"/>
      <c r="E72" s="780"/>
      <c r="F72" s="781" t="str">
        <f ca="1">+IFERROR(F71/F65,"")</f>
        <v/>
      </c>
      <c r="G72" s="781" t="str">
        <f t="shared" ref="G72:Z72" ca="1" si="22">+IFERROR(G71/G65,"")</f>
        <v/>
      </c>
      <c r="H72" s="781" t="str">
        <f t="shared" ca="1" si="22"/>
        <v/>
      </c>
      <c r="I72" s="782">
        <f t="shared" ca="1" si="22"/>
        <v>0.56816080142430803</v>
      </c>
      <c r="J72" s="782">
        <f t="shared" ca="1" si="22"/>
        <v>0.56105739703288848</v>
      </c>
      <c r="K72" s="782">
        <f t="shared" ca="1" si="22"/>
        <v>0.55649015054761031</v>
      </c>
      <c r="L72" s="782">
        <f t="shared" ca="1" si="22"/>
        <v>0.57885462745010807</v>
      </c>
      <c r="M72" s="782">
        <f t="shared" ca="1" si="22"/>
        <v>0.5717881682664876</v>
      </c>
      <c r="N72" s="782">
        <f t="shared" ca="1" si="22"/>
        <v>0.56713044098866605</v>
      </c>
      <c r="O72" s="782">
        <f t="shared" ca="1" si="22"/>
        <v>0.56238785929222967</v>
      </c>
      <c r="P72" s="782">
        <f t="shared" ca="1" si="22"/>
        <v>0.55514598764364809</v>
      </c>
      <c r="Q72" s="782">
        <f t="shared" ca="1" si="22"/>
        <v>0.57732259754150805</v>
      </c>
      <c r="R72" s="782">
        <f t="shared" ca="1" si="22"/>
        <v>0.57249327471303368</v>
      </c>
      <c r="S72" s="782">
        <f t="shared" ca="1" si="22"/>
        <v>0.56528271527673835</v>
      </c>
      <c r="T72" s="782">
        <f t="shared" ca="1" si="22"/>
        <v>0.56030864232161659</v>
      </c>
      <c r="U72" s="782">
        <f t="shared" ca="1" si="22"/>
        <v>0.55524840351371485</v>
      </c>
      <c r="V72" s="782">
        <f t="shared" ca="1" si="22"/>
        <v>0.57498815324860297</v>
      </c>
      <c r="W72" s="782">
        <f t="shared" ca="1" si="22"/>
        <v>0.56992878513322054</v>
      </c>
      <c r="X72" s="782">
        <f t="shared" ca="1" si="22"/>
        <v>0.56478210386455596</v>
      </c>
      <c r="Y72" s="782">
        <f t="shared" ca="1" si="22"/>
        <v>0.557419579982951</v>
      </c>
      <c r="Z72" s="782">
        <f t="shared" ca="1" si="22"/>
        <v>0.55212628456363844</v>
      </c>
    </row>
    <row r="73" spans="2:26" x14ac:dyDescent="0.2">
      <c r="B73" s="779" t="s">
        <v>188</v>
      </c>
      <c r="C73" s="780"/>
      <c r="D73" s="780"/>
      <c r="E73" s="780"/>
      <c r="F73" s="783">
        <f ca="1">+'Phase I Pro Forma'!F72/1000000</f>
        <v>0</v>
      </c>
      <c r="G73" s="783">
        <f ca="1">+'Phase I Pro Forma'!G72/1000000</f>
        <v>0</v>
      </c>
      <c r="H73" s="783">
        <f ca="1">+'Phase I Pro Forma'!H72/1000000</f>
        <v>0</v>
      </c>
      <c r="I73" s="783">
        <f ca="1">+'Phase I Pro Forma'!I72/1000000</f>
        <v>30.985827659141766</v>
      </c>
      <c r="J73" s="783">
        <f ca="1">+'Phase I Pro Forma'!J72/1000000</f>
        <v>61.7328319673015</v>
      </c>
      <c r="K73" s="783">
        <f ca="1">+'Phase I Pro Forma'!K72/1000000</f>
        <v>61.577054621789436</v>
      </c>
      <c r="L73" s="783">
        <f ca="1">+'Phase I Pro Forma'!L72/1000000</f>
        <v>68.555819340527407</v>
      </c>
      <c r="M73" s="783">
        <f ca="1">+'Phase I Pro Forma'!M72/1000000</f>
        <v>68.301220280771318</v>
      </c>
      <c r="N73" s="783">
        <f ca="1">+'Phase I Pro Forma'!N72/1000000</f>
        <v>68.130998169341936</v>
      </c>
      <c r="O73" s="783">
        <f ca="1">+'Phase I Pro Forma'!O72/1000000</f>
        <v>67.955669394569711</v>
      </c>
      <c r="P73" s="783">
        <f ca="1">+'Phase I Pro Forma'!P72/1000000</f>
        <v>67.683959185173933</v>
      </c>
      <c r="Q73" s="783">
        <f ca="1">+'Phase I Pro Forma'!Q72/1000000</f>
        <v>75.35108981109498</v>
      </c>
      <c r="R73" s="783">
        <f ca="1">+'Phase I Pro Forma'!R72/1000000</f>
        <v>75.159503325024431</v>
      </c>
      <c r="S73" s="783">
        <f ca="1">+'Phase I Pro Forma'!S72/1000000</f>
        <v>74.869225241563797</v>
      </c>
      <c r="T73" s="783">
        <f ca="1">+'Phase I Pro Forma'!T72/1000000</f>
        <v>74.665971138491557</v>
      </c>
      <c r="U73" s="783">
        <f ca="1">+'Phase I Pro Forma'!U72/1000000</f>
        <v>74.456619412327143</v>
      </c>
      <c r="V73" s="783">
        <f ca="1">+'Phase I Pro Forma'!V72/1000000</f>
        <v>82.784634866898273</v>
      </c>
      <c r="W73" s="783">
        <f ca="1">+'Phase I Pro Forma'!W72/1000000</f>
        <v>82.562533620610466</v>
      </c>
      <c r="X73" s="783">
        <f ca="1">+'Phase I Pro Forma'!X72/1000000</f>
        <v>82.333769336934012</v>
      </c>
      <c r="Y73" s="783">
        <f ca="1">+'Phase I Pro Forma'!Y72/1000000</f>
        <v>82.001443184225792</v>
      </c>
      <c r="Z73" s="783">
        <f ca="1">+'Phase I Pro Forma'!Z72/1000000</f>
        <v>81.758747155673476</v>
      </c>
    </row>
    <row r="74" spans="2:26" ht="5" customHeight="1" x14ac:dyDescent="0.2"/>
    <row r="75" spans="2:26" x14ac:dyDescent="0.2">
      <c r="B75" s="147" t="s">
        <v>145</v>
      </c>
      <c r="C75" s="148"/>
      <c r="D75" s="148"/>
      <c r="E75" s="148"/>
      <c r="F75" s="776">
        <f>+F6</f>
        <v>44196</v>
      </c>
      <c r="G75" s="776">
        <f t="shared" ref="G75:Z75" si="23">+G6</f>
        <v>44561</v>
      </c>
      <c r="H75" s="776">
        <f t="shared" si="23"/>
        <v>44926</v>
      </c>
      <c r="I75" s="776">
        <f t="shared" si="23"/>
        <v>45291</v>
      </c>
      <c r="J75" s="776">
        <f t="shared" si="23"/>
        <v>45657</v>
      </c>
      <c r="K75" s="776">
        <f t="shared" si="23"/>
        <v>46022</v>
      </c>
      <c r="L75" s="776">
        <f t="shared" si="23"/>
        <v>46387</v>
      </c>
      <c r="M75" s="776">
        <f t="shared" si="23"/>
        <v>46752</v>
      </c>
      <c r="N75" s="776">
        <f t="shared" si="23"/>
        <v>47118</v>
      </c>
      <c r="O75" s="776">
        <f t="shared" si="23"/>
        <v>47483</v>
      </c>
      <c r="P75" s="776">
        <f t="shared" si="23"/>
        <v>47848</v>
      </c>
      <c r="Q75" s="776">
        <f t="shared" si="23"/>
        <v>48213</v>
      </c>
      <c r="R75" s="776">
        <f t="shared" si="23"/>
        <v>48579</v>
      </c>
      <c r="S75" s="776">
        <f t="shared" si="23"/>
        <v>48944</v>
      </c>
      <c r="T75" s="776">
        <f t="shared" si="23"/>
        <v>49309</v>
      </c>
      <c r="U75" s="776">
        <f t="shared" si="23"/>
        <v>49674</v>
      </c>
      <c r="V75" s="776">
        <f t="shared" si="23"/>
        <v>50040</v>
      </c>
      <c r="W75" s="776">
        <f t="shared" si="23"/>
        <v>50405</v>
      </c>
      <c r="X75" s="776">
        <f t="shared" si="23"/>
        <v>50770</v>
      </c>
      <c r="Y75" s="776">
        <f t="shared" si="23"/>
        <v>51135</v>
      </c>
      <c r="Z75" s="776">
        <f t="shared" si="23"/>
        <v>51501</v>
      </c>
    </row>
    <row r="76" spans="2:26" hidden="1" x14ac:dyDescent="0.2">
      <c r="B76" s="788" t="s">
        <v>756</v>
      </c>
      <c r="C76" s="788"/>
      <c r="D76" s="791"/>
      <c r="E76" s="791"/>
      <c r="F76" s="789">
        <f>+'Phase I Pro Forma'!F75</f>
        <v>0</v>
      </c>
      <c r="G76" s="789">
        <f>+'Phase I Pro Forma'!G75</f>
        <v>0</v>
      </c>
      <c r="H76" s="789">
        <f>+'Phase I Pro Forma'!H75</f>
        <v>0</v>
      </c>
      <c r="I76" s="789">
        <f>+'Phase I Pro Forma'!I75</f>
        <v>39562.5</v>
      </c>
      <c r="J76" s="789">
        <f>+'Phase I Pro Forma'!J75</f>
        <v>39562.5</v>
      </c>
      <c r="K76" s="789">
        <f>+'Phase I Pro Forma'!K75</f>
        <v>0</v>
      </c>
      <c r="L76" s="789">
        <f>+'Phase I Pro Forma'!L75</f>
        <v>0</v>
      </c>
      <c r="M76" s="789">
        <f>+'Phase I Pro Forma'!M75</f>
        <v>0</v>
      </c>
      <c r="N76" s="789">
        <f>+'Phase I Pro Forma'!N75</f>
        <v>0</v>
      </c>
      <c r="O76" s="789">
        <f>+'Phase I Pro Forma'!O75</f>
        <v>0</v>
      </c>
      <c r="P76" s="789">
        <f>+'Phase I Pro Forma'!P75</f>
        <v>0</v>
      </c>
      <c r="Q76" s="789">
        <f>+'Phase I Pro Forma'!Q75</f>
        <v>0</v>
      </c>
      <c r="R76" s="789">
        <f>+'Phase I Pro Forma'!R75</f>
        <v>0</v>
      </c>
      <c r="S76" s="789">
        <f>+'Phase I Pro Forma'!S75</f>
        <v>0</v>
      </c>
      <c r="T76" s="789">
        <f>+'Phase I Pro Forma'!T75</f>
        <v>0</v>
      </c>
      <c r="U76" s="789">
        <f>+'Phase I Pro Forma'!U75</f>
        <v>0</v>
      </c>
      <c r="V76" s="789">
        <f>+'Phase I Pro Forma'!V75</f>
        <v>0</v>
      </c>
      <c r="W76" s="789">
        <f>+'Phase I Pro Forma'!W75</f>
        <v>0</v>
      </c>
      <c r="X76" s="789">
        <f>+'Phase I Pro Forma'!X75</f>
        <v>0</v>
      </c>
      <c r="Y76" s="789">
        <f>+'Phase I Pro Forma'!Y75</f>
        <v>0</v>
      </c>
      <c r="Z76" s="789">
        <f>+'Phase I Pro Forma'!Z75</f>
        <v>0</v>
      </c>
    </row>
    <row r="77" spans="2:26" x14ac:dyDescent="0.2">
      <c r="B77" s="32" t="s">
        <v>784</v>
      </c>
      <c r="C77" s="32"/>
      <c r="D77" s="41">
        <v>0</v>
      </c>
      <c r="E77" s="41"/>
      <c r="F77" s="41">
        <f>+D77+F76</f>
        <v>0</v>
      </c>
      <c r="G77" s="41">
        <f t="shared" ref="G77:Z77" si="24">+F77+G76</f>
        <v>0</v>
      </c>
      <c r="H77" s="41">
        <f t="shared" si="24"/>
        <v>0</v>
      </c>
      <c r="I77" s="41">
        <f t="shared" si="24"/>
        <v>39562.5</v>
      </c>
      <c r="J77" s="41">
        <f t="shared" si="24"/>
        <v>79125</v>
      </c>
      <c r="K77" s="41">
        <f t="shared" si="24"/>
        <v>79125</v>
      </c>
      <c r="L77" s="41">
        <f t="shared" si="24"/>
        <v>79125</v>
      </c>
      <c r="M77" s="41">
        <f t="shared" si="24"/>
        <v>79125</v>
      </c>
      <c r="N77" s="41">
        <f t="shared" si="24"/>
        <v>79125</v>
      </c>
      <c r="O77" s="41">
        <f t="shared" si="24"/>
        <v>79125</v>
      </c>
      <c r="P77" s="41">
        <f t="shared" si="24"/>
        <v>79125</v>
      </c>
      <c r="Q77" s="41">
        <f t="shared" si="24"/>
        <v>79125</v>
      </c>
      <c r="R77" s="41">
        <f t="shared" si="24"/>
        <v>79125</v>
      </c>
      <c r="S77" s="41">
        <f t="shared" si="24"/>
        <v>79125</v>
      </c>
      <c r="T77" s="41">
        <f t="shared" si="24"/>
        <v>79125</v>
      </c>
      <c r="U77" s="41">
        <f t="shared" si="24"/>
        <v>79125</v>
      </c>
      <c r="V77" s="41">
        <f t="shared" si="24"/>
        <v>79125</v>
      </c>
      <c r="W77" s="41">
        <f t="shared" si="24"/>
        <v>79125</v>
      </c>
      <c r="X77" s="41">
        <f t="shared" si="24"/>
        <v>79125</v>
      </c>
      <c r="Y77" s="41">
        <f t="shared" si="24"/>
        <v>79125</v>
      </c>
      <c r="Z77" s="41">
        <f t="shared" si="24"/>
        <v>79125</v>
      </c>
    </row>
    <row r="78" spans="2:26" hidden="1" x14ac:dyDescent="0.2">
      <c r="B78" s="788" t="s">
        <v>301</v>
      </c>
      <c r="C78" s="788"/>
      <c r="D78" s="789"/>
      <c r="E78" s="789"/>
      <c r="F78" s="790">
        <f>+'Phase I Pro Forma'!F77</f>
        <v>0</v>
      </c>
      <c r="G78" s="790">
        <f>+'Phase I Pro Forma'!G77</f>
        <v>0</v>
      </c>
      <c r="H78" s="790">
        <f>+'Phase I Pro Forma'!H77</f>
        <v>0</v>
      </c>
      <c r="I78" s="790">
        <f>+'Phase I Pro Forma'!I77</f>
        <v>0.5</v>
      </c>
      <c r="J78" s="790">
        <f>+'Phase I Pro Forma'!J77</f>
        <v>1</v>
      </c>
      <c r="K78" s="790">
        <f>+'Phase I Pro Forma'!K77</f>
        <v>1</v>
      </c>
      <c r="L78" s="790">
        <f>+'Phase I Pro Forma'!L77</f>
        <v>1</v>
      </c>
      <c r="M78" s="790">
        <f>+'Phase I Pro Forma'!M77</f>
        <v>1</v>
      </c>
      <c r="N78" s="790">
        <f>+'Phase I Pro Forma'!N77</f>
        <v>1</v>
      </c>
      <c r="O78" s="790">
        <f>+'Phase I Pro Forma'!O77</f>
        <v>1</v>
      </c>
      <c r="P78" s="790">
        <f>+'Phase I Pro Forma'!P77</f>
        <v>1</v>
      </c>
      <c r="Q78" s="790">
        <f>+'Phase I Pro Forma'!Q77</f>
        <v>1</v>
      </c>
      <c r="R78" s="790">
        <f>+'Phase I Pro Forma'!R77</f>
        <v>1</v>
      </c>
      <c r="S78" s="790">
        <f>+'Phase I Pro Forma'!S77</f>
        <v>1</v>
      </c>
      <c r="T78" s="790">
        <f>+'Phase I Pro Forma'!T77</f>
        <v>1</v>
      </c>
      <c r="U78" s="790">
        <f>+'Phase I Pro Forma'!U77</f>
        <v>1</v>
      </c>
      <c r="V78" s="790">
        <f>+'Phase I Pro Forma'!V77</f>
        <v>1</v>
      </c>
      <c r="W78" s="790">
        <f>+'Phase I Pro Forma'!W77</f>
        <v>1</v>
      </c>
      <c r="X78" s="790">
        <f>+'Phase I Pro Forma'!X77</f>
        <v>1</v>
      </c>
      <c r="Y78" s="790">
        <f>+'Phase I Pro Forma'!Y77</f>
        <v>1</v>
      </c>
      <c r="Z78" s="790">
        <f>+'Phase I Pro Forma'!Z77</f>
        <v>1</v>
      </c>
    </row>
    <row r="79" spans="2:26" hidden="1" x14ac:dyDescent="0.2">
      <c r="B79" s="788"/>
      <c r="C79" s="788"/>
      <c r="D79" s="791"/>
      <c r="E79" s="791"/>
      <c r="F79" s="792"/>
      <c r="G79" s="792"/>
      <c r="H79" s="792"/>
      <c r="I79" s="792"/>
      <c r="J79" s="792"/>
      <c r="K79" s="792"/>
      <c r="L79" s="792"/>
      <c r="M79" s="792"/>
      <c r="N79" s="792"/>
      <c r="O79" s="792"/>
      <c r="P79" s="792"/>
      <c r="Q79" s="792"/>
      <c r="R79" s="792"/>
      <c r="S79" s="792"/>
      <c r="T79" s="792"/>
      <c r="U79" s="792"/>
      <c r="V79" s="792"/>
      <c r="W79" s="792"/>
      <c r="X79" s="792"/>
      <c r="Y79" s="792"/>
      <c r="Z79" s="792"/>
    </row>
    <row r="80" spans="2:26" hidden="1" x14ac:dyDescent="0.2">
      <c r="B80" s="788" t="s">
        <v>251</v>
      </c>
      <c r="C80" s="788"/>
      <c r="D80" s="789"/>
      <c r="E80" s="789"/>
      <c r="F80" s="790">
        <f>+'Phase I Pro Forma'!F79</f>
        <v>1</v>
      </c>
      <c r="G80" s="790">
        <f>+'Phase I Pro Forma'!G79</f>
        <v>1</v>
      </c>
      <c r="H80" s="790">
        <f>+'Phase I Pro Forma'!H79</f>
        <v>1</v>
      </c>
      <c r="I80" s="790">
        <f>+'Phase I Pro Forma'!I79</f>
        <v>1</v>
      </c>
      <c r="J80" s="790">
        <f>+'Phase I Pro Forma'!J79</f>
        <v>1</v>
      </c>
      <c r="K80" s="790">
        <f>+'Phase I Pro Forma'!K79</f>
        <v>1</v>
      </c>
      <c r="L80" s="790">
        <f>+'Phase I Pro Forma'!L79</f>
        <v>1.05</v>
      </c>
      <c r="M80" s="790">
        <f>+'Phase I Pro Forma'!M79</f>
        <v>1.05</v>
      </c>
      <c r="N80" s="790">
        <f>+'Phase I Pro Forma'!N79</f>
        <v>1.05</v>
      </c>
      <c r="O80" s="790">
        <f>+'Phase I Pro Forma'!O79</f>
        <v>1.05</v>
      </c>
      <c r="P80" s="790">
        <f>+'Phase I Pro Forma'!P79</f>
        <v>1.05</v>
      </c>
      <c r="Q80" s="790">
        <f>+'Phase I Pro Forma'!Q79</f>
        <v>1.1025</v>
      </c>
      <c r="R80" s="790">
        <f>+'Phase I Pro Forma'!R79</f>
        <v>1.1025</v>
      </c>
      <c r="S80" s="790">
        <f>+'Phase I Pro Forma'!S79</f>
        <v>1.1025</v>
      </c>
      <c r="T80" s="790">
        <f>+'Phase I Pro Forma'!T79</f>
        <v>1.1025</v>
      </c>
      <c r="U80" s="790">
        <f>+'Phase I Pro Forma'!U79</f>
        <v>1.1025</v>
      </c>
      <c r="V80" s="790">
        <f>+'Phase I Pro Forma'!V79</f>
        <v>1.1576250000000001</v>
      </c>
      <c r="W80" s="790">
        <f>+'Phase I Pro Forma'!W79</f>
        <v>1.1576250000000001</v>
      </c>
      <c r="X80" s="790">
        <f>+'Phase I Pro Forma'!X79</f>
        <v>1.1576250000000001</v>
      </c>
      <c r="Y80" s="790">
        <f>+'Phase I Pro Forma'!Y79</f>
        <v>1.1576250000000001</v>
      </c>
      <c r="Z80" s="790">
        <f>+'Phase I Pro Forma'!Z79</f>
        <v>1.1576250000000001</v>
      </c>
    </row>
    <row r="81" spans="2:26" hidden="1" x14ac:dyDescent="0.2">
      <c r="B81" s="788" t="s">
        <v>252</v>
      </c>
      <c r="C81" s="788"/>
      <c r="D81" s="789"/>
      <c r="E81" s="789"/>
      <c r="F81" s="790">
        <f>+'Phase I Pro Forma'!F80</f>
        <v>1</v>
      </c>
      <c r="G81" s="790">
        <f>+'Phase I Pro Forma'!G80</f>
        <v>1.03</v>
      </c>
      <c r="H81" s="790">
        <f>+'Phase I Pro Forma'!H80</f>
        <v>1.0609</v>
      </c>
      <c r="I81" s="790">
        <f>+'Phase I Pro Forma'!I80</f>
        <v>1.092727</v>
      </c>
      <c r="J81" s="790">
        <f>+'Phase I Pro Forma'!J80</f>
        <v>1.1255088100000001</v>
      </c>
      <c r="K81" s="790">
        <f>+'Phase I Pro Forma'!K80</f>
        <v>1.1592740743000001</v>
      </c>
      <c r="L81" s="790">
        <f>+'Phase I Pro Forma'!L80</f>
        <v>1.1940522965290001</v>
      </c>
      <c r="M81" s="790">
        <f>+'Phase I Pro Forma'!M80</f>
        <v>1.2298738654248702</v>
      </c>
      <c r="N81" s="790">
        <f>+'Phase I Pro Forma'!N80</f>
        <v>1.2667700813876164</v>
      </c>
      <c r="O81" s="790">
        <f>+'Phase I Pro Forma'!O80</f>
        <v>1.3047731838292449</v>
      </c>
      <c r="P81" s="790">
        <f>+'Phase I Pro Forma'!P80</f>
        <v>1.3439163793441222</v>
      </c>
      <c r="Q81" s="790">
        <f>+'Phase I Pro Forma'!Q80</f>
        <v>1.3842338707244459</v>
      </c>
      <c r="R81" s="790">
        <f>+'Phase I Pro Forma'!R80</f>
        <v>1.4257608868461793</v>
      </c>
      <c r="S81" s="790">
        <f>+'Phase I Pro Forma'!S80</f>
        <v>1.4685337134515648</v>
      </c>
      <c r="T81" s="790">
        <f>+'Phase I Pro Forma'!T80</f>
        <v>1.5125897248551119</v>
      </c>
      <c r="U81" s="790">
        <f>+'Phase I Pro Forma'!U80</f>
        <v>1.5579674166007653</v>
      </c>
      <c r="V81" s="790">
        <f>+'Phase I Pro Forma'!V80</f>
        <v>1.6047064390987884</v>
      </c>
      <c r="W81" s="790">
        <f>+'Phase I Pro Forma'!W80</f>
        <v>1.652847632271752</v>
      </c>
      <c r="X81" s="790">
        <f>+'Phase I Pro Forma'!X80</f>
        <v>1.7024330612399046</v>
      </c>
      <c r="Y81" s="790">
        <f>+'Phase I Pro Forma'!Y80</f>
        <v>1.7535060530771018</v>
      </c>
      <c r="Z81" s="790">
        <f>+'Phase I Pro Forma'!Z80</f>
        <v>1.806111234669415</v>
      </c>
    </row>
    <row r="82" spans="2:26" ht="5" customHeight="1" x14ac:dyDescent="0.2">
      <c r="B82" s="32"/>
      <c r="C82" s="32"/>
      <c r="D82" s="39"/>
      <c r="E82" s="39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2:26" x14ac:dyDescent="0.2">
      <c r="B83" s="32" t="s">
        <v>243</v>
      </c>
      <c r="C83" s="32"/>
      <c r="D83" s="39"/>
      <c r="E83" s="39"/>
      <c r="F83" s="48">
        <f>+'Phase I Pro Forma'!F82/1000000</f>
        <v>0</v>
      </c>
      <c r="G83" s="48">
        <f>+'Phase I Pro Forma'!G82/1000000</f>
        <v>0</v>
      </c>
      <c r="H83" s="48">
        <f>+'Phase I Pro Forma'!H82/1000000</f>
        <v>0</v>
      </c>
      <c r="I83" s="48">
        <f>+'Phase I Pro Forma'!I82/1000000</f>
        <v>9.5625000000000002E-2</v>
      </c>
      <c r="J83" s="48">
        <f>+'Phase I Pro Forma'!J82/1000000</f>
        <v>0.19125</v>
      </c>
      <c r="K83" s="48">
        <f>+'Phase I Pro Forma'!K82/1000000</f>
        <v>0.19125</v>
      </c>
      <c r="L83" s="48">
        <f>+'Phase I Pro Forma'!L82/1000000</f>
        <v>0.2008125</v>
      </c>
      <c r="M83" s="48">
        <f>+'Phase I Pro Forma'!M82/1000000</f>
        <v>0.2008125</v>
      </c>
      <c r="N83" s="48">
        <f>+'Phase I Pro Forma'!N82/1000000</f>
        <v>0.2008125</v>
      </c>
      <c r="O83" s="48">
        <f>+'Phase I Pro Forma'!O82/1000000</f>
        <v>0.2008125</v>
      </c>
      <c r="P83" s="48">
        <f>+'Phase I Pro Forma'!P82/1000000</f>
        <v>0.2008125</v>
      </c>
      <c r="Q83" s="48">
        <f>+'Phase I Pro Forma'!Q82/1000000</f>
        <v>0.210853125</v>
      </c>
      <c r="R83" s="48">
        <f>+'Phase I Pro Forma'!R82/1000000</f>
        <v>0.210853125</v>
      </c>
      <c r="S83" s="48">
        <f>+'Phase I Pro Forma'!S82/1000000</f>
        <v>0.210853125</v>
      </c>
      <c r="T83" s="48">
        <f>+'Phase I Pro Forma'!T82/1000000</f>
        <v>0.210853125</v>
      </c>
      <c r="U83" s="48">
        <f>+'Phase I Pro Forma'!U82/1000000</f>
        <v>0.210853125</v>
      </c>
      <c r="V83" s="48">
        <f>+'Phase I Pro Forma'!V82/1000000</f>
        <v>0.22139578125000003</v>
      </c>
      <c r="W83" s="48">
        <f>+'Phase I Pro Forma'!W82/1000000</f>
        <v>0.22139578125000003</v>
      </c>
      <c r="X83" s="48">
        <f>+'Phase I Pro Forma'!X82/1000000</f>
        <v>0.22139578125000003</v>
      </c>
      <c r="Y83" s="48">
        <f>+'Phase I Pro Forma'!Y82/1000000</f>
        <v>0.22139578125000003</v>
      </c>
      <c r="Z83" s="48">
        <f>+'Phase I Pro Forma'!Z82/1000000</f>
        <v>0.22139578125000003</v>
      </c>
    </row>
    <row r="84" spans="2:26" x14ac:dyDescent="0.2">
      <c r="B84" s="32" t="s">
        <v>244</v>
      </c>
      <c r="C84" s="32"/>
      <c r="D84" s="39"/>
      <c r="E84" s="39"/>
      <c r="F84" s="771">
        <f>+'Phase I Pro Forma'!F83/1000000</f>
        <v>0</v>
      </c>
      <c r="G84" s="771">
        <f>+'Phase I Pro Forma'!G83/1000000</f>
        <v>0</v>
      </c>
      <c r="H84" s="771">
        <f>+'Phase I Pro Forma'!H83/1000000</f>
        <v>0</v>
      </c>
      <c r="I84" s="771">
        <f>+'Phase I Pro Forma'!I83/1000000</f>
        <v>-4.7812499999999999E-3</v>
      </c>
      <c r="J84" s="771">
        <f>+'Phase I Pro Forma'!J83/1000000</f>
        <v>-9.5624999999999998E-3</v>
      </c>
      <c r="K84" s="771">
        <f>+'Phase I Pro Forma'!K83/1000000</f>
        <v>-9.5624999999999998E-3</v>
      </c>
      <c r="L84" s="771">
        <f>+'Phase I Pro Forma'!L83/1000000</f>
        <v>-1.0040624999999999E-2</v>
      </c>
      <c r="M84" s="771">
        <f>+'Phase I Pro Forma'!M83/1000000</f>
        <v>-1.0040624999999999E-2</v>
      </c>
      <c r="N84" s="771">
        <f>+'Phase I Pro Forma'!N83/1000000</f>
        <v>-1.0040624999999999E-2</v>
      </c>
      <c r="O84" s="771">
        <f>+'Phase I Pro Forma'!O83/1000000</f>
        <v>-1.0040624999999999E-2</v>
      </c>
      <c r="P84" s="771">
        <f>+'Phase I Pro Forma'!P83/1000000</f>
        <v>-1.0040624999999999E-2</v>
      </c>
      <c r="Q84" s="771">
        <f>+'Phase I Pro Forma'!Q83/1000000</f>
        <v>-1.0542656250000001E-2</v>
      </c>
      <c r="R84" s="771">
        <f>+'Phase I Pro Forma'!R83/1000000</f>
        <v>-1.0542656250000001E-2</v>
      </c>
      <c r="S84" s="771">
        <f>+'Phase I Pro Forma'!S83/1000000</f>
        <v>-1.0542656250000001E-2</v>
      </c>
      <c r="T84" s="771">
        <f>+'Phase I Pro Forma'!T83/1000000</f>
        <v>-1.0542656250000001E-2</v>
      </c>
      <c r="U84" s="771">
        <f>+'Phase I Pro Forma'!U83/1000000</f>
        <v>-1.0542656250000001E-2</v>
      </c>
      <c r="V84" s="771">
        <f>+'Phase I Pro Forma'!V83/1000000</f>
        <v>-1.1069789062500002E-2</v>
      </c>
      <c r="W84" s="771">
        <f>+'Phase I Pro Forma'!W83/1000000</f>
        <v>-1.1069789062500002E-2</v>
      </c>
      <c r="X84" s="771">
        <f>+'Phase I Pro Forma'!X83/1000000</f>
        <v>-1.1069789062500002E-2</v>
      </c>
      <c r="Y84" s="771">
        <f>+'Phase I Pro Forma'!Y83/1000000</f>
        <v>-1.1069789062500002E-2</v>
      </c>
      <c r="Z84" s="771">
        <f>+'Phase I Pro Forma'!Z83/1000000</f>
        <v>-1.1069789062500002E-2</v>
      </c>
    </row>
    <row r="85" spans="2:26" x14ac:dyDescent="0.2">
      <c r="B85" s="32" t="s">
        <v>259</v>
      </c>
      <c r="C85" s="32"/>
      <c r="D85" s="39"/>
      <c r="E85" s="39"/>
      <c r="F85" s="772">
        <f ca="1">+'Phase I Pro Forma'!F84/1000000</f>
        <v>0</v>
      </c>
      <c r="G85" s="772">
        <f ca="1">+'Phase I Pro Forma'!G84/1000000</f>
        <v>0</v>
      </c>
      <c r="H85" s="772">
        <f ca="1">+'Phase I Pro Forma'!H84/1000000</f>
        <v>0</v>
      </c>
      <c r="I85" s="772">
        <f ca="1">+'Phase I Pro Forma'!I84/1000000</f>
        <v>0.33491964843749999</v>
      </c>
      <c r="J85" s="772">
        <f ca="1">+'Phase I Pro Forma'!J84/1000000</f>
        <v>0.68928842448375016</v>
      </c>
      <c r="K85" s="772">
        <f ca="1">+'Phase I Pro Forma'!K84/1000000</f>
        <v>0.7079901602479125</v>
      </c>
      <c r="L85" s="772">
        <f ca="1">+'Phase I Pro Forma'!L84/1000000</f>
        <v>0.72725294808499996</v>
      </c>
      <c r="M85" s="772">
        <f ca="1">+'Phase I Pro Forma'!M84/1000000</f>
        <v>0.74841156420409993</v>
      </c>
      <c r="N85" s="772">
        <f ca="1">+'Phase I Pro Forma'!N84/1000000</f>
        <v>0.76884745582046587</v>
      </c>
      <c r="O85" s="772">
        <f ca="1">+'Phase I Pro Forma'!O84/1000000</f>
        <v>0.78989642418532291</v>
      </c>
      <c r="P85" s="772">
        <f ca="1">+'Phase I Pro Forma'!P84/1000000</f>
        <v>0.81292116514096369</v>
      </c>
      <c r="Q85" s="772">
        <f ca="1">+'Phase I Pro Forma'!Q84/1000000</f>
        <v>0.83525201567924046</v>
      </c>
      <c r="R85" s="772">
        <f ca="1">+'Phase I Pro Forma'!R84/1000000</f>
        <v>0.85825279173366564</v>
      </c>
      <c r="S85" s="772">
        <f ca="1">+'Phase I Pro Forma'!S84/1000000</f>
        <v>0.88331478068035818</v>
      </c>
      <c r="T85" s="772">
        <f ca="1">+'Phase I Pro Forma'!T84/1000000</f>
        <v>0.90771630399649772</v>
      </c>
      <c r="U85" s="772">
        <f ca="1">+'Phase I Pro Forma'!U84/1000000</f>
        <v>0.93284987301212174</v>
      </c>
      <c r="V85" s="772">
        <f ca="1">+'Phase I Pro Forma'!V84/1000000</f>
        <v>0.96013606250106176</v>
      </c>
      <c r="W85" s="772">
        <f ca="1">+'Phase I Pro Forma'!W84/1000000</f>
        <v>0.9868002658697369</v>
      </c>
      <c r="X85" s="772">
        <f ca="1">+'Phase I Pro Forma'!X84/1000000</f>
        <v>1.0142643953394725</v>
      </c>
      <c r="Y85" s="772">
        <f ca="1">+'Phase I Pro Forma'!Y84/1000000</f>
        <v>1.0439790343642044</v>
      </c>
      <c r="Z85" s="772">
        <f ca="1">+'Phase I Pro Forma'!Z84/1000000</f>
        <v>1.0731157293186468</v>
      </c>
    </row>
    <row r="86" spans="2:26" x14ac:dyDescent="0.2">
      <c r="B86" s="136" t="s">
        <v>253</v>
      </c>
      <c r="C86" s="136"/>
      <c r="D86" s="136"/>
      <c r="E86" s="136"/>
      <c r="F86" s="773">
        <f ca="1">+'Phase I Pro Forma'!F85/1000000</f>
        <v>0</v>
      </c>
      <c r="G86" s="773">
        <f ca="1">+'Phase I Pro Forma'!G85/1000000</f>
        <v>0</v>
      </c>
      <c r="H86" s="773">
        <f ca="1">+'Phase I Pro Forma'!H85/1000000</f>
        <v>0</v>
      </c>
      <c r="I86" s="773">
        <f ca="1">+'Phase I Pro Forma'!I85/1000000</f>
        <v>0.4257633984375</v>
      </c>
      <c r="J86" s="773">
        <f ca="1">+'Phase I Pro Forma'!J85/1000000</f>
        <v>0.87097592448375016</v>
      </c>
      <c r="K86" s="773">
        <f ca="1">+'Phase I Pro Forma'!K85/1000000</f>
        <v>0.88967766024791251</v>
      </c>
      <c r="L86" s="773">
        <f ca="1">+'Phase I Pro Forma'!L85/1000000</f>
        <v>0.91802482308499989</v>
      </c>
      <c r="M86" s="773">
        <f ca="1">+'Phase I Pro Forma'!M85/1000000</f>
        <v>0.93918343920409997</v>
      </c>
      <c r="N86" s="773">
        <f ca="1">+'Phase I Pro Forma'!N85/1000000</f>
        <v>0.95961933082046591</v>
      </c>
      <c r="O86" s="773">
        <f ca="1">+'Phase I Pro Forma'!O85/1000000</f>
        <v>0.98066829918532294</v>
      </c>
      <c r="P86" s="773">
        <f ca="1">+'Phase I Pro Forma'!P85/1000000</f>
        <v>1.0036930401409638</v>
      </c>
      <c r="Q86" s="773">
        <f ca="1">+'Phase I Pro Forma'!Q85/1000000</f>
        <v>1.0355624844292404</v>
      </c>
      <c r="R86" s="773">
        <f ca="1">+'Phase I Pro Forma'!R85/1000000</f>
        <v>1.0585632604836657</v>
      </c>
      <c r="S86" s="773">
        <f ca="1">+'Phase I Pro Forma'!S85/1000000</f>
        <v>1.0836252494303582</v>
      </c>
      <c r="T86" s="773">
        <f ca="1">+'Phase I Pro Forma'!T85/1000000</f>
        <v>1.1080267727464979</v>
      </c>
      <c r="U86" s="773">
        <f ca="1">+'Phase I Pro Forma'!U85/1000000</f>
        <v>1.1331603417621217</v>
      </c>
      <c r="V86" s="773">
        <f ca="1">+'Phase I Pro Forma'!V85/1000000</f>
        <v>1.1704620546885618</v>
      </c>
      <c r="W86" s="773">
        <f ca="1">+'Phase I Pro Forma'!W85/1000000</f>
        <v>1.1971262580572368</v>
      </c>
      <c r="X86" s="773">
        <f ca="1">+'Phase I Pro Forma'!X85/1000000</f>
        <v>1.2245903875269724</v>
      </c>
      <c r="Y86" s="773">
        <f ca="1">+'Phase I Pro Forma'!Y85/1000000</f>
        <v>1.2543050265517044</v>
      </c>
      <c r="Z86" s="773">
        <f ca="1">+'Phase I Pro Forma'!Z85/1000000</f>
        <v>1.2834417215061469</v>
      </c>
    </row>
    <row r="87" spans="2:26" ht="5" customHeight="1" x14ac:dyDescent="0.2"/>
    <row r="88" spans="2:26" x14ac:dyDescent="0.2">
      <c r="B88" s="32" t="s">
        <v>389</v>
      </c>
      <c r="F88" s="48">
        <f>+'Phase I Pro Forma'!F87/1000000</f>
        <v>0</v>
      </c>
      <c r="G88" s="48">
        <f>+'Phase I Pro Forma'!G87/1000000</f>
        <v>0</v>
      </c>
      <c r="H88" s="48">
        <f>+'Phase I Pro Forma'!H87/1000000</f>
        <v>0</v>
      </c>
      <c r="I88" s="48">
        <f>+'Phase I Pro Forma'!I87/1000000</f>
        <v>0.3026170835625</v>
      </c>
      <c r="J88" s="48">
        <f>+'Phase I Pro Forma'!J87/1000000</f>
        <v>0.62339119213875016</v>
      </c>
      <c r="K88" s="48">
        <f>+'Phase I Pro Forma'!K87/1000000</f>
        <v>0.6420929279029125</v>
      </c>
      <c r="L88" s="48">
        <f>+'Phase I Pro Forma'!L87/1000000</f>
        <v>0.66135571573999985</v>
      </c>
      <c r="M88" s="48">
        <f>+'Phase I Pro Forma'!M87/1000000</f>
        <v>0.68119638721219999</v>
      </c>
      <c r="N88" s="48">
        <f>+'Phase I Pro Forma'!N87/1000000</f>
        <v>0.70163227882856594</v>
      </c>
      <c r="O88" s="48">
        <f>+'Phase I Pro Forma'!O87/1000000</f>
        <v>0.72268124719342297</v>
      </c>
      <c r="P88" s="48">
        <f>+'Phase I Pro Forma'!P87/1000000</f>
        <v>0.74436168460922569</v>
      </c>
      <c r="Q88" s="48">
        <f>+'Phase I Pro Forma'!Q87/1000000</f>
        <v>0.76669253514750246</v>
      </c>
      <c r="R88" s="48">
        <f>+'Phase I Pro Forma'!R87/1000000</f>
        <v>0.78969331120192765</v>
      </c>
      <c r="S88" s="48">
        <f>+'Phase I Pro Forma'!S87/1000000</f>
        <v>0.81338411053798543</v>
      </c>
      <c r="T88" s="48">
        <f>+'Phase I Pro Forma'!T87/1000000</f>
        <v>0.83778563385412508</v>
      </c>
      <c r="U88" s="48">
        <f>+'Phase I Pro Forma'!U87/1000000</f>
        <v>0.86291920286974888</v>
      </c>
      <c r="V88" s="48">
        <f>+'Phase I Pro Forma'!V87/1000000</f>
        <v>0.88880677895584148</v>
      </c>
      <c r="W88" s="48">
        <f>+'Phase I Pro Forma'!W87/1000000</f>
        <v>0.91547098232451662</v>
      </c>
      <c r="X88" s="48">
        <f>+'Phase I Pro Forma'!X87/1000000</f>
        <v>0.94293511179425216</v>
      </c>
      <c r="Y88" s="48">
        <f>+'Phase I Pro Forma'!Y87/1000000</f>
        <v>0.97122316514807971</v>
      </c>
      <c r="Z88" s="48">
        <f>+'Phase I Pro Forma'!Z87/1000000</f>
        <v>1.0003598601025223</v>
      </c>
    </row>
    <row r="89" spans="2:26" x14ac:dyDescent="0.2">
      <c r="B89" s="32" t="s">
        <v>325</v>
      </c>
      <c r="F89" s="772">
        <f ca="1">+'Phase I Pro Forma'!F88/1000000</f>
        <v>0</v>
      </c>
      <c r="G89" s="772">
        <f ca="1">+'Phase I Pro Forma'!G88/1000000</f>
        <v>0</v>
      </c>
      <c r="H89" s="772">
        <f ca="1">+'Phase I Pro Forma'!H88/1000000</f>
        <v>0</v>
      </c>
      <c r="I89" s="772">
        <f ca="1">+'Phase I Pro Forma'!I88/1000000</f>
        <v>3.2302564875000002E-2</v>
      </c>
      <c r="J89" s="772">
        <f ca="1">+'Phase I Pro Forma'!J88/1000000</f>
        <v>6.5897232345000001E-2</v>
      </c>
      <c r="K89" s="772">
        <f ca="1">+'Phase I Pro Forma'!K88/1000000</f>
        <v>6.5897232345000001E-2</v>
      </c>
      <c r="L89" s="772">
        <f ca="1">+'Phase I Pro Forma'!L88/1000000</f>
        <v>6.5897232345000001E-2</v>
      </c>
      <c r="M89" s="772">
        <f ca="1">+'Phase I Pro Forma'!M88/1000000</f>
        <v>6.7215176991900008E-2</v>
      </c>
      <c r="N89" s="772">
        <f ca="1">+'Phase I Pro Forma'!N88/1000000</f>
        <v>6.7215176991900008E-2</v>
      </c>
      <c r="O89" s="772">
        <f ca="1">+'Phase I Pro Forma'!O88/1000000</f>
        <v>6.7215176991900008E-2</v>
      </c>
      <c r="P89" s="772">
        <f ca="1">+'Phase I Pro Forma'!P88/1000000</f>
        <v>6.8559480531738007E-2</v>
      </c>
      <c r="Q89" s="772">
        <f ca="1">+'Phase I Pro Forma'!Q88/1000000</f>
        <v>6.8559480531738007E-2</v>
      </c>
      <c r="R89" s="772">
        <f ca="1">+'Phase I Pro Forma'!R88/1000000</f>
        <v>6.8559480531738007E-2</v>
      </c>
      <c r="S89" s="772">
        <f ca="1">+'Phase I Pro Forma'!S88/1000000</f>
        <v>6.9930670142372781E-2</v>
      </c>
      <c r="T89" s="772">
        <f ca="1">+'Phase I Pro Forma'!T88/1000000</f>
        <v>6.9930670142372781E-2</v>
      </c>
      <c r="U89" s="772">
        <f ca="1">+'Phase I Pro Forma'!U88/1000000</f>
        <v>6.9930670142372781E-2</v>
      </c>
      <c r="V89" s="772">
        <f ca="1">+'Phase I Pro Forma'!V88/1000000</f>
        <v>7.1329283545220223E-2</v>
      </c>
      <c r="W89" s="772">
        <f ca="1">+'Phase I Pro Forma'!W88/1000000</f>
        <v>7.1329283545220223E-2</v>
      </c>
      <c r="X89" s="772">
        <f ca="1">+'Phase I Pro Forma'!X88/1000000</f>
        <v>7.1329283545220223E-2</v>
      </c>
      <c r="Y89" s="772">
        <f ca="1">+'Phase I Pro Forma'!Y88/1000000</f>
        <v>7.2755869216124633E-2</v>
      </c>
      <c r="Z89" s="772">
        <f ca="1">+'Phase I Pro Forma'!Z88/1000000</f>
        <v>7.2755869216124633E-2</v>
      </c>
    </row>
    <row r="90" spans="2:26" x14ac:dyDescent="0.2">
      <c r="B90" s="136" t="s">
        <v>249</v>
      </c>
      <c r="C90" s="136"/>
      <c r="D90" s="136"/>
      <c r="E90" s="136"/>
      <c r="F90" s="773">
        <f ca="1">+'Phase I Pro Forma'!F89/1000000</f>
        <v>0</v>
      </c>
      <c r="G90" s="773">
        <f ca="1">+'Phase I Pro Forma'!G89/1000000</f>
        <v>0</v>
      </c>
      <c r="H90" s="773">
        <f ca="1">+'Phase I Pro Forma'!H89/1000000</f>
        <v>0</v>
      </c>
      <c r="I90" s="773">
        <f ca="1">+'Phase I Pro Forma'!I89/1000000</f>
        <v>0.33491964843749999</v>
      </c>
      <c r="J90" s="773">
        <f ca="1">+'Phase I Pro Forma'!J89/1000000</f>
        <v>0.68928842448375016</v>
      </c>
      <c r="K90" s="773">
        <f ca="1">+'Phase I Pro Forma'!K89/1000000</f>
        <v>0.7079901602479125</v>
      </c>
      <c r="L90" s="773">
        <f ca="1">+'Phase I Pro Forma'!L89/1000000</f>
        <v>0.72725294808499996</v>
      </c>
      <c r="M90" s="773">
        <f ca="1">+'Phase I Pro Forma'!M89/1000000</f>
        <v>0.74841156420409993</v>
      </c>
      <c r="N90" s="773">
        <f ca="1">+'Phase I Pro Forma'!N89/1000000</f>
        <v>0.76884745582046587</v>
      </c>
      <c r="O90" s="773">
        <f ca="1">+'Phase I Pro Forma'!O89/1000000</f>
        <v>0.78989642418532291</v>
      </c>
      <c r="P90" s="773">
        <f ca="1">+'Phase I Pro Forma'!P89/1000000</f>
        <v>0.81292116514096369</v>
      </c>
      <c r="Q90" s="773">
        <f ca="1">+'Phase I Pro Forma'!Q89/1000000</f>
        <v>0.83525201567924046</v>
      </c>
      <c r="R90" s="773">
        <f ca="1">+'Phase I Pro Forma'!R89/1000000</f>
        <v>0.85825279173366564</v>
      </c>
      <c r="S90" s="773">
        <f ca="1">+'Phase I Pro Forma'!S89/1000000</f>
        <v>0.88331478068035818</v>
      </c>
      <c r="T90" s="773">
        <f ca="1">+'Phase I Pro Forma'!T89/1000000</f>
        <v>0.90771630399649772</v>
      </c>
      <c r="U90" s="773">
        <f ca="1">+'Phase I Pro Forma'!U89/1000000</f>
        <v>0.93284987301212174</v>
      </c>
      <c r="V90" s="773">
        <f ca="1">+'Phase I Pro Forma'!V89/1000000</f>
        <v>0.96013606250106176</v>
      </c>
      <c r="W90" s="773">
        <f ca="1">+'Phase I Pro Forma'!W89/1000000</f>
        <v>0.9868002658697369</v>
      </c>
      <c r="X90" s="773">
        <f ca="1">+'Phase I Pro Forma'!X89/1000000</f>
        <v>1.0142643953394725</v>
      </c>
      <c r="Y90" s="773">
        <f ca="1">+'Phase I Pro Forma'!Y89/1000000</f>
        <v>1.0439790343642044</v>
      </c>
      <c r="Z90" s="773">
        <f ca="1">+'Phase I Pro Forma'!Z89/1000000</f>
        <v>1.0731157293186468</v>
      </c>
    </row>
    <row r="91" spans="2:26" ht="5" customHeight="1" x14ac:dyDescent="0.2">
      <c r="B91" s="32"/>
    </row>
    <row r="92" spans="2:26" x14ac:dyDescent="0.2">
      <c r="B92" s="777" t="s">
        <v>248</v>
      </c>
      <c r="C92" s="777"/>
      <c r="D92" s="777"/>
      <c r="E92" s="777"/>
      <c r="F92" s="778">
        <f ca="1">+F86-F90</f>
        <v>0</v>
      </c>
      <c r="G92" s="778">
        <f t="shared" ref="G92:Z92" ca="1" si="25">+G86-G90</f>
        <v>0</v>
      </c>
      <c r="H92" s="778">
        <f t="shared" ca="1" si="25"/>
        <v>0</v>
      </c>
      <c r="I92" s="778">
        <f t="shared" ca="1" si="25"/>
        <v>9.0843750000000001E-2</v>
      </c>
      <c r="J92" s="778">
        <f t="shared" ca="1" si="25"/>
        <v>0.1816875</v>
      </c>
      <c r="K92" s="778">
        <f t="shared" ca="1" si="25"/>
        <v>0.1816875</v>
      </c>
      <c r="L92" s="778">
        <f t="shared" ca="1" si="25"/>
        <v>0.19077187499999992</v>
      </c>
      <c r="M92" s="778">
        <f t="shared" ca="1" si="25"/>
        <v>0.19077187500000004</v>
      </c>
      <c r="N92" s="778">
        <f t="shared" ca="1" si="25"/>
        <v>0.19077187500000004</v>
      </c>
      <c r="O92" s="778">
        <f t="shared" ca="1" si="25"/>
        <v>0.19077187500000004</v>
      </c>
      <c r="P92" s="778">
        <f t="shared" ca="1" si="25"/>
        <v>0.19077187500000015</v>
      </c>
      <c r="Q92" s="778">
        <f t="shared" ca="1" si="25"/>
        <v>0.20031046874999991</v>
      </c>
      <c r="R92" s="778">
        <f t="shared" ca="1" si="25"/>
        <v>0.20031046875000003</v>
      </c>
      <c r="S92" s="778">
        <f t="shared" ca="1" si="25"/>
        <v>0.20031046875000003</v>
      </c>
      <c r="T92" s="778">
        <f t="shared" ca="1" si="25"/>
        <v>0.20031046875000014</v>
      </c>
      <c r="U92" s="778">
        <f t="shared" ca="1" si="25"/>
        <v>0.20031046874999991</v>
      </c>
      <c r="V92" s="778">
        <f t="shared" ca="1" si="25"/>
        <v>0.21032599218750003</v>
      </c>
      <c r="W92" s="778">
        <f t="shared" ca="1" si="25"/>
        <v>0.21032599218749992</v>
      </c>
      <c r="X92" s="778">
        <f t="shared" ca="1" si="25"/>
        <v>0.21032599218749981</v>
      </c>
      <c r="Y92" s="778">
        <f t="shared" ca="1" si="25"/>
        <v>0.21032599218750003</v>
      </c>
      <c r="Z92" s="778">
        <f t="shared" ca="1" si="25"/>
        <v>0.21032599218750003</v>
      </c>
    </row>
    <row r="93" spans="2:26" x14ac:dyDescent="0.2">
      <c r="B93" s="779" t="s">
        <v>254</v>
      </c>
      <c r="C93" s="780"/>
      <c r="D93" s="780"/>
      <c r="E93" s="780"/>
      <c r="F93" s="781" t="str">
        <f ca="1">+IFERROR(F92/F86,"")</f>
        <v/>
      </c>
      <c r="G93" s="781" t="str">
        <f t="shared" ref="G93:Z93" ca="1" si="26">+IFERROR(G92/G86,"")</f>
        <v/>
      </c>
      <c r="H93" s="781" t="str">
        <f t="shared" ca="1" si="26"/>
        <v/>
      </c>
      <c r="I93" s="782">
        <f t="shared" ca="1" si="26"/>
        <v>0.21336674390843727</v>
      </c>
      <c r="J93" s="782">
        <f t="shared" ca="1" si="26"/>
        <v>0.20860220689531786</v>
      </c>
      <c r="K93" s="782">
        <f t="shared" ca="1" si="26"/>
        <v>0.20421722171755105</v>
      </c>
      <c r="L93" s="782">
        <f t="shared" ca="1" si="26"/>
        <v>0.20780688081931784</v>
      </c>
      <c r="M93" s="782">
        <f t="shared" ca="1" si="26"/>
        <v>0.2031252543823254</v>
      </c>
      <c r="N93" s="782">
        <f t="shared" ca="1" si="26"/>
        <v>0.19879953318248789</v>
      </c>
      <c r="O93" s="782">
        <f t="shared" ca="1" si="26"/>
        <v>0.1945325194650232</v>
      </c>
      <c r="P93" s="782">
        <f t="shared" ca="1" si="26"/>
        <v>0.19006993908536735</v>
      </c>
      <c r="Q93" s="782">
        <f t="shared" ca="1" si="26"/>
        <v>0.19343156184380592</v>
      </c>
      <c r="R93" s="782">
        <f t="shared" ca="1" si="26"/>
        <v>0.18922862357652262</v>
      </c>
      <c r="S93" s="782">
        <f t="shared" ca="1" si="26"/>
        <v>0.18485216070343463</v>
      </c>
      <c r="T93" s="782">
        <f t="shared" ca="1" si="26"/>
        <v>0.18078125337484835</v>
      </c>
      <c r="U93" s="782">
        <f t="shared" ca="1" si="26"/>
        <v>0.17677151358695364</v>
      </c>
      <c r="V93" s="782">
        <f t="shared" ca="1" si="26"/>
        <v>0.17969484046491696</v>
      </c>
      <c r="W93" s="782">
        <f t="shared" ca="1" si="26"/>
        <v>0.1756924056856197</v>
      </c>
      <c r="X93" s="782">
        <f t="shared" ca="1" si="26"/>
        <v>0.17175211754866665</v>
      </c>
      <c r="Y93" s="782">
        <f t="shared" ca="1" si="26"/>
        <v>0.16768328894106529</v>
      </c>
      <c r="Z93" s="782">
        <f t="shared" ca="1" si="26"/>
        <v>0.16387654278581334</v>
      </c>
    </row>
    <row r="94" spans="2:26" x14ac:dyDescent="0.2">
      <c r="B94" s="779" t="s">
        <v>188</v>
      </c>
      <c r="C94" s="780"/>
      <c r="D94" s="780"/>
      <c r="E94" s="780"/>
      <c r="F94" s="783">
        <f ca="1">+'Phase I Pro Forma'!F93/1000000</f>
        <v>0</v>
      </c>
      <c r="G94" s="783">
        <f ca="1">+'Phase I Pro Forma'!G93/1000000</f>
        <v>0</v>
      </c>
      <c r="H94" s="783">
        <f ca="1">+'Phase I Pro Forma'!H93/1000000</f>
        <v>0</v>
      </c>
      <c r="I94" s="783">
        <f ca="1">+'Phase I Pro Forma'!I93/1000000</f>
        <v>1.3458333333333332</v>
      </c>
      <c r="J94" s="783">
        <f ca="1">+'Phase I Pro Forma'!J93/1000000</f>
        <v>2.6916666666666664</v>
      </c>
      <c r="K94" s="783">
        <f ca="1">+'Phase I Pro Forma'!K93/1000000</f>
        <v>2.6916666666666664</v>
      </c>
      <c r="L94" s="783">
        <f ca="1">+'Phase I Pro Forma'!L93/1000000</f>
        <v>2.8262499999999999</v>
      </c>
      <c r="M94" s="783">
        <f ca="1">+'Phase I Pro Forma'!M93/1000000</f>
        <v>2.8262499999999999</v>
      </c>
      <c r="N94" s="783">
        <f ca="1">+'Phase I Pro Forma'!N93/1000000</f>
        <v>2.8262499999999999</v>
      </c>
      <c r="O94" s="783">
        <f ca="1">+'Phase I Pro Forma'!O93/1000000</f>
        <v>2.8262499999999999</v>
      </c>
      <c r="P94" s="783">
        <f ca="1">+'Phase I Pro Forma'!P93/1000000</f>
        <v>2.8262499999999999</v>
      </c>
      <c r="Q94" s="783">
        <f ca="1">+'Phase I Pro Forma'!Q93/1000000</f>
        <v>2.9675625000000001</v>
      </c>
      <c r="R94" s="783">
        <f ca="1">+'Phase I Pro Forma'!R93/1000000</f>
        <v>2.9675625000000001</v>
      </c>
      <c r="S94" s="783">
        <f ca="1">+'Phase I Pro Forma'!S93/1000000</f>
        <v>2.9675625000000001</v>
      </c>
      <c r="T94" s="783">
        <f ca="1">+'Phase I Pro Forma'!T93/1000000</f>
        <v>2.9675625000000001</v>
      </c>
      <c r="U94" s="783">
        <f ca="1">+'Phase I Pro Forma'!U93/1000000</f>
        <v>2.9675625000000001</v>
      </c>
      <c r="V94" s="783">
        <f ca="1">+'Phase I Pro Forma'!V93/1000000</f>
        <v>3.1159406249999999</v>
      </c>
      <c r="W94" s="783">
        <f ca="1">+'Phase I Pro Forma'!W93/1000000</f>
        <v>3.1159406249999999</v>
      </c>
      <c r="X94" s="783">
        <f ca="1">+'Phase I Pro Forma'!X93/1000000</f>
        <v>3.1159406249999999</v>
      </c>
      <c r="Y94" s="783">
        <f ca="1">+'Phase I Pro Forma'!Y93/1000000</f>
        <v>3.1159406249999999</v>
      </c>
      <c r="Z94" s="783">
        <f ca="1">+'Phase I Pro Forma'!Z93/1000000</f>
        <v>3.1159406249999999</v>
      </c>
    </row>
    <row r="95" spans="2:26" ht="5" customHeight="1" x14ac:dyDescent="0.2"/>
    <row r="96" spans="2:26" x14ac:dyDescent="0.2">
      <c r="B96" s="147" t="s">
        <v>146</v>
      </c>
      <c r="C96" s="148"/>
      <c r="D96" s="148"/>
      <c r="E96" s="148"/>
      <c r="F96" s="776">
        <f>+F75</f>
        <v>44196</v>
      </c>
      <c r="G96" s="776">
        <f t="shared" ref="G96:Z96" si="27">+G75</f>
        <v>44561</v>
      </c>
      <c r="H96" s="776">
        <f t="shared" si="27"/>
        <v>44926</v>
      </c>
      <c r="I96" s="776">
        <f t="shared" si="27"/>
        <v>45291</v>
      </c>
      <c r="J96" s="776">
        <f t="shared" si="27"/>
        <v>45657</v>
      </c>
      <c r="K96" s="776">
        <f t="shared" si="27"/>
        <v>46022</v>
      </c>
      <c r="L96" s="776">
        <f t="shared" si="27"/>
        <v>46387</v>
      </c>
      <c r="M96" s="776">
        <f t="shared" si="27"/>
        <v>46752</v>
      </c>
      <c r="N96" s="776">
        <f t="shared" si="27"/>
        <v>47118</v>
      </c>
      <c r="O96" s="776">
        <f t="shared" si="27"/>
        <v>47483</v>
      </c>
      <c r="P96" s="776">
        <f t="shared" si="27"/>
        <v>47848</v>
      </c>
      <c r="Q96" s="776">
        <f t="shared" si="27"/>
        <v>48213</v>
      </c>
      <c r="R96" s="776">
        <f t="shared" si="27"/>
        <v>48579</v>
      </c>
      <c r="S96" s="776">
        <f t="shared" si="27"/>
        <v>48944</v>
      </c>
      <c r="T96" s="776">
        <f t="shared" si="27"/>
        <v>49309</v>
      </c>
      <c r="U96" s="776">
        <f t="shared" si="27"/>
        <v>49674</v>
      </c>
      <c r="V96" s="776">
        <f t="shared" si="27"/>
        <v>50040</v>
      </c>
      <c r="W96" s="776">
        <f t="shared" si="27"/>
        <v>50405</v>
      </c>
      <c r="X96" s="776">
        <f t="shared" si="27"/>
        <v>50770</v>
      </c>
      <c r="Y96" s="776">
        <f t="shared" si="27"/>
        <v>51135</v>
      </c>
      <c r="Z96" s="776">
        <f t="shared" si="27"/>
        <v>51501</v>
      </c>
    </row>
    <row r="97" spans="2:26" hidden="1" x14ac:dyDescent="0.2">
      <c r="B97" s="788" t="s">
        <v>245</v>
      </c>
      <c r="C97" s="788"/>
      <c r="D97" s="791"/>
      <c r="E97" s="791"/>
      <c r="F97" s="789">
        <f>+'Phase I Pro Forma'!F96</f>
        <v>0</v>
      </c>
      <c r="G97" s="789">
        <f>+'Phase I Pro Forma'!G96</f>
        <v>0</v>
      </c>
      <c r="H97" s="789">
        <f>+'Phase I Pro Forma'!H96</f>
        <v>0</v>
      </c>
      <c r="I97" s="789">
        <f>+'Phase I Pro Forma'!I96</f>
        <v>205034.40000000002</v>
      </c>
      <c r="J97" s="789">
        <f>+'Phase I Pro Forma'!J96</f>
        <v>205034.40000000002</v>
      </c>
      <c r="K97" s="789">
        <f>+'Phase I Pro Forma'!K96</f>
        <v>0</v>
      </c>
      <c r="L97" s="789">
        <f>+'Phase I Pro Forma'!L96</f>
        <v>0</v>
      </c>
      <c r="M97" s="789">
        <f>+'Phase I Pro Forma'!M96</f>
        <v>0</v>
      </c>
      <c r="N97" s="789">
        <f>+'Phase I Pro Forma'!N96</f>
        <v>0</v>
      </c>
      <c r="O97" s="789">
        <f>+'Phase I Pro Forma'!O96</f>
        <v>0</v>
      </c>
      <c r="P97" s="789">
        <f>+'Phase I Pro Forma'!P96</f>
        <v>0</v>
      </c>
      <c r="Q97" s="789">
        <f>+'Phase I Pro Forma'!Q96</f>
        <v>0</v>
      </c>
      <c r="R97" s="789">
        <f>+'Phase I Pro Forma'!R96</f>
        <v>0</v>
      </c>
      <c r="S97" s="789">
        <f>+'Phase I Pro Forma'!S96</f>
        <v>0</v>
      </c>
      <c r="T97" s="789">
        <f>+'Phase I Pro Forma'!T96</f>
        <v>0</v>
      </c>
      <c r="U97" s="789">
        <f>+'Phase I Pro Forma'!U96</f>
        <v>0</v>
      </c>
      <c r="V97" s="789">
        <f>+'Phase I Pro Forma'!V96</f>
        <v>0</v>
      </c>
      <c r="W97" s="789">
        <f>+'Phase I Pro Forma'!W96</f>
        <v>0</v>
      </c>
      <c r="X97" s="789">
        <f>+'Phase I Pro Forma'!X96</f>
        <v>0</v>
      </c>
      <c r="Y97" s="789">
        <f>+'Phase I Pro Forma'!Y96</f>
        <v>0</v>
      </c>
      <c r="Z97" s="789">
        <f>+'Phase I Pro Forma'!Z96</f>
        <v>0</v>
      </c>
    </row>
    <row r="98" spans="2:26" x14ac:dyDescent="0.2">
      <c r="B98" s="32" t="s">
        <v>784</v>
      </c>
      <c r="C98" s="32"/>
      <c r="D98" s="41">
        <v>0</v>
      </c>
      <c r="E98" s="41"/>
      <c r="F98" s="41">
        <f>+D98+F97</f>
        <v>0</v>
      </c>
      <c r="G98" s="41">
        <f t="shared" ref="G98:Z98" si="28">+F98+G97</f>
        <v>0</v>
      </c>
      <c r="H98" s="41">
        <f t="shared" si="28"/>
        <v>0</v>
      </c>
      <c r="I98" s="41">
        <f t="shared" si="28"/>
        <v>205034.40000000002</v>
      </c>
      <c r="J98" s="41">
        <f t="shared" si="28"/>
        <v>410068.80000000005</v>
      </c>
      <c r="K98" s="41">
        <f t="shared" si="28"/>
        <v>410068.80000000005</v>
      </c>
      <c r="L98" s="41">
        <f t="shared" si="28"/>
        <v>410068.80000000005</v>
      </c>
      <c r="M98" s="41">
        <f t="shared" si="28"/>
        <v>410068.80000000005</v>
      </c>
      <c r="N98" s="41">
        <f t="shared" si="28"/>
        <v>410068.80000000005</v>
      </c>
      <c r="O98" s="41">
        <f t="shared" si="28"/>
        <v>410068.80000000005</v>
      </c>
      <c r="P98" s="41">
        <f t="shared" si="28"/>
        <v>410068.80000000005</v>
      </c>
      <c r="Q98" s="41">
        <f t="shared" si="28"/>
        <v>410068.80000000005</v>
      </c>
      <c r="R98" s="41">
        <f t="shared" si="28"/>
        <v>410068.80000000005</v>
      </c>
      <c r="S98" s="41">
        <f t="shared" si="28"/>
        <v>410068.80000000005</v>
      </c>
      <c r="T98" s="41">
        <f t="shared" si="28"/>
        <v>410068.80000000005</v>
      </c>
      <c r="U98" s="41">
        <f t="shared" si="28"/>
        <v>410068.80000000005</v>
      </c>
      <c r="V98" s="41">
        <f t="shared" si="28"/>
        <v>410068.80000000005</v>
      </c>
      <c r="W98" s="41">
        <f t="shared" si="28"/>
        <v>410068.80000000005</v>
      </c>
      <c r="X98" s="41">
        <f t="shared" si="28"/>
        <v>410068.80000000005</v>
      </c>
      <c r="Y98" s="41">
        <f t="shared" si="28"/>
        <v>410068.80000000005</v>
      </c>
      <c r="Z98" s="41">
        <f t="shared" si="28"/>
        <v>410068.80000000005</v>
      </c>
    </row>
    <row r="99" spans="2:26" hidden="1" x14ac:dyDescent="0.2">
      <c r="B99" s="788" t="s">
        <v>301</v>
      </c>
      <c r="C99" s="788"/>
      <c r="D99" s="789"/>
      <c r="E99" s="789"/>
      <c r="F99" s="790">
        <f>+'Phase I Pro Forma'!F98</f>
        <v>0</v>
      </c>
      <c r="G99" s="790">
        <f>+'Phase I Pro Forma'!G98</f>
        <v>0</v>
      </c>
      <c r="H99" s="790">
        <f>+'Phase I Pro Forma'!H98</f>
        <v>0</v>
      </c>
      <c r="I99" s="790">
        <f>+'Phase I Pro Forma'!I98</f>
        <v>0.5</v>
      </c>
      <c r="J99" s="790">
        <f>+'Phase I Pro Forma'!J98</f>
        <v>1</v>
      </c>
      <c r="K99" s="790">
        <f>+'Phase I Pro Forma'!K98</f>
        <v>1</v>
      </c>
      <c r="L99" s="790">
        <f>+'Phase I Pro Forma'!L98</f>
        <v>1</v>
      </c>
      <c r="M99" s="790">
        <f>+'Phase I Pro Forma'!M98</f>
        <v>1</v>
      </c>
      <c r="N99" s="790">
        <f>+'Phase I Pro Forma'!N98</f>
        <v>1</v>
      </c>
      <c r="O99" s="790">
        <f>+'Phase I Pro Forma'!O98</f>
        <v>1</v>
      </c>
      <c r="P99" s="790">
        <f>+'Phase I Pro Forma'!P98</f>
        <v>1</v>
      </c>
      <c r="Q99" s="790">
        <f>+'Phase I Pro Forma'!Q98</f>
        <v>1</v>
      </c>
      <c r="R99" s="790">
        <f>+'Phase I Pro Forma'!R98</f>
        <v>1</v>
      </c>
      <c r="S99" s="790">
        <f>+'Phase I Pro Forma'!S98</f>
        <v>1</v>
      </c>
      <c r="T99" s="790">
        <f>+'Phase I Pro Forma'!T98</f>
        <v>1</v>
      </c>
      <c r="U99" s="790">
        <f>+'Phase I Pro Forma'!U98</f>
        <v>1</v>
      </c>
      <c r="V99" s="790">
        <f>+'Phase I Pro Forma'!V98</f>
        <v>1</v>
      </c>
      <c r="W99" s="790">
        <f>+'Phase I Pro Forma'!W98</f>
        <v>1</v>
      </c>
      <c r="X99" s="790">
        <f>+'Phase I Pro Forma'!X98</f>
        <v>1</v>
      </c>
      <c r="Y99" s="790">
        <f>+'Phase I Pro Forma'!Y98</f>
        <v>1</v>
      </c>
      <c r="Z99" s="790">
        <f>+'Phase I Pro Forma'!Z98</f>
        <v>1</v>
      </c>
    </row>
    <row r="100" spans="2:26" hidden="1" x14ac:dyDescent="0.2">
      <c r="B100" s="788"/>
      <c r="C100" s="788"/>
      <c r="D100" s="791"/>
      <c r="E100" s="791"/>
      <c r="F100" s="792"/>
      <c r="G100" s="792"/>
      <c r="H100" s="792"/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  <c r="S100" s="792"/>
      <c r="T100" s="792"/>
      <c r="U100" s="792"/>
      <c r="V100" s="792"/>
      <c r="W100" s="792"/>
      <c r="X100" s="792"/>
      <c r="Y100" s="792"/>
      <c r="Z100" s="792"/>
    </row>
    <row r="101" spans="2:26" hidden="1" x14ac:dyDescent="0.2">
      <c r="B101" s="788" t="s">
        <v>251</v>
      </c>
      <c r="C101" s="788"/>
      <c r="D101" s="789"/>
      <c r="E101" s="789"/>
      <c r="F101" s="790">
        <f>+'Phase I Pro Forma'!F100</f>
        <v>1</v>
      </c>
      <c r="G101" s="790">
        <f>+'Phase I Pro Forma'!G100</f>
        <v>1</v>
      </c>
      <c r="H101" s="790">
        <f>+'Phase I Pro Forma'!H100</f>
        <v>1</v>
      </c>
      <c r="I101" s="790">
        <f>+'Phase I Pro Forma'!I100</f>
        <v>1</v>
      </c>
      <c r="J101" s="790">
        <f>+'Phase I Pro Forma'!J100</f>
        <v>1</v>
      </c>
      <c r="K101" s="790">
        <f>+'Phase I Pro Forma'!K100</f>
        <v>1</v>
      </c>
      <c r="L101" s="790">
        <f>+'Phase I Pro Forma'!L100</f>
        <v>1.1000000000000001</v>
      </c>
      <c r="M101" s="790">
        <f>+'Phase I Pro Forma'!M100</f>
        <v>1.1000000000000001</v>
      </c>
      <c r="N101" s="790">
        <f>+'Phase I Pro Forma'!N100</f>
        <v>1.1000000000000001</v>
      </c>
      <c r="O101" s="790">
        <f>+'Phase I Pro Forma'!O100</f>
        <v>1.1000000000000001</v>
      </c>
      <c r="P101" s="790">
        <f>+'Phase I Pro Forma'!P100</f>
        <v>1.1000000000000001</v>
      </c>
      <c r="Q101" s="790">
        <f>+'Phase I Pro Forma'!Q100</f>
        <v>1.2100000000000002</v>
      </c>
      <c r="R101" s="790">
        <f>+'Phase I Pro Forma'!R100</f>
        <v>1.2100000000000002</v>
      </c>
      <c r="S101" s="790">
        <f>+'Phase I Pro Forma'!S100</f>
        <v>1.2100000000000002</v>
      </c>
      <c r="T101" s="790">
        <f>+'Phase I Pro Forma'!T100</f>
        <v>1.2100000000000002</v>
      </c>
      <c r="U101" s="790">
        <f>+'Phase I Pro Forma'!U100</f>
        <v>1.2100000000000002</v>
      </c>
      <c r="V101" s="790">
        <f>+'Phase I Pro Forma'!V100</f>
        <v>1.3310000000000004</v>
      </c>
      <c r="W101" s="790">
        <f>+'Phase I Pro Forma'!W100</f>
        <v>1.3310000000000004</v>
      </c>
      <c r="X101" s="790">
        <f>+'Phase I Pro Forma'!X100</f>
        <v>1.3310000000000004</v>
      </c>
      <c r="Y101" s="790">
        <f>+'Phase I Pro Forma'!Y100</f>
        <v>1.3310000000000004</v>
      </c>
      <c r="Z101" s="790">
        <f>+'Phase I Pro Forma'!Z100</f>
        <v>1.3310000000000004</v>
      </c>
    </row>
    <row r="102" spans="2:26" hidden="1" x14ac:dyDescent="0.2">
      <c r="B102" s="788" t="s">
        <v>252</v>
      </c>
      <c r="C102" s="788"/>
      <c r="D102" s="789"/>
      <c r="E102" s="789"/>
      <c r="F102" s="790">
        <f>+'Phase I Pro Forma'!F101</f>
        <v>1</v>
      </c>
      <c r="G102" s="790">
        <f>+'Phase I Pro Forma'!G101</f>
        <v>1.03</v>
      </c>
      <c r="H102" s="790">
        <f>+'Phase I Pro Forma'!H101</f>
        <v>1.0609</v>
      </c>
      <c r="I102" s="790">
        <f>+'Phase I Pro Forma'!I101</f>
        <v>1.092727</v>
      </c>
      <c r="J102" s="790">
        <f>+'Phase I Pro Forma'!J101</f>
        <v>1.1255088100000001</v>
      </c>
      <c r="K102" s="790">
        <f>+'Phase I Pro Forma'!K101</f>
        <v>1.1592740743000001</v>
      </c>
      <c r="L102" s="790">
        <f>+'Phase I Pro Forma'!L101</f>
        <v>1.1940522965290001</v>
      </c>
      <c r="M102" s="790">
        <f>+'Phase I Pro Forma'!M101</f>
        <v>1.2298738654248702</v>
      </c>
      <c r="N102" s="790">
        <f>+'Phase I Pro Forma'!N101</f>
        <v>1.2667700813876164</v>
      </c>
      <c r="O102" s="790">
        <f>+'Phase I Pro Forma'!O101</f>
        <v>1.3047731838292449</v>
      </c>
      <c r="P102" s="790">
        <f>+'Phase I Pro Forma'!P101</f>
        <v>1.3439163793441222</v>
      </c>
      <c r="Q102" s="790">
        <f>+'Phase I Pro Forma'!Q101</f>
        <v>1.3842338707244459</v>
      </c>
      <c r="R102" s="790">
        <f>+'Phase I Pro Forma'!R101</f>
        <v>1.4257608868461793</v>
      </c>
      <c r="S102" s="790">
        <f>+'Phase I Pro Forma'!S101</f>
        <v>1.4685337134515648</v>
      </c>
      <c r="T102" s="790">
        <f>+'Phase I Pro Forma'!T101</f>
        <v>1.5125897248551119</v>
      </c>
      <c r="U102" s="790">
        <f>+'Phase I Pro Forma'!U101</f>
        <v>1.5579674166007653</v>
      </c>
      <c r="V102" s="790">
        <f>+'Phase I Pro Forma'!V101</f>
        <v>1.6047064390987884</v>
      </c>
      <c r="W102" s="790">
        <f>+'Phase I Pro Forma'!W101</f>
        <v>1.652847632271752</v>
      </c>
      <c r="X102" s="790">
        <f>+'Phase I Pro Forma'!X101</f>
        <v>1.7024330612399046</v>
      </c>
      <c r="Y102" s="790">
        <f>+'Phase I Pro Forma'!Y101</f>
        <v>1.7535060530771018</v>
      </c>
      <c r="Z102" s="790">
        <f>+'Phase I Pro Forma'!Z101</f>
        <v>1.806111234669415</v>
      </c>
    </row>
    <row r="103" spans="2:26" ht="5" customHeight="1" x14ac:dyDescent="0.2">
      <c r="B103" s="32"/>
      <c r="C103" s="32"/>
      <c r="D103" s="39"/>
      <c r="E103" s="39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2:26" x14ac:dyDescent="0.2">
      <c r="B104" s="32" t="s">
        <v>243</v>
      </c>
      <c r="C104" s="32"/>
      <c r="D104" s="39"/>
      <c r="E104" s="39"/>
      <c r="F104" s="48">
        <f>+'Phase I Pro Forma'!F103/1000000</f>
        <v>0</v>
      </c>
      <c r="G104" s="48">
        <f>+'Phase I Pro Forma'!G103/1000000</f>
        <v>0</v>
      </c>
      <c r="H104" s="48">
        <f>+'Phase I Pro Forma'!H103/1000000</f>
        <v>0</v>
      </c>
      <c r="I104" s="48">
        <f>+'Phase I Pro Forma'!I103/1000000</f>
        <v>4.9208256000000006</v>
      </c>
      <c r="J104" s="48">
        <f>+'Phase I Pro Forma'!J103/1000000</f>
        <v>9.8416512000000012</v>
      </c>
      <c r="K104" s="48">
        <f>+'Phase I Pro Forma'!K103/1000000</f>
        <v>9.8416512000000012</v>
      </c>
      <c r="L104" s="48">
        <f>+'Phase I Pro Forma'!L103/1000000</f>
        <v>10.825816320000003</v>
      </c>
      <c r="M104" s="48">
        <f>+'Phase I Pro Forma'!M103/1000000</f>
        <v>10.825816320000003</v>
      </c>
      <c r="N104" s="48">
        <f>+'Phase I Pro Forma'!N103/1000000</f>
        <v>10.825816320000003</v>
      </c>
      <c r="O104" s="48">
        <f>+'Phase I Pro Forma'!O103/1000000</f>
        <v>10.825816320000003</v>
      </c>
      <c r="P104" s="48">
        <f>+'Phase I Pro Forma'!P103/1000000</f>
        <v>10.825816320000003</v>
      </c>
      <c r="Q104" s="48">
        <f>+'Phase I Pro Forma'!Q103/1000000</f>
        <v>11.908397952000003</v>
      </c>
      <c r="R104" s="48">
        <f>+'Phase I Pro Forma'!R103/1000000</f>
        <v>11.908397952000003</v>
      </c>
      <c r="S104" s="48">
        <f>+'Phase I Pro Forma'!S103/1000000</f>
        <v>11.908397952000003</v>
      </c>
      <c r="T104" s="48">
        <f>+'Phase I Pro Forma'!T103/1000000</f>
        <v>11.908397952000003</v>
      </c>
      <c r="U104" s="48">
        <f>+'Phase I Pro Forma'!U103/1000000</f>
        <v>11.908397952000003</v>
      </c>
      <c r="V104" s="48">
        <f>+'Phase I Pro Forma'!V103/1000000</f>
        <v>13.099237747200005</v>
      </c>
      <c r="W104" s="48">
        <f>+'Phase I Pro Forma'!W103/1000000</f>
        <v>13.099237747200005</v>
      </c>
      <c r="X104" s="48">
        <f>+'Phase I Pro Forma'!X103/1000000</f>
        <v>13.099237747200005</v>
      </c>
      <c r="Y104" s="48">
        <f>+'Phase I Pro Forma'!Y103/1000000</f>
        <v>13.099237747200005</v>
      </c>
      <c r="Z104" s="48">
        <f>+'Phase I Pro Forma'!Z103/1000000</f>
        <v>13.099237747200005</v>
      </c>
    </row>
    <row r="105" spans="2:26" x14ac:dyDescent="0.2">
      <c r="B105" s="32" t="s">
        <v>244</v>
      </c>
      <c r="C105" s="32"/>
      <c r="D105" s="39"/>
      <c r="E105" s="39"/>
      <c r="F105" s="771">
        <f>+'Phase I Pro Forma'!F104/1000000</f>
        <v>0</v>
      </c>
      <c r="G105" s="771">
        <f>+'Phase I Pro Forma'!G104/1000000</f>
        <v>0</v>
      </c>
      <c r="H105" s="771">
        <f>+'Phase I Pro Forma'!H104/1000000</f>
        <v>0</v>
      </c>
      <c r="I105" s="771">
        <f>+'Phase I Pro Forma'!I104/1000000</f>
        <v>-0.49208256000000006</v>
      </c>
      <c r="J105" s="771">
        <f>+'Phase I Pro Forma'!J104/1000000</f>
        <v>-0.98416512000000012</v>
      </c>
      <c r="K105" s="771">
        <f>+'Phase I Pro Forma'!K104/1000000</f>
        <v>-0.98416512000000012</v>
      </c>
      <c r="L105" s="771">
        <f>+'Phase I Pro Forma'!L104/1000000</f>
        <v>-1.0825816320000001</v>
      </c>
      <c r="M105" s="771">
        <f>+'Phase I Pro Forma'!M104/1000000</f>
        <v>-1.0825816320000001</v>
      </c>
      <c r="N105" s="771">
        <f>+'Phase I Pro Forma'!N104/1000000</f>
        <v>-1.0825816320000001</v>
      </c>
      <c r="O105" s="771">
        <f>+'Phase I Pro Forma'!O104/1000000</f>
        <v>-1.0825816320000001</v>
      </c>
      <c r="P105" s="771">
        <f>+'Phase I Pro Forma'!P104/1000000</f>
        <v>-1.0825816320000001</v>
      </c>
      <c r="Q105" s="771">
        <f>+'Phase I Pro Forma'!Q104/1000000</f>
        <v>-1.1908397952000003</v>
      </c>
      <c r="R105" s="771">
        <f>+'Phase I Pro Forma'!R104/1000000</f>
        <v>-1.1908397952000003</v>
      </c>
      <c r="S105" s="771">
        <f>+'Phase I Pro Forma'!S104/1000000</f>
        <v>-1.1908397952000003</v>
      </c>
      <c r="T105" s="771">
        <f>+'Phase I Pro Forma'!T104/1000000</f>
        <v>-1.1908397952000003</v>
      </c>
      <c r="U105" s="771">
        <f>+'Phase I Pro Forma'!U104/1000000</f>
        <v>-1.1908397952000003</v>
      </c>
      <c r="V105" s="771">
        <f>+'Phase I Pro Forma'!V104/1000000</f>
        <v>-1.3099237747200005</v>
      </c>
      <c r="W105" s="771">
        <f>+'Phase I Pro Forma'!W104/1000000</f>
        <v>-1.3099237747200005</v>
      </c>
      <c r="X105" s="771">
        <f>+'Phase I Pro Forma'!X104/1000000</f>
        <v>-1.3099237747200005</v>
      </c>
      <c r="Y105" s="771">
        <f>+'Phase I Pro Forma'!Y104/1000000</f>
        <v>-1.3099237747200005</v>
      </c>
      <c r="Z105" s="771">
        <f>+'Phase I Pro Forma'!Z104/1000000</f>
        <v>-1.3099237747200005</v>
      </c>
    </row>
    <row r="106" spans="2:26" x14ac:dyDescent="0.2">
      <c r="B106" s="32" t="s">
        <v>259</v>
      </c>
      <c r="C106" s="32"/>
      <c r="D106" s="39"/>
      <c r="E106" s="39"/>
      <c r="F106" s="772">
        <f ca="1">+'Phase I Pro Forma'!F105/1000000</f>
        <v>0</v>
      </c>
      <c r="G106" s="772">
        <f ca="1">+'Phase I Pro Forma'!G105/1000000</f>
        <v>0</v>
      </c>
      <c r="H106" s="772">
        <f ca="1">+'Phase I Pro Forma'!H105/1000000</f>
        <v>0</v>
      </c>
      <c r="I106" s="772">
        <f ca="1">+'Phase I Pro Forma'!I105/1000000</f>
        <v>2.8249653967519626</v>
      </c>
      <c r="J106" s="772">
        <f ca="1">+'Phase I Pro Forma'!J105/1000000</f>
        <v>5.7931757037231932</v>
      </c>
      <c r="K106" s="772">
        <f ca="1">+'Phase I Pro Forma'!K105/1000000</f>
        <v>5.8866367532621835</v>
      </c>
      <c r="L106" s="772">
        <f ca="1">+'Phase I Pro Forma'!L105/1000000</f>
        <v>5.9829016342873453</v>
      </c>
      <c r="M106" s="772">
        <f ca="1">+'Phase I Pro Forma'!M105/1000000</f>
        <v>6.1356106094583973</v>
      </c>
      <c r="N106" s="772">
        <f ca="1">+'Phase I Pro Forma'!N105/1000000</f>
        <v>6.2377380217379903</v>
      </c>
      <c r="O106" s="772">
        <f ca="1">+'Phase I Pro Forma'!O105/1000000</f>
        <v>6.3429292563859709</v>
      </c>
      <c r="P106" s="772">
        <f ca="1">+'Phase I Pro Forma'!P105/1000000</f>
        <v>6.505903498742831</v>
      </c>
      <c r="Q106" s="772">
        <f ca="1">+'Phase I Pro Forma'!Q105/1000000</f>
        <v>6.6175008795808736</v>
      </c>
      <c r="R106" s="772">
        <f ca="1">+'Phase I Pro Forma'!R105/1000000</f>
        <v>6.7324461818440575</v>
      </c>
      <c r="S106" s="772">
        <f ca="1">+'Phase I Pro Forma'!S105/1000000</f>
        <v>6.9065596592579661</v>
      </c>
      <c r="T106" s="772">
        <f ca="1">+'Phase I Pro Forma'!T105/1000000</f>
        <v>7.0285051304289778</v>
      </c>
      <c r="U106" s="772">
        <f ca="1">+'Phase I Pro Forma'!U105/1000000</f>
        <v>7.1541089657351211</v>
      </c>
      <c r="V106" s="772">
        <f ca="1">+'Phase I Pro Forma'!V105/1000000</f>
        <v>7.3403151285049333</v>
      </c>
      <c r="W106" s="772">
        <f ca="1">+'Phase I Pro Forma'!W105/1000000</f>
        <v>7.4735682373812189</v>
      </c>
      <c r="X106" s="772">
        <f ca="1">+'Phase I Pro Forma'!X105/1000000</f>
        <v>7.6108189395237948</v>
      </c>
      <c r="Y106" s="772">
        <f ca="1">+'Phase I Pro Forma'!Y105/1000000</f>
        <v>7.8101580593832196</v>
      </c>
      <c r="Z106" s="772">
        <f ca="1">+'Phase I Pro Forma'!Z105/1000000</f>
        <v>7.9557673292862789</v>
      </c>
    </row>
    <row r="107" spans="2:26" x14ac:dyDescent="0.2">
      <c r="B107" s="136" t="s">
        <v>253</v>
      </c>
      <c r="C107" s="136"/>
      <c r="D107" s="136"/>
      <c r="E107" s="136"/>
      <c r="F107" s="773">
        <f ca="1">+'Phase I Pro Forma'!F106/1000000</f>
        <v>0</v>
      </c>
      <c r="G107" s="773">
        <f ca="1">+'Phase I Pro Forma'!G106/1000000</f>
        <v>0</v>
      </c>
      <c r="H107" s="773">
        <f ca="1">+'Phase I Pro Forma'!H106/1000000</f>
        <v>0</v>
      </c>
      <c r="I107" s="773">
        <f ca="1">+'Phase I Pro Forma'!I106/1000000</f>
        <v>7.253708436751964</v>
      </c>
      <c r="J107" s="773">
        <f ca="1">+'Phase I Pro Forma'!J106/1000000</f>
        <v>14.650661783723194</v>
      </c>
      <c r="K107" s="773">
        <f ca="1">+'Phase I Pro Forma'!K106/1000000</f>
        <v>14.744122833262187</v>
      </c>
      <c r="L107" s="773">
        <f ca="1">+'Phase I Pro Forma'!L106/1000000</f>
        <v>15.726136322287347</v>
      </c>
      <c r="M107" s="773">
        <f ca="1">+'Phase I Pro Forma'!M106/1000000</f>
        <v>15.878845297458399</v>
      </c>
      <c r="N107" s="773">
        <f ca="1">+'Phase I Pro Forma'!N106/1000000</f>
        <v>15.980972709737991</v>
      </c>
      <c r="O107" s="773">
        <f ca="1">+'Phase I Pro Forma'!O106/1000000</f>
        <v>16.086163944385973</v>
      </c>
      <c r="P107" s="773">
        <f ca="1">+'Phase I Pro Forma'!P106/1000000</f>
        <v>16.24913818674283</v>
      </c>
      <c r="Q107" s="773">
        <f ca="1">+'Phase I Pro Forma'!Q106/1000000</f>
        <v>17.33505903638088</v>
      </c>
      <c r="R107" s="773">
        <f ca="1">+'Phase I Pro Forma'!R106/1000000</f>
        <v>17.45000433864406</v>
      </c>
      <c r="S107" s="773">
        <f ca="1">+'Phase I Pro Forma'!S106/1000000</f>
        <v>17.624117816057968</v>
      </c>
      <c r="T107" s="773">
        <f ca="1">+'Phase I Pro Forma'!T106/1000000</f>
        <v>17.746063287228981</v>
      </c>
      <c r="U107" s="773">
        <f ca="1">+'Phase I Pro Forma'!U106/1000000</f>
        <v>17.871667122535126</v>
      </c>
      <c r="V107" s="773">
        <f ca="1">+'Phase I Pro Forma'!V106/1000000</f>
        <v>19.129629100984939</v>
      </c>
      <c r="W107" s="773">
        <f ca="1">+'Phase I Pro Forma'!W106/1000000</f>
        <v>19.262882209861221</v>
      </c>
      <c r="X107" s="773">
        <f ca="1">+'Phase I Pro Forma'!X106/1000000</f>
        <v>19.400132912003802</v>
      </c>
      <c r="Y107" s="773">
        <f ca="1">+'Phase I Pro Forma'!Y106/1000000</f>
        <v>19.599472031863225</v>
      </c>
      <c r="Z107" s="773">
        <f ca="1">+'Phase I Pro Forma'!Z106/1000000</f>
        <v>19.745081301766284</v>
      </c>
    </row>
    <row r="108" spans="2:26" ht="5" customHeight="1" x14ac:dyDescent="0.2"/>
    <row r="109" spans="2:26" x14ac:dyDescent="0.2">
      <c r="B109" s="32" t="s">
        <v>389</v>
      </c>
      <c r="F109" s="48">
        <f>+'Phase I Pro Forma'!F108/1000000</f>
        <v>0</v>
      </c>
      <c r="G109" s="48">
        <f>+'Phase I Pro Forma'!G108/1000000</f>
        <v>0</v>
      </c>
      <c r="H109" s="48">
        <f>+'Phase I Pro Forma'!H108/1000000</f>
        <v>0</v>
      </c>
      <c r="I109" s="48">
        <f>+'Phase I Pro Forma'!I108/1000000</f>
        <v>1.6803496860660003</v>
      </c>
      <c r="J109" s="48">
        <f>+'Phase I Pro Forma'!J108/1000000</f>
        <v>3.4615203532959611</v>
      </c>
      <c r="K109" s="48">
        <f>+'Phase I Pro Forma'!K108/1000000</f>
        <v>3.5653659638948394</v>
      </c>
      <c r="L109" s="48">
        <f>+'Phase I Pro Forma'!L108/1000000</f>
        <v>3.6723269428116851</v>
      </c>
      <c r="M109" s="48">
        <f>+'Phase I Pro Forma'!M108/1000000</f>
        <v>3.7824967510960357</v>
      </c>
      <c r="N109" s="48">
        <f>+'Phase I Pro Forma'!N108/1000000</f>
        <v>3.8959716536289171</v>
      </c>
      <c r="O109" s="48">
        <f>+'Phase I Pro Forma'!O108/1000000</f>
        <v>4.012850803237785</v>
      </c>
      <c r="P109" s="48">
        <f>+'Phase I Pro Forma'!P108/1000000</f>
        <v>4.1332363273349184</v>
      </c>
      <c r="Q109" s="48">
        <f>+'Phase I Pro Forma'!Q108/1000000</f>
        <v>4.2572334171549659</v>
      </c>
      <c r="R109" s="48">
        <f>+'Phase I Pro Forma'!R108/1000000</f>
        <v>4.3849504196696145</v>
      </c>
      <c r="S109" s="48">
        <f>+'Phase I Pro Forma'!S108/1000000</f>
        <v>4.5164989322597027</v>
      </c>
      <c r="T109" s="48">
        <f>+'Phase I Pro Forma'!T108/1000000</f>
        <v>4.6519939002274953</v>
      </c>
      <c r="U109" s="48">
        <f>+'Phase I Pro Forma'!U108/1000000</f>
        <v>4.7915537172343203</v>
      </c>
      <c r="V109" s="48">
        <f>+'Phase I Pro Forma'!V108/1000000</f>
        <v>4.9353003287513495</v>
      </c>
      <c r="W109" s="48">
        <f>+'Phase I Pro Forma'!W108/1000000</f>
        <v>5.0833593386138904</v>
      </c>
      <c r="X109" s="48">
        <f>+'Phase I Pro Forma'!X108/1000000</f>
        <v>5.2358601187723073</v>
      </c>
      <c r="Y109" s="48">
        <f>+'Phase I Pro Forma'!Y108/1000000</f>
        <v>5.3929359223354769</v>
      </c>
      <c r="Z109" s="48">
        <f>+'Phase I Pro Forma'!Z108/1000000</f>
        <v>5.5547240000055416</v>
      </c>
    </row>
    <row r="110" spans="2:26" x14ac:dyDescent="0.2">
      <c r="B110" s="32" t="s">
        <v>325</v>
      </c>
      <c r="F110" s="772">
        <f ca="1">+'Phase I Pro Forma'!F109/1000000</f>
        <v>0</v>
      </c>
      <c r="G110" s="772">
        <f ca="1">+'Phase I Pro Forma'!G109/1000000</f>
        <v>0</v>
      </c>
      <c r="H110" s="772">
        <f ca="1">+'Phase I Pro Forma'!H109/1000000</f>
        <v>0</v>
      </c>
      <c r="I110" s="772">
        <f ca="1">+'Phase I Pro Forma'!I109/1000000</f>
        <v>1.4585007547695141</v>
      </c>
      <c r="J110" s="772">
        <f ca="1">+'Phase I Pro Forma'!J109/1000000</f>
        <v>2.9753415397298091</v>
      </c>
      <c r="K110" s="772">
        <f ca="1">+'Phase I Pro Forma'!K109/1000000</f>
        <v>2.9753415397298091</v>
      </c>
      <c r="L110" s="772">
        <f ca="1">+'Phase I Pro Forma'!L109/1000000</f>
        <v>2.9753415397298091</v>
      </c>
      <c r="M110" s="772">
        <f ca="1">+'Phase I Pro Forma'!M109/1000000</f>
        <v>3.0348483705244056</v>
      </c>
      <c r="N110" s="772">
        <f ca="1">+'Phase I Pro Forma'!N109/1000000</f>
        <v>3.0348483705244056</v>
      </c>
      <c r="O110" s="772">
        <f ca="1">+'Phase I Pro Forma'!O109/1000000</f>
        <v>3.0348483705244056</v>
      </c>
      <c r="P110" s="772">
        <f ca="1">+'Phase I Pro Forma'!P109/1000000</f>
        <v>3.0955453379348934</v>
      </c>
      <c r="Q110" s="772">
        <f ca="1">+'Phase I Pro Forma'!Q109/1000000</f>
        <v>3.0955453379348934</v>
      </c>
      <c r="R110" s="772">
        <f ca="1">+'Phase I Pro Forma'!R109/1000000</f>
        <v>3.0955453379348934</v>
      </c>
      <c r="S110" s="772">
        <f ca="1">+'Phase I Pro Forma'!S109/1000000</f>
        <v>3.1574562446935919</v>
      </c>
      <c r="T110" s="772">
        <f ca="1">+'Phase I Pro Forma'!T109/1000000</f>
        <v>3.1574562446935919</v>
      </c>
      <c r="U110" s="772">
        <f ca="1">+'Phase I Pro Forma'!U109/1000000</f>
        <v>3.1574562446935919</v>
      </c>
      <c r="V110" s="772">
        <f ca="1">+'Phase I Pro Forma'!V109/1000000</f>
        <v>3.2206053695874637</v>
      </c>
      <c r="W110" s="772">
        <f ca="1">+'Phase I Pro Forma'!W109/1000000</f>
        <v>3.2206053695874637</v>
      </c>
      <c r="X110" s="772">
        <f ca="1">+'Phase I Pro Forma'!X109/1000000</f>
        <v>3.2206053695874637</v>
      </c>
      <c r="Y110" s="772">
        <f ca="1">+'Phase I Pro Forma'!Y109/1000000</f>
        <v>3.2850174769792124</v>
      </c>
      <c r="Z110" s="772">
        <f ca="1">+'Phase I Pro Forma'!Z109/1000000</f>
        <v>3.2850174769792124</v>
      </c>
    </row>
    <row r="111" spans="2:26" x14ac:dyDescent="0.2">
      <c r="B111" s="136" t="s">
        <v>249</v>
      </c>
      <c r="C111" s="136"/>
      <c r="D111" s="136"/>
      <c r="E111" s="136"/>
      <c r="F111" s="773">
        <f ca="1">+'Phase I Pro Forma'!F110/1000000</f>
        <v>0</v>
      </c>
      <c r="G111" s="773">
        <f ca="1">+'Phase I Pro Forma'!G110/1000000</f>
        <v>0</v>
      </c>
      <c r="H111" s="773">
        <f ca="1">+'Phase I Pro Forma'!H110/1000000</f>
        <v>0</v>
      </c>
      <c r="I111" s="773">
        <f ca="1">+'Phase I Pro Forma'!I110/1000000</f>
        <v>3.138850440835514</v>
      </c>
      <c r="J111" s="773">
        <f ca="1">+'Phase I Pro Forma'!J110/1000000</f>
        <v>6.4368618930257702</v>
      </c>
      <c r="K111" s="773">
        <f ca="1">+'Phase I Pro Forma'!K110/1000000</f>
        <v>6.540707503624648</v>
      </c>
      <c r="L111" s="773">
        <f ca="1">+'Phase I Pro Forma'!L110/1000000</f>
        <v>6.6476684825414942</v>
      </c>
      <c r="M111" s="773">
        <f ca="1">+'Phase I Pro Forma'!M110/1000000</f>
        <v>6.8173451216204413</v>
      </c>
      <c r="N111" s="773">
        <f ca="1">+'Phase I Pro Forma'!N110/1000000</f>
        <v>6.9308200241533218</v>
      </c>
      <c r="O111" s="773">
        <f ca="1">+'Phase I Pro Forma'!O110/1000000</f>
        <v>7.0476991737621901</v>
      </c>
      <c r="P111" s="773">
        <f ca="1">+'Phase I Pro Forma'!P110/1000000</f>
        <v>7.2287816652698114</v>
      </c>
      <c r="Q111" s="773">
        <f ca="1">+'Phase I Pro Forma'!Q110/1000000</f>
        <v>7.3527787550898598</v>
      </c>
      <c r="R111" s="773">
        <f ca="1">+'Phase I Pro Forma'!R110/1000000</f>
        <v>7.4804957576045075</v>
      </c>
      <c r="S111" s="773">
        <f ca="1">+'Phase I Pro Forma'!S110/1000000</f>
        <v>7.673955176953295</v>
      </c>
      <c r="T111" s="773">
        <f ca="1">+'Phase I Pro Forma'!T110/1000000</f>
        <v>7.8094501449210867</v>
      </c>
      <c r="U111" s="773">
        <f ca="1">+'Phase I Pro Forma'!U110/1000000</f>
        <v>7.9490099619279109</v>
      </c>
      <c r="V111" s="773">
        <f ca="1">+'Phase I Pro Forma'!V110/1000000</f>
        <v>8.155905698338815</v>
      </c>
      <c r="W111" s="773">
        <f ca="1">+'Phase I Pro Forma'!W110/1000000</f>
        <v>8.3039647082013541</v>
      </c>
      <c r="X111" s="773">
        <f ca="1">+'Phase I Pro Forma'!X110/1000000</f>
        <v>8.4564654883597719</v>
      </c>
      <c r="Y111" s="773">
        <f ca="1">+'Phase I Pro Forma'!Y110/1000000</f>
        <v>8.6779533993146885</v>
      </c>
      <c r="Z111" s="773">
        <f ca="1">+'Phase I Pro Forma'!Z110/1000000</f>
        <v>8.839741476984754</v>
      </c>
    </row>
    <row r="112" spans="2:26" ht="5" customHeight="1" x14ac:dyDescent="0.2">
      <c r="B112" s="32"/>
    </row>
    <row r="113" spans="2:26" x14ac:dyDescent="0.2">
      <c r="B113" s="777" t="s">
        <v>248</v>
      </c>
      <c r="C113" s="777"/>
      <c r="D113" s="777"/>
      <c r="E113" s="777"/>
      <c r="F113" s="778">
        <f ca="1">+F107-F111</f>
        <v>0</v>
      </c>
      <c r="G113" s="778">
        <f t="shared" ref="G113:Z113" ca="1" si="29">+G107-G111</f>
        <v>0</v>
      </c>
      <c r="H113" s="778">
        <f t="shared" ca="1" si="29"/>
        <v>0</v>
      </c>
      <c r="I113" s="778">
        <f t="shared" ca="1" si="29"/>
        <v>4.1148579959164504</v>
      </c>
      <c r="J113" s="778">
        <f t="shared" ca="1" si="29"/>
        <v>8.2137998906974232</v>
      </c>
      <c r="K113" s="778">
        <f t="shared" ca="1" si="29"/>
        <v>8.2034153296375401</v>
      </c>
      <c r="L113" s="778">
        <f t="shared" ca="1" si="29"/>
        <v>9.0784678397458531</v>
      </c>
      <c r="M113" s="778">
        <f t="shared" ca="1" si="29"/>
        <v>9.0615001758379581</v>
      </c>
      <c r="N113" s="778">
        <f t="shared" ca="1" si="29"/>
        <v>9.0501526855846688</v>
      </c>
      <c r="O113" s="778">
        <f t="shared" ca="1" si="29"/>
        <v>9.0384647706237828</v>
      </c>
      <c r="P113" s="778">
        <f t="shared" ca="1" si="29"/>
        <v>9.020356521473019</v>
      </c>
      <c r="Q113" s="778">
        <f t="shared" ca="1" si="29"/>
        <v>9.9822802812910201</v>
      </c>
      <c r="R113" s="778">
        <f t="shared" ca="1" si="29"/>
        <v>9.9695085810395518</v>
      </c>
      <c r="S113" s="778">
        <f t="shared" ca="1" si="29"/>
        <v>9.950162639104672</v>
      </c>
      <c r="T113" s="778">
        <f t="shared" ca="1" si="29"/>
        <v>9.9366131423078947</v>
      </c>
      <c r="U113" s="778">
        <f t="shared" ca="1" si="29"/>
        <v>9.9226571606072156</v>
      </c>
      <c r="V113" s="778">
        <f t="shared" ca="1" si="29"/>
        <v>10.973723402646124</v>
      </c>
      <c r="W113" s="778">
        <f t="shared" ca="1" si="29"/>
        <v>10.958917501659867</v>
      </c>
      <c r="X113" s="778">
        <f t="shared" ca="1" si="29"/>
        <v>10.94366742364403</v>
      </c>
      <c r="Y113" s="778">
        <f t="shared" ca="1" si="29"/>
        <v>10.921518632548537</v>
      </c>
      <c r="Z113" s="778">
        <f t="shared" ca="1" si="29"/>
        <v>10.90533982478153</v>
      </c>
    </row>
    <row r="114" spans="2:26" x14ac:dyDescent="0.2">
      <c r="B114" s="779" t="s">
        <v>254</v>
      </c>
      <c r="C114" s="780"/>
      <c r="D114" s="780"/>
      <c r="E114" s="780"/>
      <c r="F114" s="781" t="str">
        <f ca="1">+IFERROR(F113/F107,"")</f>
        <v/>
      </c>
      <c r="G114" s="781" t="str">
        <f t="shared" ref="G114:Z114" ca="1" si="30">+IFERROR(G113/G107,"")</f>
        <v/>
      </c>
      <c r="H114" s="781" t="str">
        <f t="shared" ca="1" si="30"/>
        <v/>
      </c>
      <c r="I114" s="782">
        <f t="shared" ca="1" si="30"/>
        <v>0.56727645338871446</v>
      </c>
      <c r="J114" s="782">
        <f t="shared" ca="1" si="30"/>
        <v>0.5606436085926787</v>
      </c>
      <c r="K114" s="782">
        <f t="shared" ca="1" si="30"/>
        <v>0.55638544404492773</v>
      </c>
      <c r="L114" s="782">
        <f t="shared" ca="1" si="30"/>
        <v>0.5772853327539641</v>
      </c>
      <c r="M114" s="782">
        <f t="shared" ca="1" si="30"/>
        <v>0.57066493224720571</v>
      </c>
      <c r="N114" s="782">
        <f t="shared" ca="1" si="30"/>
        <v>0.56630799951682331</v>
      </c>
      <c r="O114" s="782">
        <f t="shared" ca="1" si="30"/>
        <v>0.56187819556434282</v>
      </c>
      <c r="P114" s="782">
        <f t="shared" ca="1" si="30"/>
        <v>0.55512830390183088</v>
      </c>
      <c r="Q114" s="782">
        <f t="shared" ca="1" si="30"/>
        <v>0.57584345460499031</v>
      </c>
      <c r="R114" s="782">
        <f t="shared" ca="1" si="30"/>
        <v>0.57131840127749933</v>
      </c>
      <c r="S114" s="782">
        <f t="shared" ca="1" si="30"/>
        <v>0.56457649358419071</v>
      </c>
      <c r="T114" s="782">
        <f t="shared" ca="1" si="30"/>
        <v>0.55993337685540734</v>
      </c>
      <c r="U114" s="782">
        <f t="shared" ca="1" si="30"/>
        <v>0.55521721015580727</v>
      </c>
      <c r="V114" s="782">
        <f t="shared" ca="1" si="30"/>
        <v>0.57365060998914574</v>
      </c>
      <c r="W114" s="782">
        <f t="shared" ca="1" si="30"/>
        <v>0.56891369537886094</v>
      </c>
      <c r="X114" s="782">
        <f t="shared" ca="1" si="30"/>
        <v>0.56410270348574021</v>
      </c>
      <c r="Y114" s="782">
        <f t="shared" ca="1" si="30"/>
        <v>0.55723534872741576</v>
      </c>
      <c r="Z114" s="782">
        <f t="shared" ca="1" si="30"/>
        <v>0.5523066559268105</v>
      </c>
    </row>
    <row r="115" spans="2:26" x14ac:dyDescent="0.2">
      <c r="B115" s="779" t="s">
        <v>188</v>
      </c>
      <c r="C115" s="780"/>
      <c r="D115" s="780"/>
      <c r="E115" s="780"/>
      <c r="F115" s="783">
        <f ca="1">+'Phase I Pro Forma'!F114/1000000</f>
        <v>0</v>
      </c>
      <c r="G115" s="783">
        <f ca="1">+'Phase I Pro Forma'!G114/1000000</f>
        <v>0</v>
      </c>
      <c r="H115" s="783">
        <f ca="1">+'Phase I Pro Forma'!H114/1000000</f>
        <v>0</v>
      </c>
      <c r="I115" s="783">
        <f ca="1">+'Phase I Pro Forma'!I114/1000000</f>
        <v>63.305507629483834</v>
      </c>
      <c r="J115" s="783">
        <f ca="1">+'Phase I Pro Forma'!J114/1000000</f>
        <v>126.36615216457575</v>
      </c>
      <c r="K115" s="783">
        <f ca="1">+'Phase I Pro Forma'!K114/1000000</f>
        <v>126.20638968673136</v>
      </c>
      <c r="L115" s="783">
        <f ca="1">+'Phase I Pro Forma'!L114/1000000</f>
        <v>139.66873599609005</v>
      </c>
      <c r="M115" s="783">
        <f ca="1">+'Phase I Pro Forma'!M114/1000000</f>
        <v>139.40769501289165</v>
      </c>
      <c r="N115" s="783">
        <f ca="1">+'Phase I Pro Forma'!N114/1000000</f>
        <v>139.23311823976411</v>
      </c>
      <c r="O115" s="783">
        <f ca="1">+'Phase I Pro Forma'!O114/1000000</f>
        <v>139.05330416344279</v>
      </c>
      <c r="P115" s="783">
        <f ca="1">+'Phase I Pro Forma'!P114/1000000</f>
        <v>138.77471571496955</v>
      </c>
      <c r="Q115" s="783">
        <f ca="1">+'Phase I Pro Forma'!Q114/1000000</f>
        <v>153.57354278909261</v>
      </c>
      <c r="R115" s="783">
        <f ca="1">+'Phase I Pro Forma'!R114/1000000</f>
        <v>153.37705509291618</v>
      </c>
      <c r="S115" s="783">
        <f ca="1">+'Phase I Pro Forma'!S114/1000000</f>
        <v>153.07942521699496</v>
      </c>
      <c r="T115" s="783">
        <f ca="1">+'Phase I Pro Forma'!T114/1000000</f>
        <v>152.87097142012146</v>
      </c>
      <c r="U115" s="783">
        <f ca="1">+'Phase I Pro Forma'!U114/1000000</f>
        <v>152.65626400934175</v>
      </c>
      <c r="V115" s="783">
        <f ca="1">+'Phase I Pro Forma'!V114/1000000</f>
        <v>168.82651388686344</v>
      </c>
      <c r="W115" s="783">
        <f ca="1">+'Phase I Pro Forma'!W114/1000000</f>
        <v>168.59873079476719</v>
      </c>
      <c r="X115" s="783">
        <f ca="1">+'Phase I Pro Forma'!X114/1000000</f>
        <v>168.36411420990814</v>
      </c>
      <c r="Y115" s="783">
        <f ca="1">+'Phase I Pro Forma'!Y114/1000000</f>
        <v>168.02336357766976</v>
      </c>
      <c r="Z115" s="783">
        <f ca="1">+'Phase I Pro Forma'!Z114/1000000</f>
        <v>167.77445884279274</v>
      </c>
    </row>
    <row r="116" spans="2:26" ht="5" customHeight="1" x14ac:dyDescent="0.2"/>
    <row r="117" spans="2:26" x14ac:dyDescent="0.2">
      <c r="B117" s="147" t="s">
        <v>221</v>
      </c>
      <c r="C117" s="148"/>
      <c r="D117" s="148"/>
      <c r="E117" s="148"/>
      <c r="F117" s="776">
        <f>+F96</f>
        <v>44196</v>
      </c>
      <c r="G117" s="776">
        <f t="shared" ref="G117:Z117" si="31">+G96</f>
        <v>44561</v>
      </c>
      <c r="H117" s="776">
        <f t="shared" si="31"/>
        <v>44926</v>
      </c>
      <c r="I117" s="776">
        <f t="shared" si="31"/>
        <v>45291</v>
      </c>
      <c r="J117" s="776">
        <f t="shared" si="31"/>
        <v>45657</v>
      </c>
      <c r="K117" s="776">
        <f t="shared" si="31"/>
        <v>46022</v>
      </c>
      <c r="L117" s="776">
        <f t="shared" si="31"/>
        <v>46387</v>
      </c>
      <c r="M117" s="776">
        <f t="shared" si="31"/>
        <v>46752</v>
      </c>
      <c r="N117" s="776">
        <f t="shared" si="31"/>
        <v>47118</v>
      </c>
      <c r="O117" s="776">
        <f t="shared" si="31"/>
        <v>47483</v>
      </c>
      <c r="P117" s="776">
        <f t="shared" si="31"/>
        <v>47848</v>
      </c>
      <c r="Q117" s="776">
        <f t="shared" si="31"/>
        <v>48213</v>
      </c>
      <c r="R117" s="776">
        <f t="shared" si="31"/>
        <v>48579</v>
      </c>
      <c r="S117" s="776">
        <f t="shared" si="31"/>
        <v>48944</v>
      </c>
      <c r="T117" s="776">
        <f t="shared" si="31"/>
        <v>49309</v>
      </c>
      <c r="U117" s="776">
        <f t="shared" si="31"/>
        <v>49674</v>
      </c>
      <c r="V117" s="776">
        <f t="shared" si="31"/>
        <v>50040</v>
      </c>
      <c r="W117" s="776">
        <f t="shared" si="31"/>
        <v>50405</v>
      </c>
      <c r="X117" s="776">
        <f t="shared" si="31"/>
        <v>50770</v>
      </c>
      <c r="Y117" s="776">
        <f t="shared" si="31"/>
        <v>51135</v>
      </c>
      <c r="Z117" s="776">
        <f t="shared" si="31"/>
        <v>51501</v>
      </c>
    </row>
    <row r="118" spans="2:26" hidden="1" x14ac:dyDescent="0.2">
      <c r="B118" s="788" t="s">
        <v>756</v>
      </c>
      <c r="C118" s="788"/>
      <c r="D118" s="791"/>
      <c r="E118" s="791"/>
      <c r="F118" s="789">
        <f>+'Phase I Pro Forma'!F117/1000000</f>
        <v>0</v>
      </c>
      <c r="G118" s="789">
        <f>+'Phase I Pro Forma'!G117/1000000</f>
        <v>0</v>
      </c>
      <c r="H118" s="789">
        <f>+'Phase I Pro Forma'!H117/1000000</f>
        <v>0</v>
      </c>
      <c r="I118" s="789">
        <f>+'Phase I Pro Forma'!I117/1000000</f>
        <v>4.1500000000000002E-2</v>
      </c>
      <c r="J118" s="789">
        <f>+'Phase I Pro Forma'!J117/1000000</f>
        <v>4.1500000000000002E-2</v>
      </c>
      <c r="K118" s="789">
        <f>+'Phase I Pro Forma'!K117/1000000</f>
        <v>0</v>
      </c>
      <c r="L118" s="789">
        <f>+'Phase I Pro Forma'!L117/1000000</f>
        <v>0</v>
      </c>
      <c r="M118" s="789">
        <f>+'Phase I Pro Forma'!M117/1000000</f>
        <v>0</v>
      </c>
      <c r="N118" s="789">
        <f>+'Phase I Pro Forma'!N117/1000000</f>
        <v>0</v>
      </c>
      <c r="O118" s="789">
        <f>+'Phase I Pro Forma'!O117/1000000</f>
        <v>0</v>
      </c>
      <c r="P118" s="789">
        <f>+'Phase I Pro Forma'!P117/1000000</f>
        <v>0</v>
      </c>
      <c r="Q118" s="789">
        <f>+'Phase I Pro Forma'!Q117/1000000</f>
        <v>0</v>
      </c>
      <c r="R118" s="789">
        <f>+'Phase I Pro Forma'!R117/1000000</f>
        <v>0</v>
      </c>
      <c r="S118" s="789">
        <f>+'Phase I Pro Forma'!S117/1000000</f>
        <v>0</v>
      </c>
      <c r="T118" s="789">
        <f>+'Phase I Pro Forma'!T117/1000000</f>
        <v>0</v>
      </c>
      <c r="U118" s="789">
        <f>+'Phase I Pro Forma'!U117/1000000</f>
        <v>0</v>
      </c>
      <c r="V118" s="789">
        <f>+'Phase I Pro Forma'!V117/1000000</f>
        <v>0</v>
      </c>
      <c r="W118" s="789">
        <f>+'Phase I Pro Forma'!W117/1000000</f>
        <v>0</v>
      </c>
      <c r="X118" s="789">
        <f>+'Phase I Pro Forma'!X117/1000000</f>
        <v>0</v>
      </c>
      <c r="Y118" s="789">
        <f>+'Phase I Pro Forma'!Y117/1000000</f>
        <v>0</v>
      </c>
      <c r="Z118" s="789">
        <f>+'Phase I Pro Forma'!Z117/1000000</f>
        <v>0</v>
      </c>
    </row>
    <row r="119" spans="2:26" x14ac:dyDescent="0.2">
      <c r="B119" s="32" t="s">
        <v>490</v>
      </c>
      <c r="C119" s="32"/>
      <c r="D119" s="41"/>
      <c r="E119" s="41"/>
      <c r="F119" s="41">
        <f>+F120-E120</f>
        <v>0</v>
      </c>
      <c r="G119" s="41">
        <f t="shared" ref="G119:Z119" si="32">+G120-F120</f>
        <v>0</v>
      </c>
      <c r="H119" s="41">
        <f t="shared" si="32"/>
        <v>0</v>
      </c>
      <c r="I119" s="41">
        <f t="shared" si="32"/>
        <v>125.75757575757575</v>
      </c>
      <c r="J119" s="41">
        <f t="shared" si="32"/>
        <v>125.75757575757575</v>
      </c>
      <c r="K119" s="41">
        <f t="shared" si="32"/>
        <v>0</v>
      </c>
      <c r="L119" s="41">
        <f t="shared" si="32"/>
        <v>0</v>
      </c>
      <c r="M119" s="41">
        <f t="shared" si="32"/>
        <v>0</v>
      </c>
      <c r="N119" s="41">
        <f t="shared" si="32"/>
        <v>0</v>
      </c>
      <c r="O119" s="41">
        <f t="shared" si="32"/>
        <v>0</v>
      </c>
      <c r="P119" s="41">
        <f t="shared" si="32"/>
        <v>0</v>
      </c>
      <c r="Q119" s="41">
        <f t="shared" si="32"/>
        <v>0</v>
      </c>
      <c r="R119" s="41">
        <f t="shared" si="32"/>
        <v>0</v>
      </c>
      <c r="S119" s="41">
        <f t="shared" si="32"/>
        <v>0</v>
      </c>
      <c r="T119" s="41">
        <f t="shared" si="32"/>
        <v>0</v>
      </c>
      <c r="U119" s="41">
        <f t="shared" si="32"/>
        <v>0</v>
      </c>
      <c r="V119" s="41">
        <f t="shared" si="32"/>
        <v>0</v>
      </c>
      <c r="W119" s="41">
        <f t="shared" si="32"/>
        <v>0</v>
      </c>
      <c r="X119" s="41">
        <f t="shared" si="32"/>
        <v>0</v>
      </c>
      <c r="Y119" s="41">
        <f t="shared" si="32"/>
        <v>0</v>
      </c>
      <c r="Z119" s="41">
        <f t="shared" si="32"/>
        <v>0</v>
      </c>
    </row>
    <row r="120" spans="2:26" hidden="1" x14ac:dyDescent="0.2">
      <c r="B120" s="788" t="s">
        <v>247</v>
      </c>
      <c r="C120" s="788"/>
      <c r="D120" s="791"/>
      <c r="E120" s="791"/>
      <c r="F120" s="789">
        <f>+'Phase I Pro Forma'!F119</f>
        <v>0</v>
      </c>
      <c r="G120" s="789">
        <f>+'Phase I Pro Forma'!G119</f>
        <v>0</v>
      </c>
      <c r="H120" s="789">
        <f>+'Phase I Pro Forma'!H119</f>
        <v>0</v>
      </c>
      <c r="I120" s="789">
        <f>+'Phase I Pro Forma'!I119</f>
        <v>125.75757575757575</v>
      </c>
      <c r="J120" s="789">
        <f>+'Phase I Pro Forma'!J119</f>
        <v>251.5151515151515</v>
      </c>
      <c r="K120" s="789">
        <f>+'Phase I Pro Forma'!K119</f>
        <v>251.5151515151515</v>
      </c>
      <c r="L120" s="789">
        <f>+'Phase I Pro Forma'!L119</f>
        <v>251.5151515151515</v>
      </c>
      <c r="M120" s="789">
        <f>+'Phase I Pro Forma'!M119</f>
        <v>251.5151515151515</v>
      </c>
      <c r="N120" s="789">
        <f>+'Phase I Pro Forma'!N119</f>
        <v>251.5151515151515</v>
      </c>
      <c r="O120" s="789">
        <f>+'Phase I Pro Forma'!O119</f>
        <v>251.5151515151515</v>
      </c>
      <c r="P120" s="789">
        <f>+'Phase I Pro Forma'!P119</f>
        <v>251.5151515151515</v>
      </c>
      <c r="Q120" s="789">
        <f>+'Phase I Pro Forma'!Q119</f>
        <v>251.5151515151515</v>
      </c>
      <c r="R120" s="789">
        <f>+'Phase I Pro Forma'!R119</f>
        <v>251.5151515151515</v>
      </c>
      <c r="S120" s="789">
        <f>+'Phase I Pro Forma'!S119</f>
        <v>251.5151515151515</v>
      </c>
      <c r="T120" s="789">
        <f>+'Phase I Pro Forma'!T119</f>
        <v>251.5151515151515</v>
      </c>
      <c r="U120" s="789">
        <f>+'Phase I Pro Forma'!U119</f>
        <v>251.5151515151515</v>
      </c>
      <c r="V120" s="789">
        <f>+'Phase I Pro Forma'!V119</f>
        <v>251.5151515151515</v>
      </c>
      <c r="W120" s="789">
        <f>+'Phase I Pro Forma'!W119</f>
        <v>251.5151515151515</v>
      </c>
      <c r="X120" s="789">
        <f>+'Phase I Pro Forma'!X119</f>
        <v>251.5151515151515</v>
      </c>
      <c r="Y120" s="789">
        <f>+'Phase I Pro Forma'!Y119</f>
        <v>251.5151515151515</v>
      </c>
      <c r="Z120" s="789">
        <f>+'Phase I Pro Forma'!Z119</f>
        <v>251.5151515151515</v>
      </c>
    </row>
    <row r="121" spans="2:26" hidden="1" x14ac:dyDescent="0.2">
      <c r="B121" s="788" t="s">
        <v>784</v>
      </c>
      <c r="C121" s="788"/>
      <c r="D121" s="789">
        <v>0</v>
      </c>
      <c r="E121" s="789"/>
      <c r="F121" s="789">
        <f>+D121+F118</f>
        <v>0</v>
      </c>
      <c r="G121" s="789">
        <f t="shared" ref="G121:Z121" si="33">+F121+G118</f>
        <v>0</v>
      </c>
      <c r="H121" s="789">
        <f t="shared" si="33"/>
        <v>0</v>
      </c>
      <c r="I121" s="789">
        <f t="shared" si="33"/>
        <v>4.1500000000000002E-2</v>
      </c>
      <c r="J121" s="789">
        <f t="shared" si="33"/>
        <v>8.3000000000000004E-2</v>
      </c>
      <c r="K121" s="789">
        <f t="shared" si="33"/>
        <v>8.3000000000000004E-2</v>
      </c>
      <c r="L121" s="789">
        <f t="shared" si="33"/>
        <v>8.3000000000000004E-2</v>
      </c>
      <c r="M121" s="789">
        <f t="shared" si="33"/>
        <v>8.3000000000000004E-2</v>
      </c>
      <c r="N121" s="789">
        <f t="shared" si="33"/>
        <v>8.3000000000000004E-2</v>
      </c>
      <c r="O121" s="789">
        <f t="shared" si="33"/>
        <v>8.3000000000000004E-2</v>
      </c>
      <c r="P121" s="789">
        <f t="shared" si="33"/>
        <v>8.3000000000000004E-2</v>
      </c>
      <c r="Q121" s="789">
        <f t="shared" si="33"/>
        <v>8.3000000000000004E-2</v>
      </c>
      <c r="R121" s="789">
        <f t="shared" si="33"/>
        <v>8.3000000000000004E-2</v>
      </c>
      <c r="S121" s="789">
        <f t="shared" si="33"/>
        <v>8.3000000000000004E-2</v>
      </c>
      <c r="T121" s="789">
        <f t="shared" si="33"/>
        <v>8.3000000000000004E-2</v>
      </c>
      <c r="U121" s="789">
        <f t="shared" si="33"/>
        <v>8.3000000000000004E-2</v>
      </c>
      <c r="V121" s="789">
        <f t="shared" si="33"/>
        <v>8.3000000000000004E-2</v>
      </c>
      <c r="W121" s="789">
        <f t="shared" si="33"/>
        <v>8.3000000000000004E-2</v>
      </c>
      <c r="X121" s="789">
        <f t="shared" si="33"/>
        <v>8.3000000000000004E-2</v>
      </c>
      <c r="Y121" s="789">
        <f t="shared" si="33"/>
        <v>8.3000000000000004E-2</v>
      </c>
      <c r="Z121" s="789">
        <f t="shared" si="33"/>
        <v>8.3000000000000004E-2</v>
      </c>
    </row>
    <row r="122" spans="2:26" hidden="1" x14ac:dyDescent="0.2">
      <c r="B122" s="788" t="s">
        <v>301</v>
      </c>
      <c r="C122" s="788"/>
      <c r="D122" s="789"/>
      <c r="E122" s="789"/>
      <c r="F122" s="790">
        <f t="shared" ref="F122:Z122" si="34">+F121/SUM($F118:$Z118)</f>
        <v>0</v>
      </c>
      <c r="G122" s="790">
        <f t="shared" si="34"/>
        <v>0</v>
      </c>
      <c r="H122" s="790">
        <f t="shared" si="34"/>
        <v>0</v>
      </c>
      <c r="I122" s="790">
        <f t="shared" si="34"/>
        <v>0.5</v>
      </c>
      <c r="J122" s="790">
        <f t="shared" si="34"/>
        <v>1</v>
      </c>
      <c r="K122" s="790">
        <f t="shared" si="34"/>
        <v>1</v>
      </c>
      <c r="L122" s="790">
        <f t="shared" si="34"/>
        <v>1</v>
      </c>
      <c r="M122" s="790">
        <f t="shared" si="34"/>
        <v>1</v>
      </c>
      <c r="N122" s="790">
        <f t="shared" si="34"/>
        <v>1</v>
      </c>
      <c r="O122" s="790">
        <f t="shared" si="34"/>
        <v>1</v>
      </c>
      <c r="P122" s="790">
        <f t="shared" si="34"/>
        <v>1</v>
      </c>
      <c r="Q122" s="790">
        <f t="shared" si="34"/>
        <v>1</v>
      </c>
      <c r="R122" s="790">
        <f t="shared" si="34"/>
        <v>1</v>
      </c>
      <c r="S122" s="790">
        <f t="shared" si="34"/>
        <v>1</v>
      </c>
      <c r="T122" s="790">
        <f t="shared" si="34"/>
        <v>1</v>
      </c>
      <c r="U122" s="790">
        <f t="shared" si="34"/>
        <v>1</v>
      </c>
      <c r="V122" s="790">
        <f t="shared" si="34"/>
        <v>1</v>
      </c>
      <c r="W122" s="790">
        <f t="shared" si="34"/>
        <v>1</v>
      </c>
      <c r="X122" s="790">
        <f t="shared" si="34"/>
        <v>1</v>
      </c>
      <c r="Y122" s="790">
        <f t="shared" si="34"/>
        <v>1</v>
      </c>
      <c r="Z122" s="790">
        <f t="shared" si="34"/>
        <v>1</v>
      </c>
    </row>
    <row r="123" spans="2:26" hidden="1" x14ac:dyDescent="0.2">
      <c r="B123" s="788"/>
      <c r="C123" s="788"/>
      <c r="D123" s="791"/>
      <c r="E123" s="791"/>
      <c r="F123" s="792"/>
      <c r="G123" s="792"/>
      <c r="H123" s="792"/>
      <c r="I123" s="792"/>
      <c r="J123" s="792"/>
      <c r="K123" s="792"/>
      <c r="L123" s="792"/>
      <c r="M123" s="792"/>
      <c r="N123" s="792"/>
      <c r="O123" s="792"/>
      <c r="P123" s="792"/>
      <c r="Q123" s="792"/>
      <c r="R123" s="792"/>
      <c r="S123" s="792"/>
      <c r="T123" s="792"/>
      <c r="U123" s="792"/>
      <c r="V123" s="792"/>
      <c r="W123" s="792"/>
      <c r="X123" s="792"/>
      <c r="Y123" s="792"/>
      <c r="Z123" s="792"/>
    </row>
    <row r="124" spans="2:26" hidden="1" x14ac:dyDescent="0.2">
      <c r="B124" s="788" t="s">
        <v>251</v>
      </c>
      <c r="C124" s="788"/>
      <c r="D124" s="789"/>
      <c r="E124" s="789"/>
      <c r="F124" s="790">
        <f>+'Phase I Pro Forma'!F123</f>
        <v>1</v>
      </c>
      <c r="G124" s="790">
        <f>+'Phase I Pro Forma'!G123</f>
        <v>1.02</v>
      </c>
      <c r="H124" s="790">
        <f>+'Phase I Pro Forma'!H123</f>
        <v>1.0404</v>
      </c>
      <c r="I124" s="790">
        <f>+'Phase I Pro Forma'!I123</f>
        <v>1.0612079999999999</v>
      </c>
      <c r="J124" s="790">
        <f>+'Phase I Pro Forma'!J123</f>
        <v>1.08243216</v>
      </c>
      <c r="K124" s="790">
        <f>+'Phase I Pro Forma'!K123</f>
        <v>1.1040808032</v>
      </c>
      <c r="L124" s="790">
        <f>+'Phase I Pro Forma'!L123</f>
        <v>1.1261624192640001</v>
      </c>
      <c r="M124" s="790">
        <f>+'Phase I Pro Forma'!M123</f>
        <v>1.14868566764928</v>
      </c>
      <c r="N124" s="790">
        <f>+'Phase I Pro Forma'!N123</f>
        <v>1.1716593810022657</v>
      </c>
      <c r="O124" s="790">
        <f>+'Phase I Pro Forma'!O123</f>
        <v>1.1950925686223111</v>
      </c>
      <c r="P124" s="790">
        <f>+'Phase I Pro Forma'!P123</f>
        <v>1.2189944199947573</v>
      </c>
      <c r="Q124" s="790">
        <f>+'Phase I Pro Forma'!Q123</f>
        <v>1.2433743083946525</v>
      </c>
      <c r="R124" s="790">
        <f>+'Phase I Pro Forma'!R123</f>
        <v>1.2682417945625455</v>
      </c>
      <c r="S124" s="790">
        <f>+'Phase I Pro Forma'!S123</f>
        <v>1.2936066304537963</v>
      </c>
      <c r="T124" s="790">
        <f>+'Phase I Pro Forma'!T123</f>
        <v>1.3194787630628724</v>
      </c>
      <c r="U124" s="790">
        <f>+'Phase I Pro Forma'!U123</f>
        <v>1.3458683383241299</v>
      </c>
      <c r="V124" s="790">
        <f>+'Phase I Pro Forma'!V123</f>
        <v>1.3727857050906125</v>
      </c>
      <c r="W124" s="790">
        <f>+'Phase I Pro Forma'!W123</f>
        <v>1.4002414191924248</v>
      </c>
      <c r="X124" s="790">
        <f>+'Phase I Pro Forma'!X123</f>
        <v>1.4282462475762734</v>
      </c>
      <c r="Y124" s="790">
        <f>+'Phase I Pro Forma'!Y123</f>
        <v>1.4568111725277988</v>
      </c>
      <c r="Z124" s="790">
        <f>+'Phase I Pro Forma'!Z123</f>
        <v>1.4859473959783549</v>
      </c>
    </row>
    <row r="125" spans="2:26" hidden="1" x14ac:dyDescent="0.2">
      <c r="B125" s="788" t="s">
        <v>252</v>
      </c>
      <c r="C125" s="788"/>
      <c r="D125" s="789"/>
      <c r="E125" s="789"/>
      <c r="F125" s="790">
        <f>+'Phase I Pro Forma'!F124</f>
        <v>1</v>
      </c>
      <c r="G125" s="790">
        <f>+'Phase I Pro Forma'!G124</f>
        <v>1.03</v>
      </c>
      <c r="H125" s="790">
        <f>+'Phase I Pro Forma'!H124</f>
        <v>1.0609</v>
      </c>
      <c r="I125" s="790">
        <f>+'Phase I Pro Forma'!I124</f>
        <v>1.092727</v>
      </c>
      <c r="J125" s="790">
        <f>+'Phase I Pro Forma'!J124</f>
        <v>1.1255088100000001</v>
      </c>
      <c r="K125" s="790">
        <f>+'Phase I Pro Forma'!K124</f>
        <v>1.1592740743000001</v>
      </c>
      <c r="L125" s="790">
        <f>+'Phase I Pro Forma'!L124</f>
        <v>1.1940522965290001</v>
      </c>
      <c r="M125" s="790">
        <f>+'Phase I Pro Forma'!M124</f>
        <v>1.2298738654248702</v>
      </c>
      <c r="N125" s="790">
        <f>+'Phase I Pro Forma'!N124</f>
        <v>1.2667700813876164</v>
      </c>
      <c r="O125" s="790">
        <f>+'Phase I Pro Forma'!O124</f>
        <v>1.3047731838292449</v>
      </c>
      <c r="P125" s="790">
        <f>+'Phase I Pro Forma'!P124</f>
        <v>1.3439163793441222</v>
      </c>
      <c r="Q125" s="790">
        <f>+'Phase I Pro Forma'!Q124</f>
        <v>1.3842338707244459</v>
      </c>
      <c r="R125" s="790">
        <f>+'Phase I Pro Forma'!R124</f>
        <v>1.4257608868461793</v>
      </c>
      <c r="S125" s="790">
        <f>+'Phase I Pro Forma'!S124</f>
        <v>1.4685337134515648</v>
      </c>
      <c r="T125" s="790">
        <f>+'Phase I Pro Forma'!T124</f>
        <v>1.5125897248551119</v>
      </c>
      <c r="U125" s="790">
        <f>+'Phase I Pro Forma'!U124</f>
        <v>1.5579674166007653</v>
      </c>
      <c r="V125" s="790">
        <f>+'Phase I Pro Forma'!V124</f>
        <v>1.6047064390987884</v>
      </c>
      <c r="W125" s="790">
        <f>+'Phase I Pro Forma'!W124</f>
        <v>1.652847632271752</v>
      </c>
      <c r="X125" s="790">
        <f>+'Phase I Pro Forma'!X124</f>
        <v>1.7024330612399046</v>
      </c>
      <c r="Y125" s="790">
        <f>+'Phase I Pro Forma'!Y124</f>
        <v>1.7535060530771018</v>
      </c>
      <c r="Z125" s="790">
        <f>+'Phase I Pro Forma'!Z124</f>
        <v>1.806111234669415</v>
      </c>
    </row>
    <row r="126" spans="2:26" ht="5" customHeight="1" x14ac:dyDescent="0.2">
      <c r="B126" s="32"/>
      <c r="C126" s="32"/>
      <c r="D126" s="39"/>
      <c r="E126" s="39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2:26" x14ac:dyDescent="0.2">
      <c r="B127" s="32" t="s">
        <v>243</v>
      </c>
      <c r="C127" s="32"/>
      <c r="D127" s="39"/>
      <c r="E127" s="39"/>
      <c r="F127" s="48">
        <f>+'Phase I Pro Forma'!F126/1000000</f>
        <v>0</v>
      </c>
      <c r="G127" s="48">
        <f>+'Phase I Pro Forma'!G126/1000000</f>
        <v>0</v>
      </c>
      <c r="H127" s="48">
        <f>+'Phase I Pro Forma'!H126/1000000</f>
        <v>0</v>
      </c>
      <c r="I127" s="48">
        <f>+'Phase I Pro Forma'!I126/1000000</f>
        <v>0.21619701163636362</v>
      </c>
      <c r="J127" s="48">
        <f>+'Phase I Pro Forma'!J126/1000000</f>
        <v>0.44104190373818181</v>
      </c>
      <c r="K127" s="48">
        <f>+'Phase I Pro Forma'!K126/1000000</f>
        <v>0.44986274181294544</v>
      </c>
      <c r="L127" s="48">
        <f>+'Phase I Pro Forma'!L126/1000000</f>
        <v>0.4588599966492044</v>
      </c>
      <c r="M127" s="48">
        <f>+'Phase I Pro Forma'!M126/1000000</f>
        <v>0.46803719658218845</v>
      </c>
      <c r="N127" s="48">
        <f>+'Phase I Pro Forma'!N126/1000000</f>
        <v>0.47739794051383233</v>
      </c>
      <c r="O127" s="48">
        <f>+'Phase I Pro Forma'!O126/1000000</f>
        <v>0.48694589932410898</v>
      </c>
      <c r="P127" s="48">
        <f>+'Phase I Pro Forma'!P126/1000000</f>
        <v>0.49668481731059116</v>
      </c>
      <c r="Q127" s="48">
        <f>+'Phase I Pro Forma'!Q126/1000000</f>
        <v>0.50661851365680299</v>
      </c>
      <c r="R127" s="48">
        <f>+'Phase I Pro Forma'!R126/1000000</f>
        <v>0.51675088392993906</v>
      </c>
      <c r="S127" s="48">
        <f>+'Phase I Pro Forma'!S126/1000000</f>
        <v>0.52708590160853774</v>
      </c>
      <c r="T127" s="48">
        <f>+'Phase I Pro Forma'!T126/1000000</f>
        <v>0.5376276196407086</v>
      </c>
      <c r="U127" s="48">
        <f>+'Phase I Pro Forma'!U126/1000000</f>
        <v>0.54838017203352274</v>
      </c>
      <c r="V127" s="48">
        <f>+'Phase I Pro Forma'!V126/1000000</f>
        <v>0.55934777547419323</v>
      </c>
      <c r="W127" s="48">
        <f>+'Phase I Pro Forma'!W126/1000000</f>
        <v>0.57053473098367713</v>
      </c>
      <c r="X127" s="48">
        <f>+'Phase I Pro Forma'!X126/1000000</f>
        <v>0.58194542560335072</v>
      </c>
      <c r="Y127" s="48">
        <f>+'Phase I Pro Forma'!Y126/1000000</f>
        <v>0.59358433411541767</v>
      </c>
      <c r="Z127" s="48">
        <f>+'Phase I Pro Forma'!Z126/1000000</f>
        <v>0.60545602079772609</v>
      </c>
    </row>
    <row r="128" spans="2:26" x14ac:dyDescent="0.2">
      <c r="B128" s="32" t="s">
        <v>244</v>
      </c>
      <c r="C128" s="32"/>
      <c r="D128" s="39"/>
      <c r="E128" s="39"/>
      <c r="F128" s="771">
        <f>+'Phase I Pro Forma'!F127/1000000</f>
        <v>0</v>
      </c>
      <c r="G128" s="771">
        <f>+'Phase I Pro Forma'!G127/1000000</f>
        <v>0</v>
      </c>
      <c r="H128" s="771">
        <f>+'Phase I Pro Forma'!H127/1000000</f>
        <v>0</v>
      </c>
      <c r="I128" s="771">
        <f>+'Phase I Pro Forma'!I127/1000000</f>
        <v>-2.1619701163636363E-2</v>
      </c>
      <c r="J128" s="771">
        <f>+'Phase I Pro Forma'!J127/1000000</f>
        <v>-4.4104190373818186E-2</v>
      </c>
      <c r="K128" s="771">
        <f>+'Phase I Pro Forma'!K127/1000000</f>
        <v>-4.4986274181294549E-2</v>
      </c>
      <c r="L128" s="771">
        <f>+'Phase I Pro Forma'!L127/1000000</f>
        <v>-4.5885999664920442E-2</v>
      </c>
      <c r="M128" s="771">
        <f>+'Phase I Pro Forma'!M127/1000000</f>
        <v>-4.6803719658218848E-2</v>
      </c>
      <c r="N128" s="771">
        <f>+'Phase I Pro Forma'!N127/1000000</f>
        <v>-4.7739794051383233E-2</v>
      </c>
      <c r="O128" s="771">
        <f>+'Phase I Pro Forma'!O127/1000000</f>
        <v>-4.8694589932410895E-2</v>
      </c>
      <c r="P128" s="771">
        <f>+'Phase I Pro Forma'!P127/1000000</f>
        <v>-4.9668481731059116E-2</v>
      </c>
      <c r="Q128" s="771">
        <f>+'Phase I Pro Forma'!Q127/1000000</f>
        <v>-5.0661851365680299E-2</v>
      </c>
      <c r="R128" s="771">
        <f>+'Phase I Pro Forma'!R127/1000000</f>
        <v>-5.1675088392993902E-2</v>
      </c>
      <c r="S128" s="771">
        <f>+'Phase I Pro Forma'!S127/1000000</f>
        <v>-5.2708590160853781E-2</v>
      </c>
      <c r="T128" s="771">
        <f>+'Phase I Pro Forma'!T127/1000000</f>
        <v>-5.3762761964070857E-2</v>
      </c>
      <c r="U128" s="771">
        <f>+'Phase I Pro Forma'!U127/1000000</f>
        <v>-5.4838017203352275E-2</v>
      </c>
      <c r="V128" s="771">
        <f>+'Phase I Pro Forma'!V127/1000000</f>
        <v>-5.593477754741933E-2</v>
      </c>
      <c r="W128" s="771">
        <f>+'Phase I Pro Forma'!W127/1000000</f>
        <v>-5.7053473098367717E-2</v>
      </c>
      <c r="X128" s="771">
        <f>+'Phase I Pro Forma'!X127/1000000</f>
        <v>-5.8194542560335072E-2</v>
      </c>
      <c r="Y128" s="771">
        <f>+'Phase I Pro Forma'!Y127/1000000</f>
        <v>-5.9358433411541775E-2</v>
      </c>
      <c r="Z128" s="771">
        <f>+'Phase I Pro Forma'!Z127/1000000</f>
        <v>-6.0545602079772616E-2</v>
      </c>
    </row>
    <row r="129" spans="2:26" x14ac:dyDescent="0.2">
      <c r="B129" s="136" t="s">
        <v>253</v>
      </c>
      <c r="C129" s="136"/>
      <c r="D129" s="136"/>
      <c r="E129" s="136"/>
      <c r="F129" s="773">
        <f>+'Phase I Pro Forma'!F128/1000000</f>
        <v>0</v>
      </c>
      <c r="G129" s="773">
        <f>+'Phase I Pro Forma'!G128/1000000</f>
        <v>0</v>
      </c>
      <c r="H129" s="773">
        <f>+'Phase I Pro Forma'!H128/1000000</f>
        <v>0</v>
      </c>
      <c r="I129" s="773">
        <f>+'Phase I Pro Forma'!I128/1000000</f>
        <v>0.19457731047272725</v>
      </c>
      <c r="J129" s="773">
        <f>+'Phase I Pro Forma'!J128/1000000</f>
        <v>0.39693771336436368</v>
      </c>
      <c r="K129" s="773">
        <f>+'Phase I Pro Forma'!K128/1000000</f>
        <v>0.40487646763165092</v>
      </c>
      <c r="L129" s="773">
        <f>+'Phase I Pro Forma'!L128/1000000</f>
        <v>0.41297399698428394</v>
      </c>
      <c r="M129" s="773">
        <f>+'Phase I Pro Forma'!M128/1000000</f>
        <v>0.42123347692396962</v>
      </c>
      <c r="N129" s="773">
        <f>+'Phase I Pro Forma'!N128/1000000</f>
        <v>0.4296581464624491</v>
      </c>
      <c r="O129" s="773">
        <f>+'Phase I Pro Forma'!O128/1000000</f>
        <v>0.43825130939169804</v>
      </c>
      <c r="P129" s="773">
        <f>+'Phase I Pro Forma'!P128/1000000</f>
        <v>0.44701633557953208</v>
      </c>
      <c r="Q129" s="773">
        <f>+'Phase I Pro Forma'!Q128/1000000</f>
        <v>0.45595666229112264</v>
      </c>
      <c r="R129" s="773">
        <f>+'Phase I Pro Forma'!R128/1000000</f>
        <v>0.46507579553694511</v>
      </c>
      <c r="S129" s="773">
        <f>+'Phase I Pro Forma'!S128/1000000</f>
        <v>0.47437731144768397</v>
      </c>
      <c r="T129" s="773">
        <f>+'Phase I Pro Forma'!T128/1000000</f>
        <v>0.48386485767663773</v>
      </c>
      <c r="U129" s="773">
        <f>+'Phase I Pro Forma'!U128/1000000</f>
        <v>0.49354215483017044</v>
      </c>
      <c r="V129" s="773">
        <f>+'Phase I Pro Forma'!V128/1000000</f>
        <v>0.50341299792677396</v>
      </c>
      <c r="W129" s="773">
        <f>+'Phase I Pro Forma'!W128/1000000</f>
        <v>0.51348125788530941</v>
      </c>
      <c r="X129" s="773">
        <f>+'Phase I Pro Forma'!X128/1000000</f>
        <v>0.52375088304301565</v>
      </c>
      <c r="Y129" s="773">
        <f>+'Phase I Pro Forma'!Y128/1000000</f>
        <v>0.53422590070387588</v>
      </c>
      <c r="Z129" s="773">
        <f>+'Phase I Pro Forma'!Z128/1000000</f>
        <v>0.54491041871795354</v>
      </c>
    </row>
    <row r="130" spans="2:26" ht="5" customHeight="1" x14ac:dyDescent="0.2"/>
    <row r="131" spans="2:26" x14ac:dyDescent="0.2">
      <c r="B131" s="32" t="s">
        <v>389</v>
      </c>
      <c r="F131" s="48">
        <f>+'Phase I Pro Forma'!F130/1000000</f>
        <v>0</v>
      </c>
      <c r="G131" s="48">
        <f>+'Phase I Pro Forma'!G130/1000000</f>
        <v>0</v>
      </c>
      <c r="H131" s="48">
        <f>+'Phase I Pro Forma'!H130/1000000</f>
        <v>0</v>
      </c>
      <c r="I131" s="48">
        <f>+'Phase I Pro Forma'!I130/1000000</f>
        <v>6.8709349242424236E-2</v>
      </c>
      <c r="J131" s="48">
        <f>+'Phase I Pro Forma'!J130/1000000</f>
        <v>0.14154125943939394</v>
      </c>
      <c r="K131" s="48">
        <f>+'Phase I Pro Forma'!K130/1000000</f>
        <v>0.14578749722257572</v>
      </c>
      <c r="L131" s="48">
        <f>+'Phase I Pro Forma'!L130/1000000</f>
        <v>0.15016112213925303</v>
      </c>
      <c r="M131" s="48">
        <f>+'Phase I Pro Forma'!M130/1000000</f>
        <v>0.15466595580343065</v>
      </c>
      <c r="N131" s="48">
        <f>+'Phase I Pro Forma'!N130/1000000</f>
        <v>0.15930593447753355</v>
      </c>
      <c r="O131" s="48">
        <f>+'Phase I Pro Forma'!O130/1000000</f>
        <v>0.16408511251185956</v>
      </c>
      <c r="P131" s="48">
        <f>+'Phase I Pro Forma'!P130/1000000</f>
        <v>0.16900766588721536</v>
      </c>
      <c r="Q131" s="48">
        <f>+'Phase I Pro Forma'!Q130/1000000</f>
        <v>0.17407789586383182</v>
      </c>
      <c r="R131" s="48">
        <f>+'Phase I Pro Forma'!R130/1000000</f>
        <v>0.17930023273974677</v>
      </c>
      <c r="S131" s="48">
        <f>+'Phase I Pro Forma'!S130/1000000</f>
        <v>0.1846792397219392</v>
      </c>
      <c r="T131" s="48">
        <f>+'Phase I Pro Forma'!T130/1000000</f>
        <v>0.1902196169135974</v>
      </c>
      <c r="U131" s="48">
        <f>+'Phase I Pro Forma'!U130/1000000</f>
        <v>0.19592620542100531</v>
      </c>
      <c r="V131" s="48">
        <f>+'Phase I Pro Forma'!V130/1000000</f>
        <v>0.20180399158363549</v>
      </c>
      <c r="W131" s="48">
        <f>+'Phase I Pro Forma'!W130/1000000</f>
        <v>0.20785811133114454</v>
      </c>
      <c r="X131" s="48">
        <f>+'Phase I Pro Forma'!X130/1000000</f>
        <v>0.21409385467107889</v>
      </c>
      <c r="Y131" s="48">
        <f>+'Phase I Pro Forma'!Y130/1000000</f>
        <v>0.22051667031121125</v>
      </c>
      <c r="Z131" s="48">
        <f>+'Phase I Pro Forma'!Z130/1000000</f>
        <v>0.22713217042054762</v>
      </c>
    </row>
    <row r="132" spans="2:26" x14ac:dyDescent="0.2">
      <c r="B132" s="32" t="s">
        <v>325</v>
      </c>
      <c r="F132" s="772">
        <f ca="1">+'Phase I Pro Forma'!F131/1000000</f>
        <v>0</v>
      </c>
      <c r="G132" s="772">
        <f ca="1">+'Phase I Pro Forma'!G131/1000000</f>
        <v>0</v>
      </c>
      <c r="H132" s="772">
        <f ca="1">+'Phase I Pro Forma'!H131/1000000</f>
        <v>0</v>
      </c>
      <c r="I132" s="772">
        <f ca="1">+'Phase I Pro Forma'!I131/1000000</f>
        <v>3.3803531404246231E-2</v>
      </c>
      <c r="J132" s="772">
        <f ca="1">+'Phase I Pro Forma'!J131/1000000</f>
        <v>6.8959204064662299E-2</v>
      </c>
      <c r="K132" s="772">
        <f ca="1">+'Phase I Pro Forma'!K131/1000000</f>
        <v>6.8959204064662299E-2</v>
      </c>
      <c r="L132" s="772">
        <f ca="1">+'Phase I Pro Forma'!L131/1000000</f>
        <v>6.8959204064662299E-2</v>
      </c>
      <c r="M132" s="772">
        <f ca="1">+'Phase I Pro Forma'!M131/1000000</f>
        <v>7.0338388145955569E-2</v>
      </c>
      <c r="N132" s="772">
        <f ca="1">+'Phase I Pro Forma'!N131/1000000</f>
        <v>7.0338388145955569E-2</v>
      </c>
      <c r="O132" s="772">
        <f ca="1">+'Phase I Pro Forma'!O131/1000000</f>
        <v>7.0338388145955569E-2</v>
      </c>
      <c r="P132" s="772">
        <f ca="1">+'Phase I Pro Forma'!P131/1000000</f>
        <v>7.1745155908874675E-2</v>
      </c>
      <c r="Q132" s="772">
        <f ca="1">+'Phase I Pro Forma'!Q131/1000000</f>
        <v>7.1745155908874675E-2</v>
      </c>
      <c r="R132" s="772">
        <f ca="1">+'Phase I Pro Forma'!R131/1000000</f>
        <v>7.1745155908874675E-2</v>
      </c>
      <c r="S132" s="772">
        <f ca="1">+'Phase I Pro Forma'!S131/1000000</f>
        <v>7.3180059027052186E-2</v>
      </c>
      <c r="T132" s="772">
        <f ca="1">+'Phase I Pro Forma'!T131/1000000</f>
        <v>7.3180059027052186E-2</v>
      </c>
      <c r="U132" s="772">
        <f ca="1">+'Phase I Pro Forma'!U131/1000000</f>
        <v>7.3180059027052186E-2</v>
      </c>
      <c r="V132" s="772">
        <f ca="1">+'Phase I Pro Forma'!V131/1000000</f>
        <v>7.4643660207593235E-2</v>
      </c>
      <c r="W132" s="772">
        <f ca="1">+'Phase I Pro Forma'!W131/1000000</f>
        <v>7.4643660207593235E-2</v>
      </c>
      <c r="X132" s="772">
        <f ca="1">+'Phase I Pro Forma'!X131/1000000</f>
        <v>7.4643660207593235E-2</v>
      </c>
      <c r="Y132" s="772">
        <f ca="1">+'Phase I Pro Forma'!Y131/1000000</f>
        <v>7.6136533411745075E-2</v>
      </c>
      <c r="Z132" s="772">
        <f ca="1">+'Phase I Pro Forma'!Z131/1000000</f>
        <v>7.6136533411745075E-2</v>
      </c>
    </row>
    <row r="133" spans="2:26" x14ac:dyDescent="0.2">
      <c r="B133" s="136" t="s">
        <v>249</v>
      </c>
      <c r="C133" s="136"/>
      <c r="D133" s="136"/>
      <c r="E133" s="136"/>
      <c r="F133" s="773">
        <f ca="1">+'Phase I Pro Forma'!F132/1000000</f>
        <v>0</v>
      </c>
      <c r="G133" s="773">
        <f ca="1">+'Phase I Pro Forma'!G132/1000000</f>
        <v>0</v>
      </c>
      <c r="H133" s="773">
        <f ca="1">+'Phase I Pro Forma'!H132/1000000</f>
        <v>0</v>
      </c>
      <c r="I133" s="773">
        <f ca="1">+'Phase I Pro Forma'!I132/1000000</f>
        <v>0.10251288064667047</v>
      </c>
      <c r="J133" s="773">
        <f ca="1">+'Phase I Pro Forma'!J132/1000000</f>
        <v>0.21050046350405624</v>
      </c>
      <c r="K133" s="773">
        <f ca="1">+'Phase I Pro Forma'!K132/1000000</f>
        <v>0.21474670128723805</v>
      </c>
      <c r="L133" s="773">
        <f ca="1">+'Phase I Pro Forma'!L132/1000000</f>
        <v>0.21912032620391536</v>
      </c>
      <c r="M133" s="773">
        <f ca="1">+'Phase I Pro Forma'!M132/1000000</f>
        <v>0.2250043439493862</v>
      </c>
      <c r="N133" s="773">
        <f ca="1">+'Phase I Pro Forma'!N132/1000000</f>
        <v>0.22964432262348913</v>
      </c>
      <c r="O133" s="773">
        <f ca="1">+'Phase I Pro Forma'!O132/1000000</f>
        <v>0.23442350065781514</v>
      </c>
      <c r="P133" s="773">
        <f ca="1">+'Phase I Pro Forma'!P132/1000000</f>
        <v>0.24075282179609003</v>
      </c>
      <c r="Q133" s="773">
        <f ca="1">+'Phase I Pro Forma'!Q132/1000000</f>
        <v>0.2458230517727065</v>
      </c>
      <c r="R133" s="773">
        <f ca="1">+'Phase I Pro Forma'!R132/1000000</f>
        <v>0.25104538864862147</v>
      </c>
      <c r="S133" s="773">
        <f ca="1">+'Phase I Pro Forma'!S132/1000000</f>
        <v>0.25785929874899138</v>
      </c>
      <c r="T133" s="773">
        <f ca="1">+'Phase I Pro Forma'!T132/1000000</f>
        <v>0.26339967594064956</v>
      </c>
      <c r="U133" s="773">
        <f ca="1">+'Phase I Pro Forma'!U132/1000000</f>
        <v>0.26910626444805752</v>
      </c>
      <c r="V133" s="773">
        <f ca="1">+'Phase I Pro Forma'!V132/1000000</f>
        <v>0.27644765179122865</v>
      </c>
      <c r="W133" s="773">
        <f ca="1">+'Phase I Pro Forma'!W132/1000000</f>
        <v>0.28250177153873779</v>
      </c>
      <c r="X133" s="773">
        <f ca="1">+'Phase I Pro Forma'!X132/1000000</f>
        <v>0.28873751487867211</v>
      </c>
      <c r="Y133" s="773">
        <f ca="1">+'Phase I Pro Forma'!Y132/1000000</f>
        <v>0.29665320372295634</v>
      </c>
      <c r="Z133" s="773">
        <f ca="1">+'Phase I Pro Forma'!Z132/1000000</f>
        <v>0.30326870383229271</v>
      </c>
    </row>
    <row r="134" spans="2:26" ht="5" customHeight="1" x14ac:dyDescent="0.2">
      <c r="B134" s="32"/>
    </row>
    <row r="135" spans="2:26" x14ac:dyDescent="0.2">
      <c r="B135" s="777" t="s">
        <v>248</v>
      </c>
      <c r="C135" s="777"/>
      <c r="D135" s="777"/>
      <c r="E135" s="777"/>
      <c r="F135" s="778">
        <f ca="1">+F129-F133</f>
        <v>0</v>
      </c>
      <c r="G135" s="778">
        <f t="shared" ref="G135:Z135" ca="1" si="35">+G129-G133</f>
        <v>0</v>
      </c>
      <c r="H135" s="778">
        <f t="shared" ca="1" si="35"/>
        <v>0</v>
      </c>
      <c r="I135" s="778">
        <f t="shared" ca="1" si="35"/>
        <v>9.2064429826056782E-2</v>
      </c>
      <c r="J135" s="778">
        <f t="shared" ca="1" si="35"/>
        <v>0.18643724986030744</v>
      </c>
      <c r="K135" s="778">
        <f t="shared" ca="1" si="35"/>
        <v>0.19012976634441286</v>
      </c>
      <c r="L135" s="778">
        <f t="shared" ca="1" si="35"/>
        <v>0.19385367078036858</v>
      </c>
      <c r="M135" s="778">
        <f t="shared" ca="1" si="35"/>
        <v>0.19622913297458341</v>
      </c>
      <c r="N135" s="778">
        <f t="shared" ca="1" si="35"/>
        <v>0.20001382383895996</v>
      </c>
      <c r="O135" s="778">
        <f t="shared" ca="1" si="35"/>
        <v>0.2038278087338829</v>
      </c>
      <c r="P135" s="778">
        <f t="shared" ca="1" si="35"/>
        <v>0.20626351378344204</v>
      </c>
      <c r="Q135" s="778">
        <f t="shared" ca="1" si="35"/>
        <v>0.21013361051841614</v>
      </c>
      <c r="R135" s="778">
        <f t="shared" ca="1" si="35"/>
        <v>0.21403040688832364</v>
      </c>
      <c r="S135" s="778">
        <f t="shared" ca="1" si="35"/>
        <v>0.21651801269869259</v>
      </c>
      <c r="T135" s="778">
        <f t="shared" ca="1" si="35"/>
        <v>0.22046518173598817</v>
      </c>
      <c r="U135" s="778">
        <f t="shared" ca="1" si="35"/>
        <v>0.22443589038211292</v>
      </c>
      <c r="V135" s="778">
        <f t="shared" ca="1" si="35"/>
        <v>0.22696534613554531</v>
      </c>
      <c r="W135" s="778">
        <f t="shared" ca="1" si="35"/>
        <v>0.23097948634657162</v>
      </c>
      <c r="X135" s="778">
        <f t="shared" ca="1" si="35"/>
        <v>0.23501336816434354</v>
      </c>
      <c r="Y135" s="778">
        <f t="shared" ca="1" si="35"/>
        <v>0.23757269698091954</v>
      </c>
      <c r="Z135" s="778">
        <f t="shared" ca="1" si="35"/>
        <v>0.24164171488566083</v>
      </c>
    </row>
    <row r="136" spans="2:26" x14ac:dyDescent="0.2">
      <c r="B136" s="779" t="s">
        <v>254</v>
      </c>
      <c r="C136" s="780"/>
      <c r="D136" s="780"/>
      <c r="E136" s="780"/>
      <c r="F136" s="781" t="str">
        <f ca="1">+IFERROR(F135/F129,"")</f>
        <v/>
      </c>
      <c r="G136" s="781" t="str">
        <f t="shared" ref="G136:Z136" ca="1" si="36">+IFERROR(G135/G129,"")</f>
        <v/>
      </c>
      <c r="H136" s="781" t="str">
        <f t="shared" ca="1" si="36"/>
        <v/>
      </c>
      <c r="I136" s="782">
        <f t="shared" ca="1" si="36"/>
        <v>0.47315090131724741</v>
      </c>
      <c r="J136" s="782">
        <f t="shared" ca="1" si="36"/>
        <v>0.46968892998375755</v>
      </c>
      <c r="K136" s="782">
        <f t="shared" ca="1" si="36"/>
        <v>0.4695994495718368</v>
      </c>
      <c r="L136" s="782">
        <f t="shared" ca="1" si="36"/>
        <v>0.46940890272988745</v>
      </c>
      <c r="M136" s="782">
        <f t="shared" ca="1" si="36"/>
        <v>0.46584410718619529</v>
      </c>
      <c r="N136" s="782">
        <f t="shared" ca="1" si="36"/>
        <v>0.46551851858449655</v>
      </c>
      <c r="O136" s="782">
        <f t="shared" ca="1" si="36"/>
        <v>0.46509343923421509</v>
      </c>
      <c r="P136" s="782">
        <f t="shared" ca="1" si="36"/>
        <v>0.46142276549252448</v>
      </c>
      <c r="Q136" s="782">
        <f t="shared" ca="1" si="36"/>
        <v>0.46086312120656864</v>
      </c>
      <c r="R136" s="782">
        <f t="shared" ca="1" si="36"/>
        <v>0.46020543090447996</v>
      </c>
      <c r="S136" s="782">
        <f t="shared" ca="1" si="36"/>
        <v>0.45642573427032662</v>
      </c>
      <c r="T136" s="782">
        <f t="shared" ca="1" si="36"/>
        <v>0.45563379575567969</v>
      </c>
      <c r="U136" s="782">
        <f t="shared" ca="1" si="36"/>
        <v>0.45474512802121653</v>
      </c>
      <c r="V136" s="782">
        <f t="shared" ca="1" si="36"/>
        <v>0.45085317039938549</v>
      </c>
      <c r="W136" s="782">
        <f t="shared" ca="1" si="36"/>
        <v>0.44983041308620253</v>
      </c>
      <c r="X136" s="782">
        <f t="shared" ca="1" si="36"/>
        <v>0.44871211824771645</v>
      </c>
      <c r="Y136" s="782">
        <f t="shared" ca="1" si="36"/>
        <v>0.44470456536813868</v>
      </c>
      <c r="Z136" s="782">
        <f t="shared" ca="1" si="36"/>
        <v>0.44345218330416059</v>
      </c>
    </row>
    <row r="137" spans="2:26" x14ac:dyDescent="0.2">
      <c r="B137" s="779" t="s">
        <v>188</v>
      </c>
      <c r="C137" s="780"/>
      <c r="D137" s="780"/>
      <c r="E137" s="780"/>
      <c r="F137" s="783">
        <f ca="1">+'Phase I Pro Forma'!F136/1000000</f>
        <v>0</v>
      </c>
      <c r="G137" s="783">
        <f ca="1">+'Phase I Pro Forma'!G136/1000000</f>
        <v>0</v>
      </c>
      <c r="H137" s="783">
        <f ca="1">+'Phase I Pro Forma'!H136/1000000</f>
        <v>0</v>
      </c>
      <c r="I137" s="783">
        <f ca="1">+'Phase I Pro Forma'!I136/1000000</f>
        <v>1.4163758434777967</v>
      </c>
      <c r="J137" s="783">
        <f ca="1">+'Phase I Pro Forma'!J136/1000000</f>
        <v>2.8682653824662676</v>
      </c>
      <c r="K137" s="783">
        <f ca="1">+'Phase I Pro Forma'!K136/1000000</f>
        <v>2.9250733283755825</v>
      </c>
      <c r="L137" s="783">
        <f ca="1">+'Phase I Pro Forma'!L136/1000000</f>
        <v>2.9823641658518247</v>
      </c>
      <c r="M137" s="783">
        <f ca="1">+'Phase I Pro Forma'!M136/1000000</f>
        <v>3.0189097380705139</v>
      </c>
      <c r="N137" s="783">
        <f ca="1">+'Phase I Pro Forma'!N136/1000000</f>
        <v>3.0771357513686151</v>
      </c>
      <c r="O137" s="783">
        <f ca="1">+'Phase I Pro Forma'!O136/1000000</f>
        <v>3.1358124420597369</v>
      </c>
      <c r="P137" s="783">
        <f ca="1">+'Phase I Pro Forma'!P136/1000000</f>
        <v>3.1732848274375698</v>
      </c>
      <c r="Q137" s="783">
        <f ca="1">+'Phase I Pro Forma'!Q136/1000000</f>
        <v>3.2328247772064023</v>
      </c>
      <c r="R137" s="783">
        <f ca="1">+'Phase I Pro Forma'!R136/1000000</f>
        <v>3.2927754905895945</v>
      </c>
      <c r="S137" s="783">
        <f ca="1">+'Phase I Pro Forma'!S136/1000000</f>
        <v>3.3310463492106548</v>
      </c>
      <c r="T137" s="783">
        <f ca="1">+'Phase I Pro Forma'!T136/1000000</f>
        <v>3.3917720267075095</v>
      </c>
      <c r="U137" s="783">
        <f ca="1">+'Phase I Pro Forma'!U136/1000000</f>
        <v>3.4528598520325064</v>
      </c>
      <c r="V137" s="783">
        <f ca="1">+'Phase I Pro Forma'!V136/1000000</f>
        <v>3.4917745559314657</v>
      </c>
      <c r="W137" s="783">
        <f ca="1">+'Phase I Pro Forma'!W136/1000000</f>
        <v>3.5535305591780246</v>
      </c>
      <c r="X137" s="783">
        <f ca="1">+'Phase I Pro Forma'!X136/1000000</f>
        <v>3.6155902794514394</v>
      </c>
      <c r="Y137" s="783">
        <f ca="1">+'Phase I Pro Forma'!Y136/1000000</f>
        <v>3.6549645689372237</v>
      </c>
      <c r="Z137" s="783">
        <f ca="1">+'Phase I Pro Forma'!Z136/1000000</f>
        <v>3.7175648443947811</v>
      </c>
    </row>
    <row r="138" spans="2:26" ht="5" customHeight="1" x14ac:dyDescent="0.2"/>
    <row r="139" spans="2:26" x14ac:dyDescent="0.2">
      <c r="B139" s="137" t="s">
        <v>770</v>
      </c>
      <c r="C139" s="137"/>
      <c r="D139" s="137"/>
      <c r="E139" s="137"/>
      <c r="F139" s="774">
        <f t="shared" ref="F139:Z139" ca="1" si="37">+F135+F113+F92+F71+F50+F27</f>
        <v>0</v>
      </c>
      <c r="G139" s="774">
        <f t="shared" ca="1" si="37"/>
        <v>0</v>
      </c>
      <c r="H139" s="774">
        <f t="shared" ca="1" si="37"/>
        <v>0</v>
      </c>
      <c r="I139" s="774">
        <f t="shared" ca="1" si="37"/>
        <v>9.9789803531097405</v>
      </c>
      <c r="J139" s="774">
        <f t="shared" ca="1" si="37"/>
        <v>20.150048491622247</v>
      </c>
      <c r="K139" s="774">
        <f t="shared" ca="1" si="37"/>
        <v>20.415119392887938</v>
      </c>
      <c r="L139" s="774">
        <f t="shared" ca="1" si="37"/>
        <v>22.04666644948281</v>
      </c>
      <c r="M139" s="774">
        <f t="shared" ca="1" si="37"/>
        <v>22.260230976380011</v>
      </c>
      <c r="N139" s="774">
        <f t="shared" ca="1" si="37"/>
        <v>22.548752869660753</v>
      </c>
      <c r="O139" s="774">
        <f t="shared" ca="1" si="37"/>
        <v>22.845550555339308</v>
      </c>
      <c r="P139" s="774">
        <f t="shared" ca="1" si="37"/>
        <v>23.082611017095001</v>
      </c>
      <c r="Q139" s="774">
        <f t="shared" ca="1" si="37"/>
        <v>24.891005347919737</v>
      </c>
      <c r="R139" s="774">
        <f t="shared" ca="1" si="37"/>
        <v>25.214102952101879</v>
      </c>
      <c r="S139" s="774">
        <f t="shared" ca="1" si="37"/>
        <v>25.476863540305128</v>
      </c>
      <c r="T139" s="774">
        <f t="shared" ca="1" si="37"/>
        <v>25.818794874822487</v>
      </c>
      <c r="U139" s="774">
        <f t="shared" ca="1" si="37"/>
        <v>26.17055636036299</v>
      </c>
      <c r="V139" s="774">
        <f t="shared" ca="1" si="37"/>
        <v>28.104693832800674</v>
      </c>
      <c r="W139" s="774">
        <f t="shared" ca="1" si="37"/>
        <v>28.476983085985722</v>
      </c>
      <c r="X139" s="774">
        <f t="shared" ca="1" si="37"/>
        <v>28.859987043644093</v>
      </c>
      <c r="Y139" s="774">
        <f t="shared" ca="1" si="37"/>
        <v>29.181586702613725</v>
      </c>
      <c r="Z139" s="774">
        <f t="shared" ca="1" si="37"/>
        <v>29.586966343494879</v>
      </c>
    </row>
    <row r="141" spans="2:26" x14ac:dyDescent="0.2">
      <c r="B141" s="147" t="s">
        <v>786</v>
      </c>
      <c r="F141" s="776">
        <f>+F117</f>
        <v>44196</v>
      </c>
      <c r="G141" s="776">
        <f t="shared" ref="G141:Z141" si="38">+G117</f>
        <v>44561</v>
      </c>
      <c r="H141" s="776">
        <f t="shared" si="38"/>
        <v>44926</v>
      </c>
      <c r="I141" s="776">
        <f t="shared" si="38"/>
        <v>45291</v>
      </c>
      <c r="J141" s="776">
        <f t="shared" si="38"/>
        <v>45657</v>
      </c>
      <c r="K141" s="776">
        <f t="shared" si="38"/>
        <v>46022</v>
      </c>
      <c r="L141" s="776">
        <f t="shared" si="38"/>
        <v>46387</v>
      </c>
      <c r="M141" s="776">
        <f t="shared" si="38"/>
        <v>46752</v>
      </c>
      <c r="N141" s="776">
        <f t="shared" si="38"/>
        <v>47118</v>
      </c>
      <c r="O141" s="776">
        <f t="shared" si="38"/>
        <v>47483</v>
      </c>
      <c r="P141" s="776">
        <f t="shared" si="38"/>
        <v>47848</v>
      </c>
      <c r="Q141" s="776">
        <f t="shared" si="38"/>
        <v>48213</v>
      </c>
      <c r="R141" s="776">
        <f t="shared" si="38"/>
        <v>48579</v>
      </c>
      <c r="S141" s="776">
        <f t="shared" si="38"/>
        <v>48944</v>
      </c>
      <c r="T141" s="776">
        <f t="shared" si="38"/>
        <v>49309</v>
      </c>
      <c r="U141" s="776">
        <f t="shared" si="38"/>
        <v>49674</v>
      </c>
      <c r="V141" s="776">
        <f t="shared" si="38"/>
        <v>50040</v>
      </c>
      <c r="W141" s="776">
        <f t="shared" si="38"/>
        <v>50405</v>
      </c>
      <c r="X141" s="776">
        <f t="shared" si="38"/>
        <v>50770</v>
      </c>
      <c r="Y141" s="776">
        <f t="shared" si="38"/>
        <v>51135</v>
      </c>
      <c r="Z141" s="776">
        <f t="shared" si="38"/>
        <v>51501</v>
      </c>
    </row>
    <row r="142" spans="2:26" hidden="1" x14ac:dyDescent="0.2">
      <c r="B142" s="788" t="s">
        <v>331</v>
      </c>
      <c r="C142" s="793"/>
      <c r="D142" s="793"/>
      <c r="E142" s="793"/>
      <c r="F142" s="794">
        <f>+'Phase I Pro Forma'!F141/1000000</f>
        <v>0</v>
      </c>
      <c r="G142" s="794">
        <f ca="1">+'Phase I Pro Forma'!G141/1000000</f>
        <v>0</v>
      </c>
      <c r="H142" s="794">
        <f ca="1">+'Phase I Pro Forma'!H141/1000000</f>
        <v>0</v>
      </c>
      <c r="I142" s="794">
        <f ca="1">+'Phase I Pro Forma'!I141/1000000</f>
        <v>0</v>
      </c>
      <c r="J142" s="794">
        <f ca="1">+'Phase I Pro Forma'!J141/1000000</f>
        <v>210.80635691512393</v>
      </c>
      <c r="K142" s="794">
        <f ca="1">+'Phase I Pro Forma'!K141/1000000</f>
        <v>208.17667460029665</v>
      </c>
      <c r="L142" s="794">
        <f ca="1">+'Phase I Pro Forma'!L141/1000000</f>
        <v>205.37606293500556</v>
      </c>
      <c r="M142" s="794">
        <f ca="1">+'Phase I Pro Forma'!M141/1000000</f>
        <v>202.39341151147059</v>
      </c>
      <c r="N142" s="794">
        <f ca="1">+'Phase I Pro Forma'!N141/1000000</f>
        <v>199.21688774540581</v>
      </c>
      <c r="O142" s="794">
        <f ca="1">+'Phase I Pro Forma'!O141/1000000</f>
        <v>195.83388993454685</v>
      </c>
      <c r="P142" s="794">
        <f ca="1">+'Phase I Pro Forma'!P141/1000000</f>
        <v>192.23099726598207</v>
      </c>
      <c r="Q142" s="794">
        <f ca="1">+'Phase I Pro Forma'!Q141/1000000</f>
        <v>188.39391657396058</v>
      </c>
      <c r="R142" s="794">
        <f ca="1">+'Phase I Pro Forma'!R141/1000000</f>
        <v>184.30742563695767</v>
      </c>
      <c r="S142" s="794">
        <f ca="1">+'Phase I Pro Forma'!S141/1000000</f>
        <v>179.9553127890496</v>
      </c>
      <c r="T142" s="794">
        <f ca="1">+'Phase I Pro Forma'!T141/1000000</f>
        <v>175.32031260602747</v>
      </c>
      <c r="U142" s="794">
        <f ca="1">+'Phase I Pro Forma'!U141/1000000</f>
        <v>170.38403741110895</v>
      </c>
      <c r="V142" s="794">
        <f ca="1">+'Phase I Pro Forma'!V141/1000000</f>
        <v>165.12690432852068</v>
      </c>
      <c r="W142" s="794">
        <f ca="1">+'Phase I Pro Forma'!W141/1000000</f>
        <v>159.52805759556418</v>
      </c>
      <c r="X142" s="794">
        <f ca="1">+'Phase I Pro Forma'!X141/1000000</f>
        <v>153.56528582496551</v>
      </c>
      <c r="Y142" s="794">
        <f ca="1">+'Phase I Pro Forma'!Y141/1000000</f>
        <v>147.21493388927794</v>
      </c>
      <c r="Z142" s="794">
        <f ca="1">+'Phase I Pro Forma'!Z141/1000000</f>
        <v>140.45180907777066</v>
      </c>
    </row>
    <row r="143" spans="2:26" x14ac:dyDescent="0.2">
      <c r="B143" s="32" t="s">
        <v>342</v>
      </c>
      <c r="F143" s="48">
        <f>+'Phase I Pro Forma'!F142/1000000</f>
        <v>0</v>
      </c>
      <c r="G143" s="48">
        <f>+'Phase I Pro Forma'!G142/1000000</f>
        <v>0</v>
      </c>
      <c r="H143" s="48">
        <f>+'Phase I Pro Forma'!H142/1000000</f>
        <v>0</v>
      </c>
      <c r="I143" s="48">
        <f ca="1">+'Phase I Pro Forma'!I142/1000000</f>
        <v>213.27554218726223</v>
      </c>
      <c r="J143" s="48">
        <f>+'Phase I Pro Forma'!J142/1000000</f>
        <v>0</v>
      </c>
      <c r="K143" s="48">
        <f>+'Phase I Pro Forma'!K142/1000000</f>
        <v>0</v>
      </c>
      <c r="L143" s="48">
        <f>+'Phase I Pro Forma'!L142/1000000</f>
        <v>0</v>
      </c>
      <c r="M143" s="48">
        <f>+'Phase I Pro Forma'!M142/1000000</f>
        <v>0</v>
      </c>
      <c r="N143" s="48">
        <f>+'Phase I Pro Forma'!N142/1000000</f>
        <v>0</v>
      </c>
      <c r="O143" s="48">
        <f>+'Phase I Pro Forma'!O142/1000000</f>
        <v>0</v>
      </c>
      <c r="P143" s="48">
        <f>+'Phase I Pro Forma'!P142/1000000</f>
        <v>0</v>
      </c>
      <c r="Q143" s="48">
        <f>+'Phase I Pro Forma'!Q142/1000000</f>
        <v>0</v>
      </c>
      <c r="R143" s="48">
        <f>+'Phase I Pro Forma'!R142/1000000</f>
        <v>0</v>
      </c>
      <c r="S143" s="48">
        <f>+'Phase I Pro Forma'!S142/1000000</f>
        <v>0</v>
      </c>
      <c r="T143" s="48">
        <f>+'Phase I Pro Forma'!T142/1000000</f>
        <v>0</v>
      </c>
      <c r="U143" s="48">
        <f>+'Phase I Pro Forma'!U142/1000000</f>
        <v>0</v>
      </c>
      <c r="V143" s="48">
        <f>+'Phase I Pro Forma'!V142/1000000</f>
        <v>0</v>
      </c>
      <c r="W143" s="48">
        <f>+'Phase I Pro Forma'!W142/1000000</f>
        <v>0</v>
      </c>
      <c r="X143" s="48">
        <f>+'Phase I Pro Forma'!X142/1000000</f>
        <v>0</v>
      </c>
      <c r="Y143" s="48">
        <f>+'Phase I Pro Forma'!Y142/1000000</f>
        <v>0</v>
      </c>
      <c r="Z143" s="48">
        <f>+'Phase I Pro Forma'!Z142/1000000</f>
        <v>0</v>
      </c>
    </row>
    <row r="144" spans="2:26" x14ac:dyDescent="0.2">
      <c r="B144" s="32" t="s">
        <v>162</v>
      </c>
      <c r="F144" s="772">
        <f ca="1">+'Phase I Pro Forma'!F143/1000000</f>
        <v>0</v>
      </c>
      <c r="G144" s="772">
        <f ca="1">+'Phase I Pro Forma'!G143/1000000</f>
        <v>0</v>
      </c>
      <c r="H144" s="772">
        <f ca="1">+'Phase I Pro Forma'!H143/1000000</f>
        <v>0</v>
      </c>
      <c r="I144" s="772">
        <f ca="1">+'Phase I Pro Forma'!I143/1000000</f>
        <v>-2.4691852721382959</v>
      </c>
      <c r="J144" s="772">
        <f ca="1">+'Phase I Pro Forma'!J143/1000000</f>
        <v>-2.629682314827285</v>
      </c>
      <c r="K144" s="772">
        <f ca="1">+'Phase I Pro Forma'!K143/1000000</f>
        <v>-2.8006116652910582</v>
      </c>
      <c r="L144" s="772">
        <f ca="1">+'Phase I Pro Forma'!L143/1000000</f>
        <v>-2.9826514235349766</v>
      </c>
      <c r="M144" s="772">
        <f ca="1">+'Phase I Pro Forma'!M143/1000000</f>
        <v>-3.1765237660647512</v>
      </c>
      <c r="N144" s="772">
        <f ca="1">+'Phase I Pro Forma'!N143/1000000</f>
        <v>-3.38299781085896</v>
      </c>
      <c r="O144" s="772">
        <f ca="1">+'Phase I Pro Forma'!O143/1000000</f>
        <v>-3.6028926685647917</v>
      </c>
      <c r="P144" s="772">
        <f ca="1">+'Phase I Pro Forma'!P143/1000000</f>
        <v>-3.8370806920215035</v>
      </c>
      <c r="Q144" s="772">
        <f ca="1">+'Phase I Pro Forma'!Q143/1000000</f>
        <v>-4.0864909370029006</v>
      </c>
      <c r="R144" s="772">
        <f ca="1">+'Phase I Pro Forma'!R143/1000000</f>
        <v>-4.3521128479080895</v>
      </c>
      <c r="S144" s="772">
        <f ca="1">+'Phase I Pro Forma'!S143/1000000</f>
        <v>-4.6350001830221164</v>
      </c>
      <c r="T144" s="772">
        <f ca="1">+'Phase I Pro Forma'!T143/1000000</f>
        <v>-4.9362751949185535</v>
      </c>
      <c r="U144" s="772">
        <f ca="1">+'Phase I Pro Forma'!U143/1000000</f>
        <v>-5.2571330825882603</v>
      </c>
      <c r="V144" s="772">
        <f ca="1">+'Phase I Pro Forma'!V143/1000000</f>
        <v>-5.5988467329564964</v>
      </c>
      <c r="W144" s="772">
        <f ca="1">+'Phase I Pro Forma'!W143/1000000</f>
        <v>-5.9627717705986685</v>
      </c>
      <c r="X144" s="772">
        <f ca="1">+'Phase I Pro Forma'!X143/1000000</f>
        <v>-6.3503519356875824</v>
      </c>
      <c r="Y144" s="772">
        <f ca="1">+'Phase I Pro Forma'!Y143/1000000</f>
        <v>-6.7631248115072742</v>
      </c>
      <c r="Z144" s="772">
        <f ca="1">+'Phase I Pro Forma'!Z143/1000000</f>
        <v>-7.2027279242552487</v>
      </c>
    </row>
    <row r="145" spans="2:26" x14ac:dyDescent="0.2">
      <c r="B145" s="32" t="s">
        <v>785</v>
      </c>
      <c r="F145" s="772">
        <f t="shared" ref="F145:N145" ca="1" si="39">+SUM(F142:F144)</f>
        <v>0</v>
      </c>
      <c r="G145" s="772">
        <f t="shared" ca="1" si="39"/>
        <v>0</v>
      </c>
      <c r="H145" s="772">
        <f t="shared" ca="1" si="39"/>
        <v>0</v>
      </c>
      <c r="I145" s="772">
        <f t="shared" ca="1" si="39"/>
        <v>210.80635691512393</v>
      </c>
      <c r="J145" s="772">
        <f t="shared" ca="1" si="39"/>
        <v>208.17667460029665</v>
      </c>
      <c r="K145" s="772">
        <f t="shared" ca="1" si="39"/>
        <v>205.37606293500559</v>
      </c>
      <c r="L145" s="772">
        <f t="shared" ca="1" si="39"/>
        <v>202.39341151147059</v>
      </c>
      <c r="M145" s="772">
        <f t="shared" ca="1" si="39"/>
        <v>199.21688774540584</v>
      </c>
      <c r="N145" s="772">
        <f t="shared" ca="1" si="39"/>
        <v>195.83388993454685</v>
      </c>
      <c r="O145" s="772">
        <f t="shared" ref="O145:Z145" ca="1" si="40">+SUM(O142:O144)</f>
        <v>192.23099726598207</v>
      </c>
      <c r="P145" s="772">
        <f t="shared" ca="1" si="40"/>
        <v>188.39391657396055</v>
      </c>
      <c r="Q145" s="772">
        <f t="shared" ca="1" si="40"/>
        <v>184.30742563695767</v>
      </c>
      <c r="R145" s="772">
        <f t="shared" ca="1" si="40"/>
        <v>179.95531278904957</v>
      </c>
      <c r="S145" s="772">
        <f t="shared" ca="1" si="40"/>
        <v>175.32031260602747</v>
      </c>
      <c r="T145" s="772">
        <f t="shared" ca="1" si="40"/>
        <v>170.38403741110892</v>
      </c>
      <c r="U145" s="772">
        <f t="shared" ca="1" si="40"/>
        <v>165.12690432852068</v>
      </c>
      <c r="V145" s="772">
        <f t="shared" ca="1" si="40"/>
        <v>159.52805759556418</v>
      </c>
      <c r="W145" s="772">
        <f t="shared" ca="1" si="40"/>
        <v>153.56528582496551</v>
      </c>
      <c r="X145" s="772">
        <f t="shared" ca="1" si="40"/>
        <v>147.21493388927794</v>
      </c>
      <c r="Y145" s="772">
        <f t="shared" ca="1" si="40"/>
        <v>140.45180907777066</v>
      </c>
      <c r="Z145" s="772">
        <f t="shared" ca="1" si="40"/>
        <v>133.24908115351542</v>
      </c>
    </row>
    <row r="146" spans="2:26" ht="5" customHeight="1" x14ac:dyDescent="0.2"/>
    <row r="147" spans="2:26" x14ac:dyDescent="0.2">
      <c r="B147" s="40" t="s">
        <v>332</v>
      </c>
      <c r="F147" s="48">
        <f ca="1">+'Phase I Pro Forma'!F146/1000000</f>
        <v>0</v>
      </c>
      <c r="G147" s="48">
        <f ca="1">+'Phase I Pro Forma'!G146/1000000</f>
        <v>0</v>
      </c>
      <c r="H147" s="48">
        <f ca="1">+'Phase I Pro Forma'!H146/1000000</f>
        <v>0</v>
      </c>
      <c r="I147" s="48">
        <f ca="1">+'Phase I Pro Forma'!I146/1000000</f>
        <v>13.862910242172045</v>
      </c>
      <c r="J147" s="48">
        <f ca="1">+'Phase I Pro Forma'!J146/1000000</f>
        <v>13.702413199483059</v>
      </c>
      <c r="K147" s="48">
        <f ca="1">+'Phase I Pro Forma'!K146/1000000</f>
        <v>13.531483849019285</v>
      </c>
      <c r="L147" s="48">
        <f ca="1">+'Phase I Pro Forma'!L146/1000000</f>
        <v>13.349444090775364</v>
      </c>
      <c r="M147" s="48">
        <f ca="1">+'Phase I Pro Forma'!M146/1000000</f>
        <v>13.155571748245592</v>
      </c>
      <c r="N147" s="48">
        <f ca="1">+'Phase I Pro Forma'!N146/1000000</f>
        <v>12.949097703451383</v>
      </c>
      <c r="O147" s="48">
        <f ca="1">+'Phase I Pro Forma'!O146/1000000</f>
        <v>12.729202845745551</v>
      </c>
      <c r="P147" s="48">
        <f ca="1">+'Phase I Pro Forma'!P146/1000000</f>
        <v>12.495014822288839</v>
      </c>
      <c r="Q147" s="48">
        <f ca="1">+'Phase I Pro Forma'!Q146/1000000</f>
        <v>12.245604577307443</v>
      </c>
      <c r="R147" s="48">
        <f ca="1">+'Phase I Pro Forma'!R146/1000000</f>
        <v>11.97998266640225</v>
      </c>
      <c r="S147" s="48">
        <f ca="1">+'Phase I Pro Forma'!S146/1000000</f>
        <v>11.697095331288226</v>
      </c>
      <c r="T147" s="48">
        <f ca="1">+'Phase I Pro Forma'!T146/1000000</f>
        <v>11.395820319391788</v>
      </c>
      <c r="U147" s="48">
        <f ca="1">+'Phase I Pro Forma'!U146/1000000</f>
        <v>11.074962431722085</v>
      </c>
      <c r="V147" s="48">
        <f ca="1">+'Phase I Pro Forma'!V146/1000000</f>
        <v>10.733248781353847</v>
      </c>
      <c r="W147" s="48">
        <f ca="1">+'Phase I Pro Forma'!W146/1000000</f>
        <v>10.369323743711675</v>
      </c>
      <c r="X147" s="48">
        <f ca="1">+'Phase I Pro Forma'!X146/1000000</f>
        <v>9.9817435786227584</v>
      </c>
      <c r="Y147" s="48">
        <f ca="1">+'Phase I Pro Forma'!Y146/1000000</f>
        <v>9.5689707028030657</v>
      </c>
      <c r="Z147" s="48">
        <f ca="1">+'Phase I Pro Forma'!Z146/1000000</f>
        <v>9.1293675900550948</v>
      </c>
    </row>
    <row r="148" spans="2:26" x14ac:dyDescent="0.2">
      <c r="B148" s="136" t="s">
        <v>341</v>
      </c>
      <c r="C148" s="136"/>
      <c r="D148" s="136"/>
      <c r="E148" s="136"/>
      <c r="F148" s="773">
        <f t="shared" ref="F148:K148" ca="1" si="41">+F147-F144</f>
        <v>0</v>
      </c>
      <c r="G148" s="773">
        <f t="shared" ca="1" si="41"/>
        <v>0</v>
      </c>
      <c r="H148" s="773">
        <f t="shared" ca="1" si="41"/>
        <v>0</v>
      </c>
      <c r="I148" s="773">
        <f t="shared" ca="1" si="41"/>
        <v>16.332095514310343</v>
      </c>
      <c r="J148" s="773">
        <f t="shared" ca="1" si="41"/>
        <v>16.332095514310346</v>
      </c>
      <c r="K148" s="773">
        <f t="shared" ca="1" si="41"/>
        <v>16.332095514310343</v>
      </c>
      <c r="L148" s="773">
        <f ca="1">+L147-L144</f>
        <v>16.332095514310339</v>
      </c>
      <c r="M148" s="773">
        <f t="shared" ref="M148:Z148" ca="1" si="42">+M147-M144</f>
        <v>16.332095514310343</v>
      </c>
      <c r="N148" s="773">
        <f t="shared" ca="1" si="42"/>
        <v>16.332095514310343</v>
      </c>
      <c r="O148" s="773">
        <f t="shared" ca="1" si="42"/>
        <v>16.332095514310343</v>
      </c>
      <c r="P148" s="773">
        <f t="shared" ca="1" si="42"/>
        <v>16.332095514310343</v>
      </c>
      <c r="Q148" s="773">
        <f t="shared" ca="1" si="42"/>
        <v>16.332095514310343</v>
      </c>
      <c r="R148" s="773">
        <f t="shared" ca="1" si="42"/>
        <v>16.332095514310339</v>
      </c>
      <c r="S148" s="773">
        <f t="shared" ca="1" si="42"/>
        <v>16.332095514310343</v>
      </c>
      <c r="T148" s="773">
        <f t="shared" ca="1" si="42"/>
        <v>16.332095514310343</v>
      </c>
      <c r="U148" s="773">
        <f t="shared" ca="1" si="42"/>
        <v>16.332095514310346</v>
      </c>
      <c r="V148" s="773">
        <f t="shared" ca="1" si="42"/>
        <v>16.332095514310343</v>
      </c>
      <c r="W148" s="773">
        <f t="shared" ca="1" si="42"/>
        <v>16.332095514310343</v>
      </c>
      <c r="X148" s="773">
        <f t="shared" ca="1" si="42"/>
        <v>16.332095514310339</v>
      </c>
      <c r="Y148" s="773">
        <f t="shared" ca="1" si="42"/>
        <v>16.332095514310339</v>
      </c>
      <c r="Z148" s="773">
        <f t="shared" ca="1" si="42"/>
        <v>16.332095514310343</v>
      </c>
    </row>
    <row r="149" spans="2:26" x14ac:dyDescent="0.2">
      <c r="B149" s="145" t="s">
        <v>181</v>
      </c>
      <c r="F149" s="178" t="str">
        <f ca="1">+IFERROR(F139/F148,"")</f>
        <v/>
      </c>
      <c r="G149" s="178" t="str">
        <f t="shared" ref="G149:Z149" ca="1" si="43">+IFERROR(G139/G148,"")</f>
        <v/>
      </c>
      <c r="H149" s="178" t="str">
        <f t="shared" ca="1" si="43"/>
        <v/>
      </c>
      <c r="I149" s="178">
        <f t="shared" ca="1" si="43"/>
        <v>0.61100428566353038</v>
      </c>
      <c r="J149" s="178">
        <f t="shared" ca="1" si="43"/>
        <v>1.2337699393177424</v>
      </c>
      <c r="K149" s="178">
        <f t="shared" ca="1" si="43"/>
        <v>1.2500000000000007</v>
      </c>
      <c r="L149" s="178">
        <f t="shared" ca="1" si="43"/>
        <v>1.3498982068874941</v>
      </c>
      <c r="M149" s="178">
        <f t="shared" ca="1" si="43"/>
        <v>1.3629745770758797</v>
      </c>
      <c r="N149" s="178">
        <f t="shared" ca="1" si="43"/>
        <v>1.3806405215976918</v>
      </c>
      <c r="O149" s="178">
        <f t="shared" ca="1" si="43"/>
        <v>1.3988131856883774</v>
      </c>
      <c r="P149" s="178">
        <f t="shared" ca="1" si="43"/>
        <v>1.4133281915275226</v>
      </c>
      <c r="Q149" s="178">
        <f t="shared" ca="1" si="43"/>
        <v>1.5240546031652824</v>
      </c>
      <c r="R149" s="178">
        <f t="shared" ca="1" si="43"/>
        <v>1.5438375883859508</v>
      </c>
      <c r="S149" s="178">
        <f t="shared" ca="1" si="43"/>
        <v>1.5599261906092852</v>
      </c>
      <c r="T149" s="178">
        <f t="shared" ca="1" si="43"/>
        <v>1.5808623487537043</v>
      </c>
      <c r="U149" s="178">
        <f t="shared" ca="1" si="43"/>
        <v>1.602400398493389</v>
      </c>
      <c r="V149" s="178">
        <f t="shared" ca="1" si="43"/>
        <v>1.7208259533000567</v>
      </c>
      <c r="W149" s="178">
        <f t="shared" ca="1" si="43"/>
        <v>1.7436209003941907</v>
      </c>
      <c r="X149" s="178">
        <f t="shared" ca="1" si="43"/>
        <v>1.7670718995218155</v>
      </c>
      <c r="Y149" s="178">
        <f t="shared" ca="1" si="43"/>
        <v>1.7867631668602806</v>
      </c>
      <c r="Z149" s="178">
        <f t="shared" ca="1" si="43"/>
        <v>1.8115842096055885</v>
      </c>
    </row>
    <row r="150" spans="2:26" ht="5" customHeight="1" x14ac:dyDescent="0.2"/>
    <row r="151" spans="2:26" x14ac:dyDescent="0.2">
      <c r="B151" s="40" t="s">
        <v>156</v>
      </c>
      <c r="F151" s="48">
        <f>+'Phase I Pro Forma'!F150/1000000</f>
        <v>0</v>
      </c>
      <c r="G151" s="48">
        <f>+'Phase I Pro Forma'!G150/1000000</f>
        <v>0</v>
      </c>
      <c r="H151" s="48">
        <f>+'Phase I Pro Forma'!H150/1000000</f>
        <v>0</v>
      </c>
      <c r="I151" s="48">
        <f ca="1">+'Phase I Pro Forma'!I150/1000000</f>
        <v>1.5995665664044667</v>
      </c>
      <c r="J151" s="48">
        <f>+'Phase I Pro Forma'!J150/1000000</f>
        <v>0</v>
      </c>
      <c r="K151" s="48">
        <f>+'Phase I Pro Forma'!K150/1000000</f>
        <v>0</v>
      </c>
      <c r="L151" s="48">
        <f>+'Phase I Pro Forma'!L150/1000000</f>
        <v>0</v>
      </c>
      <c r="M151" s="48">
        <f>+'Phase I Pro Forma'!M150/1000000</f>
        <v>0</v>
      </c>
      <c r="N151" s="48">
        <f>+'Phase I Pro Forma'!N150/1000000</f>
        <v>0</v>
      </c>
      <c r="O151" s="48">
        <f>+'Phase I Pro Forma'!O150/1000000</f>
        <v>0</v>
      </c>
      <c r="P151" s="48">
        <f>+'Phase I Pro Forma'!P150/1000000</f>
        <v>0</v>
      </c>
      <c r="Q151" s="48">
        <f>+'Phase I Pro Forma'!Q150/1000000</f>
        <v>0</v>
      </c>
      <c r="R151" s="48">
        <f>+'Phase I Pro Forma'!R150/1000000</f>
        <v>0</v>
      </c>
      <c r="S151" s="48">
        <f>+'Phase I Pro Forma'!S150/1000000</f>
        <v>0</v>
      </c>
      <c r="T151" s="48">
        <f>+'Phase I Pro Forma'!T150/1000000</f>
        <v>0</v>
      </c>
      <c r="U151" s="48">
        <f>+'Phase I Pro Forma'!U150/1000000</f>
        <v>0</v>
      </c>
      <c r="V151" s="48">
        <f>+'Phase I Pro Forma'!V150/1000000</f>
        <v>0</v>
      </c>
      <c r="W151" s="48">
        <f>+'Phase I Pro Forma'!W150/1000000</f>
        <v>0</v>
      </c>
      <c r="X151" s="48">
        <f>+'Phase I Pro Forma'!X150/1000000</f>
        <v>0</v>
      </c>
      <c r="Y151" s="48">
        <f>+'Phase I Pro Forma'!Y150/1000000</f>
        <v>0</v>
      </c>
      <c r="Z151" s="48">
        <f>+'Phase I Pro Forma'!Z150/1000000</f>
        <v>0</v>
      </c>
    </row>
    <row r="152" spans="2:26" ht="5" customHeight="1" x14ac:dyDescent="0.2"/>
    <row r="153" spans="2:26" s="156" customFormat="1" x14ac:dyDescent="0.2">
      <c r="B153" s="136" t="s">
        <v>334</v>
      </c>
      <c r="C153" s="136"/>
      <c r="D153" s="136"/>
      <c r="E153" s="136"/>
      <c r="F153" s="128">
        <f ca="1">+F139-F148-F151</f>
        <v>0</v>
      </c>
      <c r="G153" s="128">
        <f t="shared" ref="G153:Z153" ca="1" si="44">+G139-G148-G151</f>
        <v>0</v>
      </c>
      <c r="H153" s="128">
        <f t="shared" ca="1" si="44"/>
        <v>0</v>
      </c>
      <c r="I153" s="128">
        <f t="shared" ca="1" si="44"/>
        <v>-7.9526817276050688</v>
      </c>
      <c r="J153" s="128">
        <f t="shared" ca="1" si="44"/>
        <v>3.8179529773119008</v>
      </c>
      <c r="K153" s="128">
        <f t="shared" ca="1" si="44"/>
        <v>4.0830238785775954</v>
      </c>
      <c r="L153" s="128">
        <f t="shared" ca="1" si="44"/>
        <v>5.7145709351724712</v>
      </c>
      <c r="M153" s="128">
        <f t="shared" ca="1" si="44"/>
        <v>5.9281354620696689</v>
      </c>
      <c r="N153" s="128">
        <f t="shared" ca="1" si="44"/>
        <v>6.2166573553504101</v>
      </c>
      <c r="O153" s="128">
        <f t="shared" ca="1" si="44"/>
        <v>6.5134550410289656</v>
      </c>
      <c r="P153" s="128">
        <f t="shared" ca="1" si="44"/>
        <v>6.7505155027846584</v>
      </c>
      <c r="Q153" s="128">
        <f t="shared" ca="1" si="44"/>
        <v>8.5589098336093947</v>
      </c>
      <c r="R153" s="128">
        <f t="shared" ca="1" si="44"/>
        <v>8.8820074377915397</v>
      </c>
      <c r="S153" s="128">
        <f t="shared" ca="1" si="44"/>
        <v>9.1447680259947859</v>
      </c>
      <c r="T153" s="128">
        <f t="shared" ca="1" si="44"/>
        <v>9.4866993605121444</v>
      </c>
      <c r="U153" s="128">
        <f t="shared" ca="1" si="44"/>
        <v>9.8384608460526444</v>
      </c>
      <c r="V153" s="128">
        <f t="shared" ca="1" si="44"/>
        <v>11.772598318490331</v>
      </c>
      <c r="W153" s="128">
        <f t="shared" ca="1" si="44"/>
        <v>12.14488757167538</v>
      </c>
      <c r="X153" s="128">
        <f t="shared" ca="1" si="44"/>
        <v>12.527891529333754</v>
      </c>
      <c r="Y153" s="128">
        <f t="shared" ca="1" si="44"/>
        <v>12.849491188303386</v>
      </c>
      <c r="Z153" s="128">
        <f t="shared" ca="1" si="44"/>
        <v>13.254870829184537</v>
      </c>
    </row>
    <row r="154" spans="2:26" ht="5" customHeight="1" x14ac:dyDescent="0.2"/>
    <row r="155" spans="2:26" x14ac:dyDescent="0.2">
      <c r="B155" s="147" t="s">
        <v>335</v>
      </c>
    </row>
    <row r="156" spans="2:26" x14ac:dyDescent="0.2">
      <c r="B156" s="32" t="s">
        <v>336</v>
      </c>
      <c r="F156" s="48">
        <f>+'Phase I Pro Forma'!F155/1000000</f>
        <v>0</v>
      </c>
      <c r="G156" s="48">
        <f>+'Phase I Pro Forma'!G155/1000000</f>
        <v>0</v>
      </c>
      <c r="H156" s="48">
        <f>+'Phase I Pro Forma'!H155/1000000</f>
        <v>0</v>
      </c>
      <c r="I156" s="48">
        <f>+'Phase I Pro Forma'!I155/1000000</f>
        <v>0</v>
      </c>
      <c r="J156" s="48">
        <f>+'Phase I Pro Forma'!J155/1000000</f>
        <v>0</v>
      </c>
      <c r="K156" s="48">
        <f>+'Phase I Pro Forma'!K155/1000000</f>
        <v>0</v>
      </c>
      <c r="L156" s="48">
        <f>+'Phase I Pro Forma'!L155/1000000</f>
        <v>0</v>
      </c>
      <c r="M156" s="48">
        <f>+'Phase I Pro Forma'!M155/1000000</f>
        <v>0</v>
      </c>
      <c r="N156" s="48">
        <f>+'Phase I Pro Forma'!N155/1000000</f>
        <v>0</v>
      </c>
      <c r="O156" s="48">
        <f>+'Phase I Pro Forma'!O155/1000000</f>
        <v>0</v>
      </c>
      <c r="P156" s="48">
        <f ca="1">+'Phase I Pro Forma'!P155/1000000</f>
        <v>380.60147571208967</v>
      </c>
      <c r="Q156" s="48">
        <f>+'Phase I Pro Forma'!Q155/1000000</f>
        <v>0</v>
      </c>
      <c r="R156" s="48">
        <f>+'Phase I Pro Forma'!R155/1000000</f>
        <v>0</v>
      </c>
      <c r="S156" s="48">
        <f>+'Phase I Pro Forma'!S155/1000000</f>
        <v>0</v>
      </c>
      <c r="T156" s="48">
        <f>+'Phase I Pro Forma'!T155/1000000</f>
        <v>0</v>
      </c>
      <c r="U156" s="48">
        <f>+'Phase I Pro Forma'!U155/1000000</f>
        <v>0</v>
      </c>
      <c r="V156" s="48">
        <f>+'Phase I Pro Forma'!V155/1000000</f>
        <v>0</v>
      </c>
      <c r="W156" s="48">
        <f>+'Phase I Pro Forma'!W155/1000000</f>
        <v>0</v>
      </c>
      <c r="X156" s="48">
        <f>+'Phase I Pro Forma'!X155/1000000</f>
        <v>0</v>
      </c>
      <c r="Y156" s="48">
        <f>+'Phase I Pro Forma'!Y155/1000000</f>
        <v>0</v>
      </c>
      <c r="Z156" s="48">
        <f>+'Phase I Pro Forma'!Z155/1000000</f>
        <v>0</v>
      </c>
    </row>
    <row r="157" spans="2:26" x14ac:dyDescent="0.2">
      <c r="B157" s="204" t="s">
        <v>787</v>
      </c>
      <c r="C157" s="204"/>
      <c r="D157" s="204"/>
      <c r="E157" s="204"/>
      <c r="F157" s="772">
        <f>+'Phase I Pro Forma'!F156/1000000</f>
        <v>0</v>
      </c>
      <c r="G157" s="772">
        <f>+'Phase I Pro Forma'!G156/1000000</f>
        <v>0</v>
      </c>
      <c r="H157" s="772">
        <f>+'Phase I Pro Forma'!H156/1000000</f>
        <v>0</v>
      </c>
      <c r="I157" s="772">
        <f ca="1">+'Phase I Pro Forma'!I156/1000000</f>
        <v>34.97156891737437</v>
      </c>
      <c r="J157" s="772">
        <f>+'Phase I Pro Forma'!J156/1000000</f>
        <v>0</v>
      </c>
      <c r="K157" s="772">
        <f>+'Phase I Pro Forma'!K156/1000000</f>
        <v>0</v>
      </c>
      <c r="L157" s="772">
        <f>+'Phase I Pro Forma'!L156/1000000</f>
        <v>0</v>
      </c>
      <c r="M157" s="772">
        <f>+'Phase I Pro Forma'!M156/1000000</f>
        <v>0</v>
      </c>
      <c r="N157" s="772">
        <f>+'Phase I Pro Forma'!N156/1000000</f>
        <v>0</v>
      </c>
      <c r="O157" s="772">
        <f>+'Phase I Pro Forma'!O156/1000000</f>
        <v>0</v>
      </c>
      <c r="P157" s="772">
        <f>+'Phase I Pro Forma'!P156/1000000</f>
        <v>0</v>
      </c>
      <c r="Q157" s="772">
        <f>+'Phase I Pro Forma'!Q156/1000000</f>
        <v>0</v>
      </c>
      <c r="R157" s="772">
        <f>+'Phase I Pro Forma'!R156/1000000</f>
        <v>0</v>
      </c>
      <c r="S157" s="772">
        <f>+'Phase I Pro Forma'!S156/1000000</f>
        <v>0</v>
      </c>
      <c r="T157" s="772">
        <f>+'Phase I Pro Forma'!T156/1000000</f>
        <v>0</v>
      </c>
      <c r="U157" s="772">
        <f>+'Phase I Pro Forma'!U156/1000000</f>
        <v>0</v>
      </c>
      <c r="V157" s="772">
        <f>+'Phase I Pro Forma'!V156/1000000</f>
        <v>0</v>
      </c>
      <c r="W157" s="772">
        <f>+'Phase I Pro Forma'!W156/1000000</f>
        <v>0</v>
      </c>
      <c r="X157" s="772">
        <f>+'Phase I Pro Forma'!X156/1000000</f>
        <v>0</v>
      </c>
      <c r="Y157" s="772">
        <f>+'Phase I Pro Forma'!Y156/1000000</f>
        <v>0</v>
      </c>
      <c r="Z157" s="772">
        <f>+'Phase I Pro Forma'!Z156/1000000</f>
        <v>0</v>
      </c>
    </row>
    <row r="158" spans="2:26" x14ac:dyDescent="0.2">
      <c r="B158" s="32" t="s">
        <v>337</v>
      </c>
      <c r="F158" s="772">
        <f>+'Phase I Pro Forma'!F157/1000000</f>
        <v>0</v>
      </c>
      <c r="G158" s="772">
        <f>+'Phase I Pro Forma'!G157/1000000</f>
        <v>0</v>
      </c>
      <c r="H158" s="772">
        <f>+'Phase I Pro Forma'!H157/1000000</f>
        <v>0</v>
      </c>
      <c r="I158" s="772">
        <f>+'Phase I Pro Forma'!I157/1000000</f>
        <v>0</v>
      </c>
      <c r="J158" s="772">
        <f>+'Phase I Pro Forma'!J157/1000000</f>
        <v>0</v>
      </c>
      <c r="K158" s="772">
        <f>+'Phase I Pro Forma'!K157/1000000</f>
        <v>0</v>
      </c>
      <c r="L158" s="772">
        <f>+'Phase I Pro Forma'!L157/1000000</f>
        <v>0</v>
      </c>
      <c r="M158" s="772">
        <f>+'Phase I Pro Forma'!M157/1000000</f>
        <v>0</v>
      </c>
      <c r="N158" s="772">
        <f>+'Phase I Pro Forma'!N157/1000000</f>
        <v>0</v>
      </c>
      <c r="O158" s="772">
        <f>+'Phase I Pro Forma'!O157/1000000</f>
        <v>0</v>
      </c>
      <c r="P158" s="772">
        <f ca="1">+'Phase I Pro Forma'!P157/1000000</f>
        <v>-7.6120295142417929</v>
      </c>
      <c r="Q158" s="772">
        <f>+'Phase I Pro Forma'!Q157/1000000</f>
        <v>0</v>
      </c>
      <c r="R158" s="772">
        <f>+'Phase I Pro Forma'!R157/1000000</f>
        <v>0</v>
      </c>
      <c r="S158" s="772">
        <f>+'Phase I Pro Forma'!S157/1000000</f>
        <v>0</v>
      </c>
      <c r="T158" s="772">
        <f>+'Phase I Pro Forma'!T157/1000000</f>
        <v>0</v>
      </c>
      <c r="U158" s="772">
        <f>+'Phase I Pro Forma'!U157/1000000</f>
        <v>0</v>
      </c>
      <c r="V158" s="772">
        <f>+'Phase I Pro Forma'!V157/1000000</f>
        <v>0</v>
      </c>
      <c r="W158" s="772">
        <f>+'Phase I Pro Forma'!W157/1000000</f>
        <v>0</v>
      </c>
      <c r="X158" s="772">
        <f>+'Phase I Pro Forma'!X157/1000000</f>
        <v>0</v>
      </c>
      <c r="Y158" s="772">
        <f>+'Phase I Pro Forma'!Y157/1000000</f>
        <v>0</v>
      </c>
      <c r="Z158" s="772">
        <f>+'Phase I Pro Forma'!Z157/1000000</f>
        <v>0</v>
      </c>
    </row>
    <row r="159" spans="2:26" x14ac:dyDescent="0.2">
      <c r="B159" s="32" t="s">
        <v>338</v>
      </c>
      <c r="F159" s="772">
        <f>+'Phase I Pro Forma'!F158/1000000</f>
        <v>0</v>
      </c>
      <c r="G159" s="772">
        <f>+'Phase I Pro Forma'!G158/1000000</f>
        <v>0</v>
      </c>
      <c r="H159" s="772">
        <f>+'Phase I Pro Forma'!H158/1000000</f>
        <v>0</v>
      </c>
      <c r="I159" s="772">
        <f>+'Phase I Pro Forma'!I158/1000000</f>
        <v>0</v>
      </c>
      <c r="J159" s="772">
        <f>+'Phase I Pro Forma'!J158/1000000</f>
        <v>0</v>
      </c>
      <c r="K159" s="772">
        <f>+'Phase I Pro Forma'!K158/1000000</f>
        <v>0</v>
      </c>
      <c r="L159" s="772">
        <f>+'Phase I Pro Forma'!L158/1000000</f>
        <v>0</v>
      </c>
      <c r="M159" s="772">
        <f>+'Phase I Pro Forma'!M158/1000000</f>
        <v>0</v>
      </c>
      <c r="N159" s="772">
        <f>+'Phase I Pro Forma'!N158/1000000</f>
        <v>0</v>
      </c>
      <c r="O159" s="772">
        <f>+'Phase I Pro Forma'!O158/1000000</f>
        <v>0</v>
      </c>
      <c r="P159" s="772">
        <f ca="1">+'Phase I Pro Forma'!P158/1000000</f>
        <v>-188.39391657396058</v>
      </c>
      <c r="Q159" s="772">
        <f>+'Phase I Pro Forma'!Q158/1000000</f>
        <v>0</v>
      </c>
      <c r="R159" s="772">
        <f>+'Phase I Pro Forma'!R158/1000000</f>
        <v>0</v>
      </c>
      <c r="S159" s="772">
        <f>+'Phase I Pro Forma'!S158/1000000</f>
        <v>0</v>
      </c>
      <c r="T159" s="772">
        <f>+'Phase I Pro Forma'!T158/1000000</f>
        <v>0</v>
      </c>
      <c r="U159" s="772">
        <f>+'Phase I Pro Forma'!U158/1000000</f>
        <v>0</v>
      </c>
      <c r="V159" s="772">
        <f>+'Phase I Pro Forma'!V158/1000000</f>
        <v>0</v>
      </c>
      <c r="W159" s="772">
        <f>+'Phase I Pro Forma'!W158/1000000</f>
        <v>0</v>
      </c>
      <c r="X159" s="772">
        <f>+'Phase I Pro Forma'!X158/1000000</f>
        <v>0</v>
      </c>
      <c r="Y159" s="772">
        <f>+'Phase I Pro Forma'!Y158/1000000</f>
        <v>0</v>
      </c>
      <c r="Z159" s="772">
        <f>+'Phase I Pro Forma'!Z158/1000000</f>
        <v>0</v>
      </c>
    </row>
    <row r="160" spans="2:26" x14ac:dyDescent="0.2">
      <c r="B160" s="136" t="s">
        <v>339</v>
      </c>
      <c r="C160" s="136"/>
      <c r="D160" s="136"/>
      <c r="E160" s="136"/>
      <c r="F160" s="773">
        <f>+SUM(F156:F159)</f>
        <v>0</v>
      </c>
      <c r="G160" s="773">
        <f t="shared" ref="G160:Z160" si="45">+SUM(G156:G159)</f>
        <v>0</v>
      </c>
      <c r="H160" s="773">
        <f t="shared" si="45"/>
        <v>0</v>
      </c>
      <c r="I160" s="773">
        <f t="shared" ca="1" si="45"/>
        <v>34.97156891737437</v>
      </c>
      <c r="J160" s="773">
        <f t="shared" si="45"/>
        <v>0</v>
      </c>
      <c r="K160" s="773">
        <f t="shared" si="45"/>
        <v>0</v>
      </c>
      <c r="L160" s="773">
        <f t="shared" si="45"/>
        <v>0</v>
      </c>
      <c r="M160" s="773">
        <f t="shared" si="45"/>
        <v>0</v>
      </c>
      <c r="N160" s="773">
        <f t="shared" si="45"/>
        <v>0</v>
      </c>
      <c r="O160" s="773">
        <f t="shared" si="45"/>
        <v>0</v>
      </c>
      <c r="P160" s="773">
        <f t="shared" ca="1" si="45"/>
        <v>184.5955296238873</v>
      </c>
      <c r="Q160" s="773">
        <f t="shared" si="45"/>
        <v>0</v>
      </c>
      <c r="R160" s="773">
        <f t="shared" si="45"/>
        <v>0</v>
      </c>
      <c r="S160" s="773">
        <f t="shared" si="45"/>
        <v>0</v>
      </c>
      <c r="T160" s="773">
        <f t="shared" si="45"/>
        <v>0</v>
      </c>
      <c r="U160" s="773">
        <f t="shared" si="45"/>
        <v>0</v>
      </c>
      <c r="V160" s="773">
        <f t="shared" si="45"/>
        <v>0</v>
      </c>
      <c r="W160" s="773">
        <f t="shared" si="45"/>
        <v>0</v>
      </c>
      <c r="X160" s="773">
        <f t="shared" si="45"/>
        <v>0</v>
      </c>
      <c r="Y160" s="773">
        <f t="shared" si="45"/>
        <v>0</v>
      </c>
      <c r="Z160" s="773">
        <f t="shared" si="45"/>
        <v>0</v>
      </c>
    </row>
    <row r="161" spans="2:26" hidden="1" x14ac:dyDescent="0.2">
      <c r="B161" s="795" t="s">
        <v>771</v>
      </c>
      <c r="C161" s="793"/>
      <c r="D161" s="793"/>
      <c r="E161" s="793"/>
      <c r="F161" s="793"/>
      <c r="G161" s="793"/>
      <c r="H161" s="793"/>
      <c r="I161" s="793"/>
      <c r="J161" s="793"/>
      <c r="K161" s="793"/>
      <c r="L161" s="793"/>
      <c r="M161" s="793"/>
      <c r="N161" s="793"/>
      <c r="O161" s="793"/>
      <c r="P161" s="793"/>
      <c r="Q161" s="793"/>
      <c r="R161" s="793"/>
      <c r="S161" s="793"/>
      <c r="T161" s="793"/>
      <c r="U161" s="793"/>
      <c r="V161" s="793"/>
      <c r="W161" s="793"/>
      <c r="X161" s="793"/>
      <c r="Y161" s="793"/>
      <c r="Z161" s="793"/>
    </row>
    <row r="162" spans="2:26" ht="5" customHeight="1" x14ac:dyDescent="0.2"/>
    <row r="163" spans="2:26" x14ac:dyDescent="0.2">
      <c r="B163" s="137" t="s">
        <v>788</v>
      </c>
      <c r="C163" s="137"/>
      <c r="D163" s="137"/>
      <c r="E163" s="137"/>
      <c r="F163" s="774">
        <f ca="1">+'Phase I Pro Forma'!F162/1000000</f>
        <v>0</v>
      </c>
      <c r="G163" s="774">
        <f ca="1">+'Phase I Pro Forma'!G162/1000000</f>
        <v>0</v>
      </c>
      <c r="H163" s="774">
        <f ca="1">+'Phase I Pro Forma'!H162/1000000</f>
        <v>0</v>
      </c>
      <c r="I163" s="774">
        <f ca="1">+'Phase I Pro Forma'!I162/1000000</f>
        <v>27.018887189769305</v>
      </c>
      <c r="J163" s="774">
        <f ca="1">+'Phase I Pro Forma'!J162/1000000</f>
        <v>3.8179529773118941</v>
      </c>
      <c r="K163" s="774">
        <f ca="1">+'Phase I Pro Forma'!K162/1000000</f>
        <v>4.0830238785775919</v>
      </c>
      <c r="L163" s="774">
        <f ca="1">+'Phase I Pro Forma'!L162/1000000</f>
        <v>5.7145709351724685</v>
      </c>
      <c r="M163" s="774">
        <f ca="1">+'Phase I Pro Forma'!M162/1000000</f>
        <v>5.928135462069668</v>
      </c>
      <c r="N163" s="774">
        <f ca="1">+'Phase I Pro Forma'!N162/1000000</f>
        <v>6.2166573553504083</v>
      </c>
      <c r="O163" s="774">
        <f ca="1">+'Phase I Pro Forma'!O162/1000000</f>
        <v>6.5134550410289656</v>
      </c>
      <c r="P163" s="774">
        <f ca="1">+'Phase I Pro Forma'!P162/1000000</f>
        <v>191.34604512667195</v>
      </c>
      <c r="Q163" s="774">
        <f>+'Phase I Pro Forma'!Q162/1000000</f>
        <v>0</v>
      </c>
      <c r="R163" s="774">
        <f>+'Phase I Pro Forma'!R162/1000000</f>
        <v>0</v>
      </c>
      <c r="S163" s="774">
        <f>+'Phase I Pro Forma'!S162/1000000</f>
        <v>0</v>
      </c>
      <c r="T163" s="774">
        <f>+'Phase I Pro Forma'!T162/1000000</f>
        <v>0</v>
      </c>
      <c r="U163" s="774">
        <f>+'Phase I Pro Forma'!U162/1000000</f>
        <v>0</v>
      </c>
      <c r="V163" s="774">
        <f>+'Phase I Pro Forma'!V162/1000000</f>
        <v>0</v>
      </c>
      <c r="W163" s="774">
        <f>+'Phase I Pro Forma'!W162/1000000</f>
        <v>0</v>
      </c>
      <c r="X163" s="774">
        <f>+'Phase I Pro Forma'!X162/1000000</f>
        <v>0</v>
      </c>
      <c r="Y163" s="774">
        <f>+'Phase I Pro Forma'!Y162/1000000</f>
        <v>0</v>
      </c>
      <c r="Z163" s="774">
        <f>+'Phase I Pro Forma'!Z162/1000000</f>
        <v>0</v>
      </c>
    </row>
    <row r="165" spans="2:26" x14ac:dyDescent="0.2">
      <c r="B165" s="36" t="s">
        <v>768</v>
      </c>
      <c r="C165" s="37"/>
      <c r="D165" s="37"/>
      <c r="E165" s="37"/>
      <c r="F165" s="135">
        <f>+F6</f>
        <v>44196</v>
      </c>
      <c r="G165" s="135">
        <f t="shared" ref="G165:Z165" si="46">+G6</f>
        <v>44561</v>
      </c>
      <c r="H165" s="135">
        <f t="shared" si="46"/>
        <v>44926</v>
      </c>
      <c r="I165" s="135">
        <f t="shared" si="46"/>
        <v>45291</v>
      </c>
      <c r="J165" s="135">
        <f t="shared" si="46"/>
        <v>45657</v>
      </c>
      <c r="K165" s="135">
        <f t="shared" si="46"/>
        <v>46022</v>
      </c>
      <c r="L165" s="135">
        <f t="shared" si="46"/>
        <v>46387</v>
      </c>
      <c r="M165" s="135">
        <f t="shared" si="46"/>
        <v>46752</v>
      </c>
      <c r="N165" s="135">
        <f t="shared" si="46"/>
        <v>47118</v>
      </c>
      <c r="O165" s="135">
        <f t="shared" si="46"/>
        <v>47483</v>
      </c>
      <c r="P165" s="135">
        <f t="shared" si="46"/>
        <v>47848</v>
      </c>
      <c r="Q165" s="135">
        <f t="shared" si="46"/>
        <v>48213</v>
      </c>
      <c r="R165" s="135">
        <f t="shared" si="46"/>
        <v>48579</v>
      </c>
      <c r="S165" s="135">
        <f t="shared" si="46"/>
        <v>48944</v>
      </c>
      <c r="T165" s="135">
        <f t="shared" si="46"/>
        <v>49309</v>
      </c>
      <c r="U165" s="135">
        <f t="shared" si="46"/>
        <v>49674</v>
      </c>
      <c r="V165" s="135">
        <f t="shared" si="46"/>
        <v>50040</v>
      </c>
      <c r="W165" s="135">
        <f t="shared" si="46"/>
        <v>50405</v>
      </c>
      <c r="X165" s="135">
        <f t="shared" si="46"/>
        <v>50770</v>
      </c>
      <c r="Y165" s="135">
        <f t="shared" si="46"/>
        <v>51135</v>
      </c>
      <c r="Z165" s="135">
        <f t="shared" si="46"/>
        <v>51501</v>
      </c>
    </row>
    <row r="166" spans="2:26" hidden="1" x14ac:dyDescent="0.2">
      <c r="B166" s="793"/>
      <c r="C166" s="793"/>
      <c r="D166" s="793"/>
      <c r="E166" s="793"/>
      <c r="F166" s="793"/>
      <c r="G166" s="793"/>
      <c r="H166" s="793"/>
      <c r="I166" s="793"/>
      <c r="J166" s="793"/>
      <c r="K166" s="793"/>
      <c r="L166" s="793"/>
      <c r="M166" s="793"/>
      <c r="N166" s="793"/>
      <c r="O166" s="793"/>
      <c r="P166" s="793"/>
      <c r="Q166" s="793"/>
      <c r="R166" s="793"/>
      <c r="S166" s="793"/>
      <c r="T166" s="793"/>
      <c r="U166" s="793"/>
      <c r="V166" s="793"/>
      <c r="W166" s="793"/>
      <c r="X166" s="793"/>
      <c r="Y166" s="793"/>
      <c r="Z166" s="793"/>
    </row>
    <row r="167" spans="2:26" x14ac:dyDescent="0.2">
      <c r="B167" s="147" t="s">
        <v>26</v>
      </c>
      <c r="C167" s="148"/>
      <c r="D167" s="148"/>
      <c r="E167" s="148"/>
      <c r="F167" s="776">
        <f>+F165</f>
        <v>44196</v>
      </c>
      <c r="G167" s="776">
        <f t="shared" ref="G167:Z167" si="47">+G165</f>
        <v>44561</v>
      </c>
      <c r="H167" s="776">
        <f t="shared" si="47"/>
        <v>44926</v>
      </c>
      <c r="I167" s="776">
        <f t="shared" si="47"/>
        <v>45291</v>
      </c>
      <c r="J167" s="776">
        <f t="shared" si="47"/>
        <v>45657</v>
      </c>
      <c r="K167" s="776">
        <f t="shared" si="47"/>
        <v>46022</v>
      </c>
      <c r="L167" s="776">
        <f t="shared" si="47"/>
        <v>46387</v>
      </c>
      <c r="M167" s="776">
        <f t="shared" si="47"/>
        <v>46752</v>
      </c>
      <c r="N167" s="776">
        <f t="shared" si="47"/>
        <v>47118</v>
      </c>
      <c r="O167" s="776">
        <f t="shared" si="47"/>
        <v>47483</v>
      </c>
      <c r="P167" s="776">
        <f t="shared" si="47"/>
        <v>47848</v>
      </c>
      <c r="Q167" s="776">
        <f t="shared" si="47"/>
        <v>48213</v>
      </c>
      <c r="R167" s="776">
        <f t="shared" si="47"/>
        <v>48579</v>
      </c>
      <c r="S167" s="776">
        <f t="shared" si="47"/>
        <v>48944</v>
      </c>
      <c r="T167" s="776">
        <f t="shared" si="47"/>
        <v>49309</v>
      </c>
      <c r="U167" s="776">
        <f t="shared" si="47"/>
        <v>49674</v>
      </c>
      <c r="V167" s="776">
        <f t="shared" si="47"/>
        <v>50040</v>
      </c>
      <c r="W167" s="776">
        <f t="shared" si="47"/>
        <v>50405</v>
      </c>
      <c r="X167" s="776">
        <f t="shared" si="47"/>
        <v>50770</v>
      </c>
      <c r="Y167" s="776">
        <f t="shared" si="47"/>
        <v>51135</v>
      </c>
      <c r="Z167" s="776">
        <f t="shared" si="47"/>
        <v>51501</v>
      </c>
    </row>
    <row r="168" spans="2:26" hidden="1" x14ac:dyDescent="0.2">
      <c r="B168" s="788" t="s">
        <v>757</v>
      </c>
      <c r="C168" s="788"/>
      <c r="D168" s="791"/>
      <c r="E168" s="791"/>
      <c r="F168" s="789">
        <f>+'Phase I Pro Forma'!F167</f>
        <v>0</v>
      </c>
      <c r="G168" s="789">
        <f>+'Phase I Pro Forma'!G167</f>
        <v>0</v>
      </c>
      <c r="H168" s="789">
        <f>+'Phase I Pro Forma'!H167</f>
        <v>0</v>
      </c>
      <c r="I168" s="789">
        <f>+'Phase I Pro Forma'!I167</f>
        <v>173.40350000000004</v>
      </c>
      <c r="J168" s="789">
        <f>+'Phase I Pro Forma'!J167</f>
        <v>173.40350000000004</v>
      </c>
      <c r="K168" s="789">
        <f>+'Phase I Pro Forma'!K167</f>
        <v>0</v>
      </c>
      <c r="L168" s="789">
        <f>+'Phase I Pro Forma'!L167</f>
        <v>0</v>
      </c>
      <c r="M168" s="789">
        <f>+'Phase I Pro Forma'!M167</f>
        <v>0</v>
      </c>
      <c r="N168" s="789">
        <f>+'Phase I Pro Forma'!N167</f>
        <v>0</v>
      </c>
      <c r="O168" s="789">
        <f>+'Phase I Pro Forma'!O167</f>
        <v>0</v>
      </c>
      <c r="P168" s="789">
        <f>+'Phase I Pro Forma'!P167</f>
        <v>0</v>
      </c>
      <c r="Q168" s="789">
        <f>+'Phase I Pro Forma'!Q167</f>
        <v>0</v>
      </c>
      <c r="R168" s="789">
        <f>+'Phase I Pro Forma'!R167</f>
        <v>0</v>
      </c>
      <c r="S168" s="789">
        <f>+'Phase I Pro Forma'!S167</f>
        <v>0</v>
      </c>
      <c r="T168" s="789">
        <f>+'Phase I Pro Forma'!T167</f>
        <v>0</v>
      </c>
      <c r="U168" s="789">
        <f>+'Phase I Pro Forma'!U167</f>
        <v>0</v>
      </c>
      <c r="V168" s="789">
        <f>+'Phase I Pro Forma'!V167</f>
        <v>0</v>
      </c>
      <c r="W168" s="789">
        <f>+'Phase I Pro Forma'!W167</f>
        <v>0</v>
      </c>
      <c r="X168" s="789">
        <f>+'Phase I Pro Forma'!X167</f>
        <v>0</v>
      </c>
      <c r="Y168" s="789">
        <f>+'Phase I Pro Forma'!Y167</f>
        <v>0</v>
      </c>
      <c r="Z168" s="789">
        <f>+'Phase I Pro Forma'!Z167</f>
        <v>0</v>
      </c>
    </row>
    <row r="169" spans="2:26" x14ac:dyDescent="0.2">
      <c r="B169" s="32" t="s">
        <v>306</v>
      </c>
      <c r="C169" s="32"/>
      <c r="D169" s="39"/>
      <c r="E169" s="39"/>
      <c r="F169" s="41">
        <f>+D169+F168</f>
        <v>0</v>
      </c>
      <c r="G169" s="41">
        <f t="shared" ref="G169:Z169" si="48">+F169+G168</f>
        <v>0</v>
      </c>
      <c r="H169" s="41">
        <f t="shared" si="48"/>
        <v>0</v>
      </c>
      <c r="I169" s="41">
        <f t="shared" si="48"/>
        <v>173.40350000000004</v>
      </c>
      <c r="J169" s="41">
        <f t="shared" si="48"/>
        <v>346.80700000000007</v>
      </c>
      <c r="K169" s="41">
        <f t="shared" si="48"/>
        <v>346.80700000000007</v>
      </c>
      <c r="L169" s="41">
        <f t="shared" si="48"/>
        <v>346.80700000000007</v>
      </c>
      <c r="M169" s="41">
        <f t="shared" si="48"/>
        <v>346.80700000000007</v>
      </c>
      <c r="N169" s="41">
        <f t="shared" si="48"/>
        <v>346.80700000000007</v>
      </c>
      <c r="O169" s="41">
        <f t="shared" si="48"/>
        <v>346.80700000000007</v>
      </c>
      <c r="P169" s="41">
        <f t="shared" si="48"/>
        <v>346.80700000000007</v>
      </c>
      <c r="Q169" s="41">
        <f t="shared" si="48"/>
        <v>346.80700000000007</v>
      </c>
      <c r="R169" s="41">
        <f t="shared" si="48"/>
        <v>346.80700000000007</v>
      </c>
      <c r="S169" s="41">
        <f t="shared" si="48"/>
        <v>346.80700000000007</v>
      </c>
      <c r="T169" s="41">
        <f t="shared" si="48"/>
        <v>346.80700000000007</v>
      </c>
      <c r="U169" s="41">
        <f t="shared" si="48"/>
        <v>346.80700000000007</v>
      </c>
      <c r="V169" s="41">
        <f t="shared" si="48"/>
        <v>346.80700000000007</v>
      </c>
      <c r="W169" s="41">
        <f t="shared" si="48"/>
        <v>346.80700000000007</v>
      </c>
      <c r="X169" s="41">
        <f t="shared" si="48"/>
        <v>346.80700000000007</v>
      </c>
      <c r="Y169" s="41">
        <f t="shared" si="48"/>
        <v>346.80700000000007</v>
      </c>
      <c r="Z169" s="41">
        <f t="shared" si="48"/>
        <v>346.80700000000007</v>
      </c>
    </row>
    <row r="170" spans="2:26" hidden="1" x14ac:dyDescent="0.2">
      <c r="B170" s="788" t="s">
        <v>300</v>
      </c>
      <c r="C170" s="788"/>
      <c r="D170" s="789"/>
      <c r="E170" s="789"/>
      <c r="F170" s="790">
        <f>+'Phase I Pro Forma'!F169</f>
        <v>0</v>
      </c>
      <c r="G170" s="790">
        <f>+'Phase I Pro Forma'!G169</f>
        <v>0</v>
      </c>
      <c r="H170" s="790">
        <f>+'Phase I Pro Forma'!H169</f>
        <v>0</v>
      </c>
      <c r="I170" s="790">
        <f>+'Phase I Pro Forma'!I169</f>
        <v>0.5</v>
      </c>
      <c r="J170" s="790">
        <f>+'Phase I Pro Forma'!J169</f>
        <v>1</v>
      </c>
      <c r="K170" s="790">
        <f>+'Phase I Pro Forma'!K169</f>
        <v>1</v>
      </c>
      <c r="L170" s="790">
        <f>+'Phase I Pro Forma'!L169</f>
        <v>1</v>
      </c>
      <c r="M170" s="790">
        <f>+'Phase I Pro Forma'!M169</f>
        <v>1</v>
      </c>
      <c r="N170" s="790">
        <f>+'Phase I Pro Forma'!N169</f>
        <v>1</v>
      </c>
      <c r="O170" s="790">
        <f>+'Phase I Pro Forma'!O169</f>
        <v>1</v>
      </c>
      <c r="P170" s="790">
        <f>+'Phase I Pro Forma'!P169</f>
        <v>1</v>
      </c>
      <c r="Q170" s="790">
        <f>+'Phase I Pro Forma'!Q169</f>
        <v>1</v>
      </c>
      <c r="R170" s="790">
        <f>+'Phase I Pro Forma'!R169</f>
        <v>1</v>
      </c>
      <c r="S170" s="790">
        <f>+'Phase I Pro Forma'!S169</f>
        <v>1</v>
      </c>
      <c r="T170" s="790">
        <f>+'Phase I Pro Forma'!T169</f>
        <v>1</v>
      </c>
      <c r="U170" s="790">
        <f>+'Phase I Pro Forma'!U169</f>
        <v>1</v>
      </c>
      <c r="V170" s="790">
        <f>+'Phase I Pro Forma'!V169</f>
        <v>1</v>
      </c>
      <c r="W170" s="790">
        <f>+'Phase I Pro Forma'!W169</f>
        <v>1</v>
      </c>
      <c r="X170" s="790">
        <f>+'Phase I Pro Forma'!X169</f>
        <v>1</v>
      </c>
      <c r="Y170" s="790">
        <f>+'Phase I Pro Forma'!Y169</f>
        <v>1</v>
      </c>
      <c r="Z170" s="790">
        <f>+'Phase I Pro Forma'!Z169</f>
        <v>1</v>
      </c>
    </row>
    <row r="171" spans="2:26" ht="5" customHeight="1" x14ac:dyDescent="0.2">
      <c r="B171" s="32"/>
      <c r="C171" s="32"/>
      <c r="D171" s="41"/>
      <c r="E171" s="41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2:26" x14ac:dyDescent="0.2">
      <c r="B172" s="32" t="s">
        <v>303</v>
      </c>
      <c r="F172" s="33">
        <f>+'Phase I Pro Forma'!F171</f>
        <v>0</v>
      </c>
      <c r="G172" s="33">
        <f>+'Phase I Pro Forma'!G171</f>
        <v>0</v>
      </c>
      <c r="H172" s="33">
        <f>+'Phase I Pro Forma'!H171</f>
        <v>0</v>
      </c>
      <c r="I172" s="33">
        <f>+'Phase I Pro Forma'!I171</f>
        <v>170</v>
      </c>
      <c r="J172" s="33">
        <f>+'Phase I Pro Forma'!J171</f>
        <v>175</v>
      </c>
      <c r="K172" s="33">
        <f>+'Phase I Pro Forma'!K171</f>
        <v>180</v>
      </c>
      <c r="L172" s="33">
        <f>+'Phase I Pro Forma'!L171</f>
        <v>180</v>
      </c>
      <c r="M172" s="33">
        <f>+'Phase I Pro Forma'!M171</f>
        <v>180</v>
      </c>
      <c r="N172" s="33">
        <f>+'Phase I Pro Forma'!N171</f>
        <v>180</v>
      </c>
      <c r="O172" s="33">
        <f>+'Phase I Pro Forma'!O171</f>
        <v>180</v>
      </c>
      <c r="P172" s="33">
        <f>+'Phase I Pro Forma'!P171</f>
        <v>180</v>
      </c>
      <c r="Q172" s="33">
        <f>+'Phase I Pro Forma'!Q171</f>
        <v>180</v>
      </c>
      <c r="R172" s="33">
        <f>+'Phase I Pro Forma'!R171</f>
        <v>180</v>
      </c>
      <c r="S172" s="33">
        <f>+'Phase I Pro Forma'!S171</f>
        <v>180</v>
      </c>
      <c r="T172" s="33">
        <f>+'Phase I Pro Forma'!T171</f>
        <v>180</v>
      </c>
      <c r="U172" s="33">
        <f>+'Phase I Pro Forma'!U171</f>
        <v>180</v>
      </c>
      <c r="V172" s="33">
        <f>+'Phase I Pro Forma'!V171</f>
        <v>180</v>
      </c>
      <c r="W172" s="33">
        <f>+'Phase I Pro Forma'!W171</f>
        <v>180</v>
      </c>
      <c r="X172" s="33">
        <f>+'Phase I Pro Forma'!X171</f>
        <v>180</v>
      </c>
      <c r="Y172" s="33">
        <f>+'Phase I Pro Forma'!Y171</f>
        <v>180</v>
      </c>
      <c r="Z172" s="33">
        <f>+'Phase I Pro Forma'!Z171</f>
        <v>180</v>
      </c>
    </row>
    <row r="173" spans="2:26" x14ac:dyDescent="0.2">
      <c r="B173" s="32" t="s">
        <v>310</v>
      </c>
      <c r="C173" s="32"/>
      <c r="D173" s="41"/>
      <c r="E173" s="41"/>
      <c r="F173" s="107">
        <f>+'Phase I Pro Forma'!F172</f>
        <v>1</v>
      </c>
      <c r="G173" s="107">
        <f>+'Phase I Pro Forma'!G172</f>
        <v>1.02</v>
      </c>
      <c r="H173" s="107">
        <f>+'Phase I Pro Forma'!H172</f>
        <v>1.0404</v>
      </c>
      <c r="I173" s="107">
        <f>+'Phase I Pro Forma'!I172</f>
        <v>1.0612079999999999</v>
      </c>
      <c r="J173" s="107">
        <f>+'Phase I Pro Forma'!J172</f>
        <v>1.08243216</v>
      </c>
      <c r="K173" s="107">
        <f>+'Phase I Pro Forma'!K172</f>
        <v>1.1040808032</v>
      </c>
      <c r="L173" s="107">
        <f>+'Phase I Pro Forma'!L172</f>
        <v>1.1261624192640001</v>
      </c>
      <c r="M173" s="107">
        <f>+'Phase I Pro Forma'!M172</f>
        <v>1.14868566764928</v>
      </c>
      <c r="N173" s="107">
        <f>+'Phase I Pro Forma'!N172</f>
        <v>1.1716593810022657</v>
      </c>
      <c r="O173" s="107">
        <f>+'Phase I Pro Forma'!O172</f>
        <v>1.1950925686223111</v>
      </c>
      <c r="P173" s="107">
        <f>+'Phase I Pro Forma'!P172</f>
        <v>1.2189944199947573</v>
      </c>
      <c r="Q173" s="107">
        <f>+'Phase I Pro Forma'!Q172</f>
        <v>1.2433743083946525</v>
      </c>
      <c r="R173" s="107">
        <f>+'Phase I Pro Forma'!R172</f>
        <v>1.2682417945625455</v>
      </c>
      <c r="S173" s="107">
        <f>+'Phase I Pro Forma'!S172</f>
        <v>1.2936066304537963</v>
      </c>
      <c r="T173" s="107">
        <f>+'Phase I Pro Forma'!T172</f>
        <v>1.3194787630628724</v>
      </c>
      <c r="U173" s="107">
        <f>+'Phase I Pro Forma'!U172</f>
        <v>1.3458683383241299</v>
      </c>
      <c r="V173" s="107">
        <f>+'Phase I Pro Forma'!V172</f>
        <v>1.3727857050906125</v>
      </c>
      <c r="W173" s="107">
        <f>+'Phase I Pro Forma'!W172</f>
        <v>1.4002414191924248</v>
      </c>
      <c r="X173" s="107">
        <f>+'Phase I Pro Forma'!X172</f>
        <v>1.4282462475762734</v>
      </c>
      <c r="Y173" s="107">
        <f>+'Phase I Pro Forma'!Y172</f>
        <v>1.4568111725277988</v>
      </c>
      <c r="Z173" s="107">
        <f>+'Phase I Pro Forma'!Z172</f>
        <v>1.4859473959783549</v>
      </c>
    </row>
    <row r="174" spans="2:26" x14ac:dyDescent="0.2">
      <c r="B174" s="32" t="s">
        <v>304</v>
      </c>
      <c r="C174" s="32"/>
      <c r="D174" s="41"/>
      <c r="E174" s="41"/>
      <c r="F174" s="33">
        <f>+F172*F173</f>
        <v>0</v>
      </c>
      <c r="G174" s="33">
        <f t="shared" ref="G174:Z174" si="49">+G172*G173</f>
        <v>0</v>
      </c>
      <c r="H174" s="33">
        <f t="shared" si="49"/>
        <v>0</v>
      </c>
      <c r="I174" s="33">
        <f t="shared" si="49"/>
        <v>180.40536</v>
      </c>
      <c r="J174" s="33">
        <f t="shared" si="49"/>
        <v>189.42562799999999</v>
      </c>
      <c r="K174" s="33">
        <f t="shared" si="49"/>
        <v>198.73454457599999</v>
      </c>
      <c r="L174" s="33">
        <f t="shared" si="49"/>
        <v>202.70923546752002</v>
      </c>
      <c r="M174" s="33">
        <f t="shared" si="49"/>
        <v>206.7634201768704</v>
      </c>
      <c r="N174" s="33">
        <f t="shared" si="49"/>
        <v>210.89868858040782</v>
      </c>
      <c r="O174" s="33">
        <f t="shared" si="49"/>
        <v>215.11666235201599</v>
      </c>
      <c r="P174" s="33">
        <f t="shared" si="49"/>
        <v>219.41899559905633</v>
      </c>
      <c r="Q174" s="33">
        <f t="shared" si="49"/>
        <v>223.80737551103743</v>
      </c>
      <c r="R174" s="33">
        <f t="shared" si="49"/>
        <v>228.28352302125819</v>
      </c>
      <c r="S174" s="33">
        <f t="shared" si="49"/>
        <v>232.84919348168333</v>
      </c>
      <c r="T174" s="33">
        <f t="shared" si="49"/>
        <v>237.50617735131704</v>
      </c>
      <c r="U174" s="33">
        <f t="shared" si="49"/>
        <v>242.25630089834337</v>
      </c>
      <c r="V174" s="33">
        <f t="shared" si="49"/>
        <v>247.10142691631026</v>
      </c>
      <c r="W174" s="33">
        <f t="shared" si="49"/>
        <v>252.04345545463647</v>
      </c>
      <c r="X174" s="33">
        <f t="shared" si="49"/>
        <v>257.08432456372918</v>
      </c>
      <c r="Y174" s="33">
        <f t="shared" si="49"/>
        <v>262.22601105500377</v>
      </c>
      <c r="Z174" s="33">
        <f t="shared" si="49"/>
        <v>267.47053127610388</v>
      </c>
    </row>
    <row r="175" spans="2:26" ht="5" customHeight="1" x14ac:dyDescent="0.2">
      <c r="B175" s="32"/>
    </row>
    <row r="176" spans="2:26" x14ac:dyDescent="0.2">
      <c r="B176" s="32" t="s">
        <v>153</v>
      </c>
      <c r="F176" s="107">
        <f>+'Phase I Pro Forma'!F175</f>
        <v>0</v>
      </c>
      <c r="G176" s="107">
        <f>+'Phase I Pro Forma'!G175</f>
        <v>0</v>
      </c>
      <c r="H176" s="107">
        <f>+'Phase I Pro Forma'!H175</f>
        <v>0</v>
      </c>
      <c r="I176" s="107">
        <f>+'Phase I Pro Forma'!I175</f>
        <v>0.65</v>
      </c>
      <c r="J176" s="107">
        <f>+'Phase I Pro Forma'!J175</f>
        <v>0.7</v>
      </c>
      <c r="K176" s="107">
        <f>+'Phase I Pro Forma'!K175</f>
        <v>0.7</v>
      </c>
      <c r="L176" s="107">
        <f>+'Phase I Pro Forma'!L175</f>
        <v>0.7</v>
      </c>
      <c r="M176" s="107">
        <f>+'Phase I Pro Forma'!M175</f>
        <v>0.7</v>
      </c>
      <c r="N176" s="107">
        <f>+'Phase I Pro Forma'!N175</f>
        <v>0.7</v>
      </c>
      <c r="O176" s="107">
        <f>+'Phase I Pro Forma'!O175</f>
        <v>0.7</v>
      </c>
      <c r="P176" s="107">
        <f>+'Phase I Pro Forma'!P175</f>
        <v>0.7</v>
      </c>
      <c r="Q176" s="107">
        <f>+'Phase I Pro Forma'!Q175</f>
        <v>0.7</v>
      </c>
      <c r="R176" s="107">
        <f>+'Phase I Pro Forma'!R175</f>
        <v>0.7</v>
      </c>
      <c r="S176" s="107">
        <f>+'Phase I Pro Forma'!S175</f>
        <v>0.7</v>
      </c>
      <c r="T176" s="107">
        <f>+'Phase I Pro Forma'!T175</f>
        <v>0.7</v>
      </c>
      <c r="U176" s="107">
        <f>+'Phase I Pro Forma'!U175</f>
        <v>0.7</v>
      </c>
      <c r="V176" s="107">
        <f>+'Phase I Pro Forma'!V175</f>
        <v>0.7</v>
      </c>
      <c r="W176" s="107">
        <f>+'Phase I Pro Forma'!W175</f>
        <v>0.7</v>
      </c>
      <c r="X176" s="107">
        <f>+'Phase I Pro Forma'!X175</f>
        <v>0.7</v>
      </c>
      <c r="Y176" s="107">
        <f>+'Phase I Pro Forma'!Y175</f>
        <v>0.7</v>
      </c>
      <c r="Z176" s="107">
        <f>+'Phase I Pro Forma'!Z175</f>
        <v>0.7</v>
      </c>
    </row>
    <row r="177" spans="2:26" x14ac:dyDescent="0.2">
      <c r="B177" s="32" t="s">
        <v>152</v>
      </c>
      <c r="F177" s="33">
        <f>+'Phase I Pro Forma'!F176</f>
        <v>0</v>
      </c>
      <c r="G177" s="33">
        <f>+'Phase I Pro Forma'!G176</f>
        <v>0</v>
      </c>
      <c r="H177" s="33">
        <f>+'Phase I Pro Forma'!H176</f>
        <v>0</v>
      </c>
      <c r="I177" s="33">
        <f>+'Phase I Pro Forma'!I176</f>
        <v>117.26348400000001</v>
      </c>
      <c r="J177" s="33">
        <f>+'Phase I Pro Forma'!J176</f>
        <v>132.59793959999999</v>
      </c>
      <c r="K177" s="33">
        <f>+'Phase I Pro Forma'!K176</f>
        <v>139.11418120319999</v>
      </c>
      <c r="L177" s="33">
        <f>+'Phase I Pro Forma'!L176</f>
        <v>141.896464827264</v>
      </c>
      <c r="M177" s="33">
        <f>+'Phase I Pro Forma'!M176</f>
        <v>144.73439412380927</v>
      </c>
      <c r="N177" s="33">
        <f>+'Phase I Pro Forma'!N176</f>
        <v>147.62908200628547</v>
      </c>
      <c r="O177" s="33">
        <f>+'Phase I Pro Forma'!O176</f>
        <v>150.58166364641119</v>
      </c>
      <c r="P177" s="33">
        <f>+'Phase I Pro Forma'!P176</f>
        <v>153.59329691933942</v>
      </c>
      <c r="Q177" s="33">
        <f>+'Phase I Pro Forma'!Q176</f>
        <v>156.66516285772619</v>
      </c>
      <c r="R177" s="33">
        <f>+'Phase I Pro Forma'!R176</f>
        <v>159.79846611488071</v>
      </c>
      <c r="S177" s="33">
        <f>+'Phase I Pro Forma'!S176</f>
        <v>162.99443543717831</v>
      </c>
      <c r="T177" s="33">
        <f>+'Phase I Pro Forma'!T176</f>
        <v>166.25432414592191</v>
      </c>
      <c r="U177" s="33">
        <f>+'Phase I Pro Forma'!U176</f>
        <v>169.57941062884035</v>
      </c>
      <c r="V177" s="33">
        <f>+'Phase I Pro Forma'!V176</f>
        <v>172.97099884141718</v>
      </c>
      <c r="W177" s="33">
        <f>+'Phase I Pro Forma'!W176</f>
        <v>176.43041881824553</v>
      </c>
      <c r="X177" s="33">
        <f>+'Phase I Pro Forma'!X176</f>
        <v>179.95902719461043</v>
      </c>
      <c r="Y177" s="33">
        <f>+'Phase I Pro Forma'!Y176</f>
        <v>183.55820773850263</v>
      </c>
      <c r="Z177" s="33">
        <f>+'Phase I Pro Forma'!Z176</f>
        <v>187.22937189327271</v>
      </c>
    </row>
    <row r="178" spans="2:26" x14ac:dyDescent="0.2">
      <c r="B178" s="136" t="s">
        <v>302</v>
      </c>
      <c r="C178" s="136"/>
      <c r="D178" s="136"/>
      <c r="E178" s="136"/>
      <c r="F178" s="773">
        <f>+'Phase I Pro Forma'!F177/1000000</f>
        <v>0</v>
      </c>
      <c r="G178" s="773">
        <f>+'Phase I Pro Forma'!G177/1000000</f>
        <v>0</v>
      </c>
      <c r="H178" s="773">
        <f>+'Phase I Pro Forma'!H177/1000000</f>
        <v>0</v>
      </c>
      <c r="I178" s="773">
        <f>+'Phase I Pro Forma'!I177/1000000</f>
        <v>7.4269564445817604</v>
      </c>
      <c r="J178" s="773">
        <f>+'Phase I Pro Forma'!J177/1000000</f>
        <v>16.796347651592598</v>
      </c>
      <c r="K178" s="773">
        <f>+'Phase I Pro Forma'!K177/1000000</f>
        <v>17.621768164756574</v>
      </c>
      <c r="L178" s="773">
        <f>+'Phase I Pro Forma'!L177/1000000</f>
        <v>17.974203528051707</v>
      </c>
      <c r="M178" s="773">
        <f>+'Phase I Pro Forma'!M177/1000000</f>
        <v>18.333687598612737</v>
      </c>
      <c r="N178" s="773">
        <f>+'Phase I Pro Forma'!N177/1000000</f>
        <v>18.700361350584998</v>
      </c>
      <c r="O178" s="773">
        <f>+'Phase I Pro Forma'!O177/1000000</f>
        <v>19.074368577596697</v>
      </c>
      <c r="P178" s="773">
        <f>+'Phase I Pro Forma'!P177/1000000</f>
        <v>19.455855949148631</v>
      </c>
      <c r="Q178" s="773">
        <f>+'Phase I Pro Forma'!Q177/1000000</f>
        <v>19.844973068131605</v>
      </c>
      <c r="R178" s="773">
        <f>+'Phase I Pro Forma'!R177/1000000</f>
        <v>20.241872529494234</v>
      </c>
      <c r="S178" s="773">
        <f>+'Phase I Pro Forma'!S177/1000000</f>
        <v>20.646709980084115</v>
      </c>
      <c r="T178" s="773">
        <f>+'Phase I Pro Forma'!T177/1000000</f>
        <v>21.059644179685804</v>
      </c>
      <c r="U178" s="773">
        <f>+'Phase I Pro Forma'!U177/1000000</f>
        <v>21.48083706327952</v>
      </c>
      <c r="V178" s="773">
        <f>+'Phase I Pro Forma'!V177/1000000</f>
        <v>21.910453804545114</v>
      </c>
      <c r="W178" s="773">
        <f>+'Phase I Pro Forma'!W177/1000000</f>
        <v>22.348662880636013</v>
      </c>
      <c r="X178" s="773">
        <f>+'Phase I Pro Forma'!X177/1000000</f>
        <v>22.795636138248739</v>
      </c>
      <c r="Y178" s="773">
        <f>+'Phase I Pro Forma'!Y177/1000000</f>
        <v>23.25154886101371</v>
      </c>
      <c r="Z178" s="773">
        <f>+'Phase I Pro Forma'!Z177/1000000</f>
        <v>23.71657983823399</v>
      </c>
    </row>
    <row r="179" spans="2:26" ht="5" customHeight="1" x14ac:dyDescent="0.2"/>
    <row r="180" spans="2:26" x14ac:dyDescent="0.2">
      <c r="B180" s="32" t="s">
        <v>308</v>
      </c>
      <c r="F180" s="48">
        <f>+'Phase I Pro Forma'!F179/1000000</f>
        <v>0</v>
      </c>
      <c r="G180" s="48">
        <f>+'Phase I Pro Forma'!G179/1000000</f>
        <v>0</v>
      </c>
      <c r="H180" s="48">
        <f>+'Phase I Pro Forma'!H179/1000000</f>
        <v>0</v>
      </c>
      <c r="I180" s="48">
        <f>+'Phase I Pro Forma'!I179/1000000</f>
        <v>1.8816216843966571</v>
      </c>
      <c r="J180" s="48">
        <f>+'Phase I Pro Forma'!J179/1000000</f>
        <v>3.8385082361691807</v>
      </c>
      <c r="K180" s="48">
        <f>+'Phase I Pro Forma'!K179/1000000</f>
        <v>3.9152784008925647</v>
      </c>
      <c r="L180" s="48">
        <f>+'Phase I Pro Forma'!L179/1000000</f>
        <v>3.993583968910416</v>
      </c>
      <c r="M180" s="48">
        <f>+'Phase I Pro Forma'!M179/1000000</f>
        <v>4.0734556482886246</v>
      </c>
      <c r="N180" s="48">
        <f>+'Phase I Pro Forma'!N179/1000000</f>
        <v>4.1549247612543976</v>
      </c>
      <c r="O180" s="48">
        <f>+'Phase I Pro Forma'!O179/1000000</f>
        <v>4.2380232564794849</v>
      </c>
      <c r="P180" s="48">
        <f>+'Phase I Pro Forma'!P179/1000000</f>
        <v>4.322783721609075</v>
      </c>
      <c r="Q180" s="48">
        <f>+'Phase I Pro Forma'!Q179/1000000</f>
        <v>4.4092393960412561</v>
      </c>
      <c r="R180" s="48">
        <f>+'Phase I Pro Forma'!R179/1000000</f>
        <v>4.4974241839620817</v>
      </c>
      <c r="S180" s="48">
        <f>+'Phase I Pro Forma'!S179/1000000</f>
        <v>4.5873726676413229</v>
      </c>
      <c r="T180" s="48">
        <f>+'Phase I Pro Forma'!T179/1000000</f>
        <v>4.67912012099415</v>
      </c>
      <c r="U180" s="48">
        <f>+'Phase I Pro Forma'!U179/1000000</f>
        <v>4.7727025234140337</v>
      </c>
      <c r="V180" s="48">
        <f>+'Phase I Pro Forma'!V179/1000000</f>
        <v>4.8681565738823132</v>
      </c>
      <c r="W180" s="48">
        <f>+'Phase I Pro Forma'!W179/1000000</f>
        <v>4.9655197053599602</v>
      </c>
      <c r="X180" s="48">
        <f>+'Phase I Pro Forma'!X179/1000000</f>
        <v>5.0648300994671605</v>
      </c>
      <c r="Y180" s="48">
        <f>+'Phase I Pro Forma'!Y179/1000000</f>
        <v>5.1661267014565029</v>
      </c>
      <c r="Z180" s="48">
        <f>+'Phase I Pro Forma'!Z179/1000000</f>
        <v>5.2694492354856326</v>
      </c>
    </row>
    <row r="181" spans="2:26" x14ac:dyDescent="0.2">
      <c r="B181" s="136" t="s">
        <v>311</v>
      </c>
      <c r="C181" s="136"/>
      <c r="D181" s="136"/>
      <c r="E181" s="136"/>
      <c r="F181" s="773">
        <f>+F178+F180</f>
        <v>0</v>
      </c>
      <c r="G181" s="773">
        <f t="shared" ref="G181:Z181" si="50">+G178+G180</f>
        <v>0</v>
      </c>
      <c r="H181" s="773">
        <f t="shared" si="50"/>
        <v>0</v>
      </c>
      <c r="I181" s="773">
        <f t="shared" si="50"/>
        <v>9.308578128978418</v>
      </c>
      <c r="J181" s="773">
        <f t="shared" si="50"/>
        <v>20.634855887761777</v>
      </c>
      <c r="K181" s="773">
        <f t="shared" si="50"/>
        <v>21.537046565649138</v>
      </c>
      <c r="L181" s="773">
        <f t="shared" si="50"/>
        <v>21.967787496962124</v>
      </c>
      <c r="M181" s="773">
        <f t="shared" si="50"/>
        <v>22.407143246901363</v>
      </c>
      <c r="N181" s="773">
        <f t="shared" si="50"/>
        <v>22.855286111839398</v>
      </c>
      <c r="O181" s="773">
        <f t="shared" si="50"/>
        <v>23.31239183407618</v>
      </c>
      <c r="P181" s="773">
        <f t="shared" si="50"/>
        <v>23.778639670757705</v>
      </c>
      <c r="Q181" s="773">
        <f t="shared" si="50"/>
        <v>24.254212464172859</v>
      </c>
      <c r="R181" s="773">
        <f t="shared" si="50"/>
        <v>24.739296713456316</v>
      </c>
      <c r="S181" s="773">
        <f t="shared" si="50"/>
        <v>25.234082647725437</v>
      </c>
      <c r="T181" s="773">
        <f t="shared" si="50"/>
        <v>25.738764300679954</v>
      </c>
      <c r="U181" s="773">
        <f t="shared" si="50"/>
        <v>26.253539586693552</v>
      </c>
      <c r="V181" s="773">
        <f t="shared" si="50"/>
        <v>26.778610378427427</v>
      </c>
      <c r="W181" s="773">
        <f t="shared" si="50"/>
        <v>27.314182585995972</v>
      </c>
      <c r="X181" s="773">
        <f t="shared" si="50"/>
        <v>27.860466237715897</v>
      </c>
      <c r="Y181" s="773">
        <f t="shared" si="50"/>
        <v>28.417675562470212</v>
      </c>
      <c r="Z181" s="773">
        <f t="shared" si="50"/>
        <v>28.986029073719621</v>
      </c>
    </row>
    <row r="182" spans="2:26" ht="5" customHeight="1" x14ac:dyDescent="0.2">
      <c r="B182" s="32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2:26" x14ac:dyDescent="0.2">
      <c r="B183" s="32" t="s">
        <v>309</v>
      </c>
      <c r="F183" s="771">
        <f>+'Phase I Pro Forma'!F182/1000000</f>
        <v>0</v>
      </c>
      <c r="G183" s="771">
        <f>+'Phase I Pro Forma'!G182/1000000</f>
        <v>0</v>
      </c>
      <c r="H183" s="771">
        <f>+'Phase I Pro Forma'!H182/1000000</f>
        <v>0</v>
      </c>
      <c r="I183" s="771">
        <f>+'Phase I Pro Forma'!I182/1000000</f>
        <v>0</v>
      </c>
      <c r="J183" s="771">
        <f>+'Phase I Pro Forma'!J182/1000000</f>
        <v>0</v>
      </c>
      <c r="K183" s="771">
        <f>+'Phase I Pro Forma'!K182/1000000</f>
        <v>0</v>
      </c>
      <c r="L183" s="771">
        <f>+'Phase I Pro Forma'!L182/1000000</f>
        <v>0</v>
      </c>
      <c r="M183" s="771">
        <f>+'Phase I Pro Forma'!M182/1000000</f>
        <v>0</v>
      </c>
      <c r="N183" s="771">
        <f>+'Phase I Pro Forma'!N182/1000000</f>
        <v>0</v>
      </c>
      <c r="O183" s="771">
        <f>+'Phase I Pro Forma'!O182/1000000</f>
        <v>0</v>
      </c>
      <c r="P183" s="771">
        <f>+'Phase I Pro Forma'!P182/1000000</f>
        <v>0</v>
      </c>
      <c r="Q183" s="771">
        <f>+'Phase I Pro Forma'!Q182/1000000</f>
        <v>0</v>
      </c>
      <c r="R183" s="771">
        <f>+'Phase I Pro Forma'!R182/1000000</f>
        <v>0</v>
      </c>
      <c r="S183" s="771">
        <f>+'Phase I Pro Forma'!S182/1000000</f>
        <v>0</v>
      </c>
      <c r="T183" s="771">
        <f>+'Phase I Pro Forma'!T182/1000000</f>
        <v>0</v>
      </c>
      <c r="U183" s="771">
        <f>+'Phase I Pro Forma'!U182/1000000</f>
        <v>0</v>
      </c>
      <c r="V183" s="771">
        <f>+'Phase I Pro Forma'!V182/1000000</f>
        <v>0</v>
      </c>
      <c r="W183" s="771">
        <f>+'Phase I Pro Forma'!W182/1000000</f>
        <v>0</v>
      </c>
      <c r="X183" s="771">
        <f>+'Phase I Pro Forma'!X182/1000000</f>
        <v>0</v>
      </c>
      <c r="Y183" s="771">
        <f>+'Phase I Pro Forma'!Y182/1000000</f>
        <v>0</v>
      </c>
      <c r="Z183" s="771">
        <f>+'Phase I Pro Forma'!Z182/1000000</f>
        <v>0</v>
      </c>
    </row>
    <row r="184" spans="2:26" s="156" customFormat="1" x14ac:dyDescent="0.2">
      <c r="B184" s="136" t="s">
        <v>772</v>
      </c>
      <c r="C184" s="136"/>
      <c r="D184" s="136"/>
      <c r="E184" s="136"/>
      <c r="F184" s="773">
        <f>+F181+F183</f>
        <v>0</v>
      </c>
      <c r="G184" s="773">
        <f t="shared" ref="G184:Z184" si="51">+G181+G183</f>
        <v>0</v>
      </c>
      <c r="H184" s="773">
        <f t="shared" si="51"/>
        <v>0</v>
      </c>
      <c r="I184" s="773">
        <f t="shared" si="51"/>
        <v>9.308578128978418</v>
      </c>
      <c r="J184" s="773">
        <f t="shared" si="51"/>
        <v>20.634855887761777</v>
      </c>
      <c r="K184" s="773">
        <f t="shared" si="51"/>
        <v>21.537046565649138</v>
      </c>
      <c r="L184" s="773">
        <f t="shared" si="51"/>
        <v>21.967787496962124</v>
      </c>
      <c r="M184" s="773">
        <f t="shared" si="51"/>
        <v>22.407143246901363</v>
      </c>
      <c r="N184" s="773">
        <f t="shared" si="51"/>
        <v>22.855286111839398</v>
      </c>
      <c r="O184" s="773">
        <f t="shared" si="51"/>
        <v>23.31239183407618</v>
      </c>
      <c r="P184" s="773">
        <f t="shared" si="51"/>
        <v>23.778639670757705</v>
      </c>
      <c r="Q184" s="773">
        <f t="shared" si="51"/>
        <v>24.254212464172859</v>
      </c>
      <c r="R184" s="773">
        <f t="shared" si="51"/>
        <v>24.739296713456316</v>
      </c>
      <c r="S184" s="773">
        <f t="shared" si="51"/>
        <v>25.234082647725437</v>
      </c>
      <c r="T184" s="773">
        <f t="shared" si="51"/>
        <v>25.738764300679954</v>
      </c>
      <c r="U184" s="773">
        <f t="shared" si="51"/>
        <v>26.253539586693552</v>
      </c>
      <c r="V184" s="773">
        <f t="shared" si="51"/>
        <v>26.778610378427427</v>
      </c>
      <c r="W184" s="773">
        <f t="shared" si="51"/>
        <v>27.314182585995972</v>
      </c>
      <c r="X184" s="773">
        <f t="shared" si="51"/>
        <v>27.860466237715897</v>
      </c>
      <c r="Y184" s="773">
        <f t="shared" si="51"/>
        <v>28.417675562470212</v>
      </c>
      <c r="Z184" s="773">
        <f t="shared" si="51"/>
        <v>28.986029073719621</v>
      </c>
    </row>
    <row r="185" spans="2:26" ht="5" customHeight="1" x14ac:dyDescent="0.2"/>
    <row r="186" spans="2:26" hidden="1" x14ac:dyDescent="0.2">
      <c r="B186" s="796" t="s">
        <v>9</v>
      </c>
      <c r="C186" s="793"/>
      <c r="D186" s="793"/>
      <c r="E186" s="793"/>
      <c r="F186" s="793"/>
      <c r="G186" s="793"/>
      <c r="H186" s="793"/>
      <c r="I186" s="793"/>
      <c r="J186" s="793"/>
      <c r="K186" s="793"/>
      <c r="L186" s="793"/>
      <c r="M186" s="793"/>
      <c r="N186" s="793"/>
      <c r="O186" s="793"/>
      <c r="P186" s="793"/>
      <c r="Q186" s="793"/>
      <c r="R186" s="793"/>
      <c r="S186" s="793"/>
      <c r="T186" s="793"/>
      <c r="U186" s="793"/>
      <c r="V186" s="793"/>
      <c r="W186" s="793"/>
      <c r="X186" s="793"/>
      <c r="Y186" s="793"/>
      <c r="Z186" s="793"/>
    </row>
    <row r="187" spans="2:26" hidden="1" x14ac:dyDescent="0.2">
      <c r="B187" s="797" t="s">
        <v>280</v>
      </c>
      <c r="C187" s="793"/>
      <c r="D187" s="798">
        <f>+'Phase I Pro Forma'!D186</f>
        <v>0.25</v>
      </c>
      <c r="E187" s="798"/>
      <c r="F187" s="794">
        <f>F$178*$D187</f>
        <v>0</v>
      </c>
      <c r="G187" s="794">
        <f t="shared" ref="G187:Z187" si="52">G$178*$D187</f>
        <v>0</v>
      </c>
      <c r="H187" s="794">
        <f t="shared" si="52"/>
        <v>0</v>
      </c>
      <c r="I187" s="794">
        <f t="shared" si="52"/>
        <v>1.8567391111454401</v>
      </c>
      <c r="J187" s="794">
        <f t="shared" si="52"/>
        <v>4.1990869128981494</v>
      </c>
      <c r="K187" s="794">
        <f t="shared" si="52"/>
        <v>4.4054420411891435</v>
      </c>
      <c r="L187" s="794">
        <f t="shared" si="52"/>
        <v>4.4935508820129266</v>
      </c>
      <c r="M187" s="794">
        <f t="shared" si="52"/>
        <v>4.5834218996531844</v>
      </c>
      <c r="N187" s="794">
        <f t="shared" si="52"/>
        <v>4.6750903376462496</v>
      </c>
      <c r="O187" s="794">
        <f t="shared" si="52"/>
        <v>4.7685921443991743</v>
      </c>
      <c r="P187" s="794">
        <f t="shared" si="52"/>
        <v>4.8639639872871578</v>
      </c>
      <c r="Q187" s="794">
        <f t="shared" si="52"/>
        <v>4.9612432670329012</v>
      </c>
      <c r="R187" s="794">
        <f t="shared" si="52"/>
        <v>5.0604681323735585</v>
      </c>
      <c r="S187" s="794">
        <f t="shared" si="52"/>
        <v>5.1616774950210287</v>
      </c>
      <c r="T187" s="794">
        <f t="shared" si="52"/>
        <v>5.2649110449214511</v>
      </c>
      <c r="U187" s="794">
        <f t="shared" si="52"/>
        <v>5.3702092658198799</v>
      </c>
      <c r="V187" s="794">
        <f t="shared" si="52"/>
        <v>5.4776134511362784</v>
      </c>
      <c r="W187" s="794">
        <f t="shared" si="52"/>
        <v>5.5871657201590033</v>
      </c>
      <c r="X187" s="794">
        <f t="shared" si="52"/>
        <v>5.6989090345621847</v>
      </c>
      <c r="Y187" s="794">
        <f t="shared" si="52"/>
        <v>5.8128872152534274</v>
      </c>
      <c r="Z187" s="794">
        <f t="shared" si="52"/>
        <v>5.9291449595584975</v>
      </c>
    </row>
    <row r="188" spans="2:26" hidden="1" x14ac:dyDescent="0.2">
      <c r="B188" s="797" t="s">
        <v>307</v>
      </c>
      <c r="C188" s="793"/>
      <c r="D188" s="798">
        <f>+'Phase I Pro Forma'!D187</f>
        <v>0.7</v>
      </c>
      <c r="E188" s="798"/>
      <c r="F188" s="799">
        <f>F$180*$D188</f>
        <v>0</v>
      </c>
      <c r="G188" s="799">
        <f t="shared" ref="G188:Z188" si="53">G$180*$D188</f>
        <v>0</v>
      </c>
      <c r="H188" s="799">
        <f t="shared" si="53"/>
        <v>0</v>
      </c>
      <c r="I188" s="799">
        <f t="shared" si="53"/>
        <v>1.31713517907766</v>
      </c>
      <c r="J188" s="799">
        <f t="shared" si="53"/>
        <v>2.6869557653184262</v>
      </c>
      <c r="K188" s="799">
        <f t="shared" si="53"/>
        <v>2.7406948806247953</v>
      </c>
      <c r="L188" s="799">
        <f t="shared" si="53"/>
        <v>2.7955087782372909</v>
      </c>
      <c r="M188" s="799">
        <f t="shared" si="53"/>
        <v>2.8514189538020371</v>
      </c>
      <c r="N188" s="799">
        <f t="shared" si="53"/>
        <v>2.9084473328780782</v>
      </c>
      <c r="O188" s="799">
        <f t="shared" si="53"/>
        <v>2.9666162795356392</v>
      </c>
      <c r="P188" s="799">
        <f t="shared" si="53"/>
        <v>3.0259486051263522</v>
      </c>
      <c r="Q188" s="799">
        <f t="shared" si="53"/>
        <v>3.0864675772288792</v>
      </c>
      <c r="R188" s="799">
        <f t="shared" si="53"/>
        <v>3.1481969287734568</v>
      </c>
      <c r="S188" s="799">
        <f t="shared" si="53"/>
        <v>3.211160867348926</v>
      </c>
      <c r="T188" s="799">
        <f t="shared" si="53"/>
        <v>3.2753840846959048</v>
      </c>
      <c r="U188" s="799">
        <f t="shared" si="53"/>
        <v>3.3408917663898232</v>
      </c>
      <c r="V188" s="799">
        <f t="shared" si="53"/>
        <v>3.4077096017176189</v>
      </c>
      <c r="W188" s="799">
        <f t="shared" si="53"/>
        <v>3.4758637937519721</v>
      </c>
      <c r="X188" s="799">
        <f t="shared" si="53"/>
        <v>3.545381069627012</v>
      </c>
      <c r="Y188" s="799">
        <f t="shared" si="53"/>
        <v>3.6162886910195517</v>
      </c>
      <c r="Z188" s="799">
        <f t="shared" si="53"/>
        <v>3.6886144648399424</v>
      </c>
    </row>
    <row r="189" spans="2:26" x14ac:dyDescent="0.2">
      <c r="B189" s="54" t="s">
        <v>144</v>
      </c>
      <c r="D189" s="114"/>
      <c r="E189" s="114"/>
      <c r="F189" s="48">
        <f>+SUM(F187:F188)</f>
        <v>0</v>
      </c>
      <c r="G189" s="48">
        <f t="shared" ref="G189:Z189" si="54">+SUM(G187:G188)</f>
        <v>0</v>
      </c>
      <c r="H189" s="48">
        <f t="shared" si="54"/>
        <v>0</v>
      </c>
      <c r="I189" s="48">
        <f t="shared" si="54"/>
        <v>3.1738742902231003</v>
      </c>
      <c r="J189" s="48">
        <f t="shared" si="54"/>
        <v>6.886042678216576</v>
      </c>
      <c r="K189" s="48">
        <f t="shared" si="54"/>
        <v>7.1461369218139392</v>
      </c>
      <c r="L189" s="48">
        <f t="shared" si="54"/>
        <v>7.2890596602502171</v>
      </c>
      <c r="M189" s="48">
        <f t="shared" si="54"/>
        <v>7.4348408534552215</v>
      </c>
      <c r="N189" s="48">
        <f t="shared" si="54"/>
        <v>7.5835376705243274</v>
      </c>
      <c r="O189" s="48">
        <f t="shared" si="54"/>
        <v>7.7352084239348136</v>
      </c>
      <c r="P189" s="48">
        <f t="shared" si="54"/>
        <v>7.8899125924135101</v>
      </c>
      <c r="Q189" s="48">
        <f t="shared" si="54"/>
        <v>8.0477108442617808</v>
      </c>
      <c r="R189" s="48">
        <f t="shared" si="54"/>
        <v>8.2086650611470162</v>
      </c>
      <c r="S189" s="48">
        <f t="shared" si="54"/>
        <v>8.3728383623699543</v>
      </c>
      <c r="T189" s="48">
        <f t="shared" si="54"/>
        <v>8.5402951296173555</v>
      </c>
      <c r="U189" s="48">
        <f t="shared" si="54"/>
        <v>8.7111010322097027</v>
      </c>
      <c r="V189" s="48">
        <f t="shared" si="54"/>
        <v>8.8853230528538969</v>
      </c>
      <c r="W189" s="48">
        <f t="shared" si="54"/>
        <v>9.0630295139109762</v>
      </c>
      <c r="X189" s="48">
        <f t="shared" si="54"/>
        <v>9.2442901041891972</v>
      </c>
      <c r="Y189" s="48">
        <f t="shared" si="54"/>
        <v>9.4291759062729792</v>
      </c>
      <c r="Z189" s="48">
        <f t="shared" si="54"/>
        <v>9.6177594243984394</v>
      </c>
    </row>
    <row r="190" spans="2:26" hidden="1" x14ac:dyDescent="0.2">
      <c r="B190" s="796" t="s">
        <v>281</v>
      </c>
      <c r="C190" s="793"/>
      <c r="D190" s="793"/>
      <c r="E190" s="793"/>
      <c r="F190" s="793"/>
      <c r="G190" s="793"/>
      <c r="H190" s="793"/>
      <c r="I190" s="793"/>
      <c r="J190" s="793"/>
      <c r="K190" s="793"/>
      <c r="L190" s="793"/>
      <c r="M190" s="793"/>
      <c r="N190" s="793"/>
      <c r="O190" s="793"/>
      <c r="P190" s="793"/>
      <c r="Q190" s="793"/>
      <c r="R190" s="793"/>
      <c r="S190" s="793"/>
      <c r="T190" s="793"/>
      <c r="U190" s="793"/>
      <c r="V190" s="793"/>
      <c r="W190" s="793"/>
      <c r="X190" s="793"/>
      <c r="Y190" s="793"/>
      <c r="Z190" s="793"/>
    </row>
    <row r="191" spans="2:26" hidden="1" x14ac:dyDescent="0.2">
      <c r="B191" s="797" t="s">
        <v>282</v>
      </c>
      <c r="C191" s="793"/>
      <c r="D191" s="798">
        <f>+'Phase I Pro Forma'!D189</f>
        <v>0.08</v>
      </c>
      <c r="E191" s="798"/>
      <c r="F191" s="789">
        <f>+'Phase I Pro Forma'!F189/1000000</f>
        <v>0</v>
      </c>
      <c r="G191" s="789">
        <f>+'Phase I Pro Forma'!G189/1000000</f>
        <v>0</v>
      </c>
      <c r="H191" s="789">
        <f>+'Phase I Pro Forma'!H189/1000000</f>
        <v>0</v>
      </c>
      <c r="I191" s="789">
        <f>+'Phase I Pro Forma'!I189/1000000</f>
        <v>0.74468625031827329</v>
      </c>
      <c r="J191" s="789">
        <f>+'Phase I Pro Forma'!J189/1000000</f>
        <v>1.6507884710209424</v>
      </c>
      <c r="K191" s="789">
        <f>+'Phase I Pro Forma'!K189/1000000</f>
        <v>1.722963725251931</v>
      </c>
      <c r="L191" s="789">
        <f>+'Phase I Pro Forma'!L189/1000000</f>
        <v>1.7574229997569697</v>
      </c>
      <c r="M191" s="789">
        <f>+'Phase I Pro Forma'!M189/1000000</f>
        <v>1.7925714597521092</v>
      </c>
      <c r="N191" s="789">
        <f>+'Phase I Pro Forma'!N189/1000000</f>
        <v>1.8284228889471517</v>
      </c>
      <c r="O191" s="789">
        <f>+'Phase I Pro Forma'!O189/1000000</f>
        <v>1.8649913467260946</v>
      </c>
      <c r="P191" s="789">
        <f>+'Phase I Pro Forma'!P189/1000000</f>
        <v>1.9022911736606167</v>
      </c>
      <c r="Q191" s="789">
        <f>+'Phase I Pro Forma'!Q189/1000000</f>
        <v>1.9403369971338287</v>
      </c>
      <c r="R191" s="789">
        <f>+'Phase I Pro Forma'!R189/1000000</f>
        <v>1.979143737076505</v>
      </c>
      <c r="S191" s="789">
        <f>+'Phase I Pro Forma'!S189/1000000</f>
        <v>2.0187266118180349</v>
      </c>
      <c r="T191" s="789">
        <f>+'Phase I Pro Forma'!T189/1000000</f>
        <v>2.0591011440543965</v>
      </c>
      <c r="U191" s="789">
        <f>+'Phase I Pro Forma'!U189/1000000</f>
        <v>2.1002831669354842</v>
      </c>
      <c r="V191" s="789">
        <f>+'Phase I Pro Forma'!V189/1000000</f>
        <v>2.142288830274194</v>
      </c>
      <c r="W191" s="789">
        <f>+'Phase I Pro Forma'!W189/1000000</f>
        <v>2.1851346068796778</v>
      </c>
      <c r="X191" s="789">
        <f>+'Phase I Pro Forma'!X189/1000000</f>
        <v>2.2288372990172718</v>
      </c>
      <c r="Y191" s="789">
        <f>+'Phase I Pro Forma'!Y189/1000000</f>
        <v>2.273414044997617</v>
      </c>
      <c r="Z191" s="789">
        <f>+'Phase I Pro Forma'!Z189/1000000</f>
        <v>2.3188823258975697</v>
      </c>
    </row>
    <row r="192" spans="2:26" hidden="1" x14ac:dyDescent="0.2">
      <c r="B192" s="797" t="s">
        <v>283</v>
      </c>
      <c r="C192" s="793"/>
      <c r="D192" s="798">
        <f>+'Phase I Pro Forma'!D190</f>
        <v>0.01</v>
      </c>
      <c r="E192" s="798"/>
      <c r="F192" s="789">
        <f>+'Phase I Pro Forma'!F190/1000000</f>
        <v>0</v>
      </c>
      <c r="G192" s="789">
        <f>+'Phase I Pro Forma'!G190/1000000</f>
        <v>0</v>
      </c>
      <c r="H192" s="789">
        <f>+'Phase I Pro Forma'!H190/1000000</f>
        <v>0</v>
      </c>
      <c r="I192" s="789">
        <f>+'Phase I Pro Forma'!I190/1000000</f>
        <v>9.3085781289784161E-2</v>
      </c>
      <c r="J192" s="789">
        <f>+'Phase I Pro Forma'!J190/1000000</f>
        <v>0.2063485588776178</v>
      </c>
      <c r="K192" s="789">
        <f>+'Phase I Pro Forma'!K190/1000000</f>
        <v>0.21537046565649137</v>
      </c>
      <c r="L192" s="789">
        <f>+'Phase I Pro Forma'!L190/1000000</f>
        <v>0.21967787496962121</v>
      </c>
      <c r="M192" s="789">
        <f>+'Phase I Pro Forma'!M190/1000000</f>
        <v>0.22407143246901365</v>
      </c>
      <c r="N192" s="789">
        <f>+'Phase I Pro Forma'!N190/1000000</f>
        <v>0.22855286111839396</v>
      </c>
      <c r="O192" s="789">
        <f>+'Phase I Pro Forma'!O190/1000000</f>
        <v>0.23312391834076182</v>
      </c>
      <c r="P192" s="789">
        <f>+'Phase I Pro Forma'!P190/1000000</f>
        <v>0.23778639670757709</v>
      </c>
      <c r="Q192" s="789">
        <f>+'Phase I Pro Forma'!Q190/1000000</f>
        <v>0.24254212464172858</v>
      </c>
      <c r="R192" s="789">
        <f>+'Phase I Pro Forma'!R190/1000000</f>
        <v>0.24739296713456313</v>
      </c>
      <c r="S192" s="789">
        <f>+'Phase I Pro Forma'!S190/1000000</f>
        <v>0.25234082647725437</v>
      </c>
      <c r="T192" s="789">
        <f>+'Phase I Pro Forma'!T190/1000000</f>
        <v>0.25738764300679956</v>
      </c>
      <c r="U192" s="789">
        <f>+'Phase I Pro Forma'!U190/1000000</f>
        <v>0.26253539586693553</v>
      </c>
      <c r="V192" s="789">
        <f>+'Phase I Pro Forma'!V190/1000000</f>
        <v>0.26778610378427425</v>
      </c>
      <c r="W192" s="789">
        <f>+'Phase I Pro Forma'!W190/1000000</f>
        <v>0.27314182585995972</v>
      </c>
      <c r="X192" s="789">
        <f>+'Phase I Pro Forma'!X190/1000000</f>
        <v>0.27860466237715897</v>
      </c>
      <c r="Y192" s="789">
        <f>+'Phase I Pro Forma'!Y190/1000000</f>
        <v>0.28417675562470213</v>
      </c>
      <c r="Z192" s="789">
        <f>+'Phase I Pro Forma'!Z190/1000000</f>
        <v>0.28986029073719621</v>
      </c>
    </row>
    <row r="193" spans="2:26" hidden="1" x14ac:dyDescent="0.2">
      <c r="B193" s="797" t="s">
        <v>73</v>
      </c>
      <c r="C193" s="793"/>
      <c r="D193" s="798">
        <f>+'Phase I Pro Forma'!D191</f>
        <v>6.5000000000000002E-2</v>
      </c>
      <c r="E193" s="798"/>
      <c r="F193" s="789">
        <f>+'Phase I Pro Forma'!F191/1000000</f>
        <v>0</v>
      </c>
      <c r="G193" s="789">
        <f>+'Phase I Pro Forma'!G191/1000000</f>
        <v>0</v>
      </c>
      <c r="H193" s="789">
        <f>+'Phase I Pro Forma'!H191/1000000</f>
        <v>0</v>
      </c>
      <c r="I193" s="789">
        <f>+'Phase I Pro Forma'!I191/1000000</f>
        <v>0.60505757838359708</v>
      </c>
      <c r="J193" s="789">
        <f>+'Phase I Pro Forma'!J191/1000000</f>
        <v>1.3412656327045156</v>
      </c>
      <c r="K193" s="789">
        <f>+'Phase I Pro Forma'!K191/1000000</f>
        <v>1.3999080267671939</v>
      </c>
      <c r="L193" s="789">
        <f>+'Phase I Pro Forma'!L191/1000000</f>
        <v>1.427906187302538</v>
      </c>
      <c r="M193" s="789">
        <f>+'Phase I Pro Forma'!M191/1000000</f>
        <v>1.4564643110485886</v>
      </c>
      <c r="N193" s="789">
        <f>+'Phase I Pro Forma'!N191/1000000</f>
        <v>1.4855935972695606</v>
      </c>
      <c r="O193" s="789">
        <f>+'Phase I Pro Forma'!O191/1000000</f>
        <v>1.5153054692149519</v>
      </c>
      <c r="P193" s="789">
        <f>+'Phase I Pro Forma'!P191/1000000</f>
        <v>1.545611578599251</v>
      </c>
      <c r="Q193" s="789">
        <f>+'Phase I Pro Forma'!Q191/1000000</f>
        <v>1.5765238101712358</v>
      </c>
      <c r="R193" s="789">
        <f>+'Phase I Pro Forma'!R191/1000000</f>
        <v>1.6080542863746605</v>
      </c>
      <c r="S193" s="789">
        <f>+'Phase I Pro Forma'!S191/1000000</f>
        <v>1.6402153721021535</v>
      </c>
      <c r="T193" s="789">
        <f>+'Phase I Pro Forma'!T191/1000000</f>
        <v>1.6730196795441972</v>
      </c>
      <c r="U193" s="789">
        <f>+'Phase I Pro Forma'!U191/1000000</f>
        <v>1.7064800731350813</v>
      </c>
      <c r="V193" s="789">
        <f>+'Phase I Pro Forma'!V191/1000000</f>
        <v>1.7406096745977826</v>
      </c>
      <c r="W193" s="789">
        <f>+'Phase I Pro Forma'!W191/1000000</f>
        <v>1.7754218680897382</v>
      </c>
      <c r="X193" s="789">
        <f>+'Phase I Pro Forma'!X191/1000000</f>
        <v>1.8109303054515336</v>
      </c>
      <c r="Y193" s="789">
        <f>+'Phase I Pro Forma'!Y191/1000000</f>
        <v>1.8471489115605639</v>
      </c>
      <c r="Z193" s="789">
        <f>+'Phase I Pro Forma'!Z191/1000000</f>
        <v>1.8840918897917756</v>
      </c>
    </row>
    <row r="194" spans="2:26" hidden="1" x14ac:dyDescent="0.2">
      <c r="B194" s="797" t="s">
        <v>284</v>
      </c>
      <c r="C194" s="793"/>
      <c r="D194" s="798">
        <f>+'Phase I Pro Forma'!D192</f>
        <v>0.02</v>
      </c>
      <c r="E194" s="798"/>
      <c r="F194" s="789">
        <f>+'Phase I Pro Forma'!F192/1000000</f>
        <v>0</v>
      </c>
      <c r="G194" s="789">
        <f>+'Phase I Pro Forma'!G192/1000000</f>
        <v>0</v>
      </c>
      <c r="H194" s="789">
        <f>+'Phase I Pro Forma'!H192/1000000</f>
        <v>0</v>
      </c>
      <c r="I194" s="789">
        <f>+'Phase I Pro Forma'!I192/1000000</f>
        <v>0.18617156257956832</v>
      </c>
      <c r="J194" s="789">
        <f>+'Phase I Pro Forma'!J192/1000000</f>
        <v>0.4126971177552356</v>
      </c>
      <c r="K194" s="789">
        <f>+'Phase I Pro Forma'!K192/1000000</f>
        <v>0.43074093131298274</v>
      </c>
      <c r="L194" s="789">
        <f>+'Phase I Pro Forma'!L192/1000000</f>
        <v>0.43935574993924242</v>
      </c>
      <c r="M194" s="789">
        <f>+'Phase I Pro Forma'!M192/1000000</f>
        <v>0.4481428649380273</v>
      </c>
      <c r="N194" s="789">
        <f>+'Phase I Pro Forma'!N192/1000000</f>
        <v>0.45710572223678791</v>
      </c>
      <c r="O194" s="789">
        <f>+'Phase I Pro Forma'!O192/1000000</f>
        <v>0.46624783668152364</v>
      </c>
      <c r="P194" s="789">
        <f>+'Phase I Pro Forma'!P192/1000000</f>
        <v>0.47557279341515418</v>
      </c>
      <c r="Q194" s="789">
        <f>+'Phase I Pro Forma'!Q192/1000000</f>
        <v>0.48508424928345717</v>
      </c>
      <c r="R194" s="789">
        <f>+'Phase I Pro Forma'!R192/1000000</f>
        <v>0.49478593426912626</v>
      </c>
      <c r="S194" s="789">
        <f>+'Phase I Pro Forma'!S192/1000000</f>
        <v>0.50468165295450873</v>
      </c>
      <c r="T194" s="789">
        <f>+'Phase I Pro Forma'!T192/1000000</f>
        <v>0.51477528601359912</v>
      </c>
      <c r="U194" s="789">
        <f>+'Phase I Pro Forma'!U192/1000000</f>
        <v>0.52507079173387106</v>
      </c>
      <c r="V194" s="789">
        <f>+'Phase I Pro Forma'!V192/1000000</f>
        <v>0.53557220756854851</v>
      </c>
      <c r="W194" s="789">
        <f>+'Phase I Pro Forma'!W192/1000000</f>
        <v>0.54628365171991944</v>
      </c>
      <c r="X194" s="789">
        <f>+'Phase I Pro Forma'!X192/1000000</f>
        <v>0.55720932475431795</v>
      </c>
      <c r="Y194" s="789">
        <f>+'Phase I Pro Forma'!Y192/1000000</f>
        <v>0.56835351124940425</v>
      </c>
      <c r="Z194" s="789">
        <f>+'Phase I Pro Forma'!Z192/1000000</f>
        <v>0.57972058147439243</v>
      </c>
    </row>
    <row r="195" spans="2:26" hidden="1" x14ac:dyDescent="0.2">
      <c r="B195" s="797" t="s">
        <v>285</v>
      </c>
      <c r="C195" s="793"/>
      <c r="D195" s="798">
        <f>+'Phase I Pro Forma'!D193</f>
        <v>0.03</v>
      </c>
      <c r="E195" s="798"/>
      <c r="F195" s="789">
        <f>+'Phase I Pro Forma'!F193/1000000</f>
        <v>0</v>
      </c>
      <c r="G195" s="789">
        <f>+'Phase I Pro Forma'!G193/1000000</f>
        <v>0</v>
      </c>
      <c r="H195" s="789">
        <f>+'Phase I Pro Forma'!H193/1000000</f>
        <v>0</v>
      </c>
      <c r="I195" s="789">
        <f>+'Phase I Pro Forma'!I193/1000000</f>
        <v>0.27925734386935247</v>
      </c>
      <c r="J195" s="789">
        <f>+'Phase I Pro Forma'!J193/1000000</f>
        <v>0.61904567663285337</v>
      </c>
      <c r="K195" s="789">
        <f>+'Phase I Pro Forma'!K193/1000000</f>
        <v>0.64611139696947406</v>
      </c>
      <c r="L195" s="789">
        <f>+'Phase I Pro Forma'!L193/1000000</f>
        <v>0.65903362490886364</v>
      </c>
      <c r="M195" s="789">
        <f>+'Phase I Pro Forma'!M193/1000000</f>
        <v>0.67221429740704086</v>
      </c>
      <c r="N195" s="789">
        <f>+'Phase I Pro Forma'!N193/1000000</f>
        <v>0.68565858335518182</v>
      </c>
      <c r="O195" s="789">
        <f>+'Phase I Pro Forma'!O193/1000000</f>
        <v>0.69937175502228544</v>
      </c>
      <c r="P195" s="789">
        <f>+'Phase I Pro Forma'!P193/1000000</f>
        <v>0.71335919012273119</v>
      </c>
      <c r="Q195" s="789">
        <f>+'Phase I Pro Forma'!Q193/1000000</f>
        <v>0.72762637392518581</v>
      </c>
      <c r="R195" s="789">
        <f>+'Phase I Pro Forma'!R193/1000000</f>
        <v>0.74217890140368936</v>
      </c>
      <c r="S195" s="789">
        <f>+'Phase I Pro Forma'!S193/1000000</f>
        <v>0.75702247943176304</v>
      </c>
      <c r="T195" s="789">
        <f>+'Phase I Pro Forma'!T193/1000000</f>
        <v>0.77216292902039863</v>
      </c>
      <c r="U195" s="789">
        <f>+'Phase I Pro Forma'!U193/1000000</f>
        <v>0.78760618760080658</v>
      </c>
      <c r="V195" s="789">
        <f>+'Phase I Pro Forma'!V193/1000000</f>
        <v>0.80335831135282265</v>
      </c>
      <c r="W195" s="789">
        <f>+'Phase I Pro Forma'!W193/1000000</f>
        <v>0.81942547757987916</v>
      </c>
      <c r="X195" s="789">
        <f>+'Phase I Pro Forma'!X193/1000000</f>
        <v>0.83581398713147703</v>
      </c>
      <c r="Y195" s="789">
        <f>+'Phase I Pro Forma'!Y193/1000000</f>
        <v>0.85253026687410638</v>
      </c>
      <c r="Z195" s="789">
        <f>+'Phase I Pro Forma'!Z193/1000000</f>
        <v>0.86958087221158853</v>
      </c>
    </row>
    <row r="196" spans="2:26" hidden="1" x14ac:dyDescent="0.2">
      <c r="B196" s="797" t="s">
        <v>286</v>
      </c>
      <c r="C196" s="793"/>
      <c r="D196" s="798">
        <f>+'Phase I Pro Forma'!D194</f>
        <v>0.04</v>
      </c>
      <c r="E196" s="798"/>
      <c r="F196" s="789">
        <f>+'Phase I Pro Forma'!F194/1000000</f>
        <v>0</v>
      </c>
      <c r="G196" s="789">
        <f>+'Phase I Pro Forma'!G194/1000000</f>
        <v>0</v>
      </c>
      <c r="H196" s="789">
        <f>+'Phase I Pro Forma'!H194/1000000</f>
        <v>0</v>
      </c>
      <c r="I196" s="789">
        <f>+'Phase I Pro Forma'!I194/1000000</f>
        <v>0.37234312515913665</v>
      </c>
      <c r="J196" s="789">
        <f>+'Phase I Pro Forma'!J194/1000000</f>
        <v>0.8253942355104712</v>
      </c>
      <c r="K196" s="789">
        <f>+'Phase I Pro Forma'!K194/1000000</f>
        <v>0.86148186262596549</v>
      </c>
      <c r="L196" s="789">
        <f>+'Phase I Pro Forma'!L194/1000000</f>
        <v>0.87871149987848485</v>
      </c>
      <c r="M196" s="789">
        <f>+'Phase I Pro Forma'!M194/1000000</f>
        <v>0.89628572987605459</v>
      </c>
      <c r="N196" s="789">
        <f>+'Phase I Pro Forma'!N194/1000000</f>
        <v>0.91421144447357583</v>
      </c>
      <c r="O196" s="789">
        <f>+'Phase I Pro Forma'!O194/1000000</f>
        <v>0.93249567336304728</v>
      </c>
      <c r="P196" s="789">
        <f>+'Phase I Pro Forma'!P194/1000000</f>
        <v>0.95114558683030836</v>
      </c>
      <c r="Q196" s="789">
        <f>+'Phase I Pro Forma'!Q194/1000000</f>
        <v>0.97016849856691434</v>
      </c>
      <c r="R196" s="789">
        <f>+'Phase I Pro Forma'!R194/1000000</f>
        <v>0.98957186853825252</v>
      </c>
      <c r="S196" s="789">
        <f>+'Phase I Pro Forma'!S194/1000000</f>
        <v>1.0093633059090175</v>
      </c>
      <c r="T196" s="789">
        <f>+'Phase I Pro Forma'!T194/1000000</f>
        <v>1.0295505720271982</v>
      </c>
      <c r="U196" s="789">
        <f>+'Phase I Pro Forma'!U194/1000000</f>
        <v>1.0501415834677421</v>
      </c>
      <c r="V196" s="789">
        <f>+'Phase I Pro Forma'!V194/1000000</f>
        <v>1.071144415137097</v>
      </c>
      <c r="W196" s="789">
        <f>+'Phase I Pro Forma'!W194/1000000</f>
        <v>1.0925673034398389</v>
      </c>
      <c r="X196" s="789">
        <f>+'Phase I Pro Forma'!X194/1000000</f>
        <v>1.1144186495086359</v>
      </c>
      <c r="Y196" s="789">
        <f>+'Phase I Pro Forma'!Y194/1000000</f>
        <v>1.1367070224988085</v>
      </c>
      <c r="Z196" s="789">
        <f>+'Phase I Pro Forma'!Z194/1000000</f>
        <v>1.1594411629487849</v>
      </c>
    </row>
    <row r="197" spans="2:26" hidden="1" x14ac:dyDescent="0.2">
      <c r="B197" s="797" t="s">
        <v>59</v>
      </c>
      <c r="C197" s="793"/>
      <c r="D197" s="798">
        <f>+'Phase I Pro Forma'!D195</f>
        <v>0.01</v>
      </c>
      <c r="E197" s="798"/>
      <c r="F197" s="789">
        <f>+'Phase I Pro Forma'!F195/1000000</f>
        <v>0</v>
      </c>
      <c r="G197" s="789">
        <f>+'Phase I Pro Forma'!G195/1000000</f>
        <v>0</v>
      </c>
      <c r="H197" s="789">
        <f>+'Phase I Pro Forma'!H195/1000000</f>
        <v>0</v>
      </c>
      <c r="I197" s="789">
        <f>+'Phase I Pro Forma'!I195/1000000</f>
        <v>9.3085781289784161E-2</v>
      </c>
      <c r="J197" s="789">
        <f>+'Phase I Pro Forma'!J195/1000000</f>
        <v>0.2063485588776178</v>
      </c>
      <c r="K197" s="789">
        <f>+'Phase I Pro Forma'!K195/1000000</f>
        <v>0.21537046565649137</v>
      </c>
      <c r="L197" s="789">
        <f>+'Phase I Pro Forma'!L195/1000000</f>
        <v>0.21967787496962121</v>
      </c>
      <c r="M197" s="789">
        <f>+'Phase I Pro Forma'!M195/1000000</f>
        <v>0.22407143246901365</v>
      </c>
      <c r="N197" s="789">
        <f>+'Phase I Pro Forma'!N195/1000000</f>
        <v>0.22855286111839396</v>
      </c>
      <c r="O197" s="789">
        <f>+'Phase I Pro Forma'!O195/1000000</f>
        <v>0.23312391834076182</v>
      </c>
      <c r="P197" s="789">
        <f>+'Phase I Pro Forma'!P195/1000000</f>
        <v>0.23778639670757709</v>
      </c>
      <c r="Q197" s="789">
        <f>+'Phase I Pro Forma'!Q195/1000000</f>
        <v>0.24254212464172858</v>
      </c>
      <c r="R197" s="789">
        <f>+'Phase I Pro Forma'!R195/1000000</f>
        <v>0.24739296713456313</v>
      </c>
      <c r="S197" s="789">
        <f>+'Phase I Pro Forma'!S195/1000000</f>
        <v>0.25234082647725437</v>
      </c>
      <c r="T197" s="789">
        <f>+'Phase I Pro Forma'!T195/1000000</f>
        <v>0.25738764300679956</v>
      </c>
      <c r="U197" s="789">
        <f>+'Phase I Pro Forma'!U195/1000000</f>
        <v>0.26253539586693553</v>
      </c>
      <c r="V197" s="789">
        <f>+'Phase I Pro Forma'!V195/1000000</f>
        <v>0.26778610378427425</v>
      </c>
      <c r="W197" s="789">
        <f>+'Phase I Pro Forma'!W195/1000000</f>
        <v>0.27314182585995972</v>
      </c>
      <c r="X197" s="789">
        <f>+'Phase I Pro Forma'!X195/1000000</f>
        <v>0.27860466237715897</v>
      </c>
      <c r="Y197" s="789">
        <f>+'Phase I Pro Forma'!Y195/1000000</f>
        <v>0.28417675562470213</v>
      </c>
      <c r="Z197" s="789">
        <f>+'Phase I Pro Forma'!Z195/1000000</f>
        <v>0.28986029073719621</v>
      </c>
    </row>
    <row r="198" spans="2:26" hidden="1" x14ac:dyDescent="0.2">
      <c r="B198" s="800" t="s">
        <v>325</v>
      </c>
      <c r="C198" s="793"/>
      <c r="D198" s="801">
        <f ca="1">+'Phase I Pro Forma'!D196</f>
        <v>8.4720973919597903E-2</v>
      </c>
      <c r="E198" s="801"/>
      <c r="F198" s="789">
        <f ca="1">+'Phase I Pro Forma'!F196/1000000</f>
        <v>0</v>
      </c>
      <c r="G198" s="789">
        <f ca="1">+'Phase I Pro Forma'!G196/1000000</f>
        <v>0</v>
      </c>
      <c r="H198" s="789">
        <f ca="1">+'Phase I Pro Forma'!H196/1000000</f>
        <v>0</v>
      </c>
      <c r="I198" s="789">
        <f ca="1">+'Phase I Pro Forma'!I196/1000000</f>
        <v>0.97840727106633696</v>
      </c>
      <c r="J198" s="789">
        <f ca="1">+'Phase I Pro Forma'!J196/1000000</f>
        <v>1.9959508329753275</v>
      </c>
      <c r="K198" s="789">
        <f ca="1">+'Phase I Pro Forma'!K196/1000000</f>
        <v>1.9959508329753275</v>
      </c>
      <c r="L198" s="789">
        <f ca="1">+'Phase I Pro Forma'!L196/1000000</f>
        <v>1.9959508329753275</v>
      </c>
      <c r="M198" s="789">
        <f ca="1">+'Phase I Pro Forma'!M196/1000000</f>
        <v>2.0358698496348344</v>
      </c>
      <c r="N198" s="789">
        <f ca="1">+'Phase I Pro Forma'!N196/1000000</f>
        <v>2.0358698496348344</v>
      </c>
      <c r="O198" s="789">
        <f ca="1">+'Phase I Pro Forma'!O196/1000000</f>
        <v>2.0358698496348344</v>
      </c>
      <c r="P198" s="789">
        <f ca="1">+'Phase I Pro Forma'!P196/1000000</f>
        <v>2.0765872466275308</v>
      </c>
      <c r="Q198" s="789">
        <f ca="1">+'Phase I Pro Forma'!Q196/1000000</f>
        <v>2.0765872466275308</v>
      </c>
      <c r="R198" s="789">
        <f ca="1">+'Phase I Pro Forma'!R196/1000000</f>
        <v>2.0765872466275308</v>
      </c>
      <c r="S198" s="789">
        <f ca="1">+'Phase I Pro Forma'!S196/1000000</f>
        <v>2.118118991560082</v>
      </c>
      <c r="T198" s="789">
        <f ca="1">+'Phase I Pro Forma'!T196/1000000</f>
        <v>2.118118991560082</v>
      </c>
      <c r="U198" s="789">
        <f ca="1">+'Phase I Pro Forma'!U196/1000000</f>
        <v>2.118118991560082</v>
      </c>
      <c r="V198" s="789">
        <f ca="1">+'Phase I Pro Forma'!V196/1000000</f>
        <v>2.1604813713912834</v>
      </c>
      <c r="W198" s="789">
        <f ca="1">+'Phase I Pro Forma'!W196/1000000</f>
        <v>2.1604813713912834</v>
      </c>
      <c r="X198" s="789">
        <f ca="1">+'Phase I Pro Forma'!X196/1000000</f>
        <v>2.1604813713912834</v>
      </c>
      <c r="Y198" s="789">
        <f ca="1">+'Phase I Pro Forma'!Y196/1000000</f>
        <v>2.2036909988191087</v>
      </c>
      <c r="Z198" s="789">
        <f ca="1">+'Phase I Pro Forma'!Z196/1000000</f>
        <v>2.2036909988191087</v>
      </c>
    </row>
    <row r="199" spans="2:26" hidden="1" x14ac:dyDescent="0.2">
      <c r="B199" s="797" t="s">
        <v>287</v>
      </c>
      <c r="C199" s="793"/>
      <c r="D199" s="798">
        <f>+'Phase I Pro Forma'!D197</f>
        <v>3.5000000000000003E-2</v>
      </c>
      <c r="E199" s="798"/>
      <c r="F199" s="789">
        <f>+'Phase I Pro Forma'!F197/1000000</f>
        <v>0</v>
      </c>
      <c r="G199" s="789">
        <f>+'Phase I Pro Forma'!G197/1000000</f>
        <v>0</v>
      </c>
      <c r="H199" s="789">
        <f>+'Phase I Pro Forma'!H197/1000000</f>
        <v>0</v>
      </c>
      <c r="I199" s="789">
        <f>+'Phase I Pro Forma'!I197/1000000</f>
        <v>0.32580023451424461</v>
      </c>
      <c r="J199" s="789">
        <f>+'Phase I Pro Forma'!J197/1000000</f>
        <v>0.72221995607166234</v>
      </c>
      <c r="K199" s="789">
        <f>+'Phase I Pro Forma'!K197/1000000</f>
        <v>0.75379662979771989</v>
      </c>
      <c r="L199" s="789">
        <f>+'Phase I Pro Forma'!L197/1000000</f>
        <v>0.76887256239367441</v>
      </c>
      <c r="M199" s="789">
        <f>+'Phase I Pro Forma'!M197/1000000</f>
        <v>0.78425001364154778</v>
      </c>
      <c r="N199" s="789">
        <f>+'Phase I Pro Forma'!N197/1000000</f>
        <v>0.79993501391437893</v>
      </c>
      <c r="O199" s="789">
        <f>+'Phase I Pro Forma'!O197/1000000</f>
        <v>0.81593371419266647</v>
      </c>
      <c r="P199" s="789">
        <f>+'Phase I Pro Forma'!P197/1000000</f>
        <v>0.83225238847651983</v>
      </c>
      <c r="Q199" s="789">
        <f>+'Phase I Pro Forma'!Q197/1000000</f>
        <v>0.84889743624605019</v>
      </c>
      <c r="R199" s="789">
        <f>+'Phase I Pro Forma'!R197/1000000</f>
        <v>0.86587538497097105</v>
      </c>
      <c r="S199" s="789">
        <f>+'Phase I Pro Forma'!S197/1000000</f>
        <v>0.88319289267039047</v>
      </c>
      <c r="T199" s="789">
        <f>+'Phase I Pro Forma'!T197/1000000</f>
        <v>0.90085675052379854</v>
      </c>
      <c r="U199" s="789">
        <f>+'Phase I Pro Forma'!U197/1000000</f>
        <v>0.91887388553427451</v>
      </c>
      <c r="V199" s="789">
        <f>+'Phase I Pro Forma'!V197/1000000</f>
        <v>0.93725136324495995</v>
      </c>
      <c r="W199" s="789">
        <f>+'Phase I Pro Forma'!W197/1000000</f>
        <v>0.95599639050985907</v>
      </c>
      <c r="X199" s="789">
        <f>+'Phase I Pro Forma'!X197/1000000</f>
        <v>0.97511631832005652</v>
      </c>
      <c r="Y199" s="789">
        <f>+'Phase I Pro Forma'!Y197/1000000</f>
        <v>0.99461864468645755</v>
      </c>
      <c r="Z199" s="789">
        <f>+'Phase I Pro Forma'!Z197/1000000</f>
        <v>1.0145110175801868</v>
      </c>
    </row>
    <row r="200" spans="2:26" x14ac:dyDescent="0.2">
      <c r="B200" s="54" t="s">
        <v>281</v>
      </c>
      <c r="D200" s="114"/>
      <c r="E200" s="114"/>
      <c r="F200" s="771">
        <f ca="1">+SUM(F191:F199)</f>
        <v>0</v>
      </c>
      <c r="G200" s="771">
        <f t="shared" ref="G200:Z200" ca="1" si="55">+SUM(G191:G199)</f>
        <v>0</v>
      </c>
      <c r="H200" s="771">
        <f t="shared" ca="1" si="55"/>
        <v>0</v>
      </c>
      <c r="I200" s="771">
        <f t="shared" ca="1" si="55"/>
        <v>3.6778949284700779</v>
      </c>
      <c r="J200" s="771">
        <f t="shared" ca="1" si="55"/>
        <v>7.9800590404262435</v>
      </c>
      <c r="K200" s="771">
        <f t="shared" ca="1" si="55"/>
        <v>8.2416943370135769</v>
      </c>
      <c r="L200" s="771">
        <f t="shared" ca="1" si="55"/>
        <v>8.3666092070943421</v>
      </c>
      <c r="M200" s="771">
        <f t="shared" ca="1" si="55"/>
        <v>8.5339413912362296</v>
      </c>
      <c r="N200" s="771">
        <f t="shared" ca="1" si="55"/>
        <v>8.663902822068259</v>
      </c>
      <c r="O200" s="771">
        <f t="shared" ca="1" si="55"/>
        <v>8.7964634815169269</v>
      </c>
      <c r="P200" s="771">
        <f t="shared" ca="1" si="55"/>
        <v>8.9723927511472645</v>
      </c>
      <c r="Q200" s="771">
        <f t="shared" ca="1" si="55"/>
        <v>9.1103088612376606</v>
      </c>
      <c r="R200" s="771">
        <f t="shared" ca="1" si="55"/>
        <v>9.2509832935298615</v>
      </c>
      <c r="S200" s="771">
        <f t="shared" ca="1" si="55"/>
        <v>9.436002959400458</v>
      </c>
      <c r="T200" s="771">
        <f t="shared" ca="1" si="55"/>
        <v>9.5823606387572688</v>
      </c>
      <c r="U200" s="771">
        <f t="shared" ca="1" si="55"/>
        <v>9.7316454717012135</v>
      </c>
      <c r="V200" s="771">
        <f t="shared" ca="1" si="55"/>
        <v>9.9262783811352353</v>
      </c>
      <c r="W200" s="771">
        <f t="shared" ca="1" si="55"/>
        <v>10.081594321330117</v>
      </c>
      <c r="X200" s="771">
        <f t="shared" ca="1" si="55"/>
        <v>10.240016580328893</v>
      </c>
      <c r="Y200" s="771">
        <f t="shared" ca="1" si="55"/>
        <v>10.444816911935471</v>
      </c>
      <c r="Z200" s="771">
        <f t="shared" ca="1" si="55"/>
        <v>10.609639430197799</v>
      </c>
    </row>
    <row r="201" spans="2:26" s="793" customFormat="1" hidden="1" x14ac:dyDescent="0.2">
      <c r="B201" s="802" t="s">
        <v>180</v>
      </c>
    </row>
    <row r="202" spans="2:26" x14ac:dyDescent="0.2">
      <c r="B202" s="54" t="s">
        <v>789</v>
      </c>
      <c r="D202" s="114">
        <f>+'Phase I Pro Forma'!D199</f>
        <v>0.4</v>
      </c>
      <c r="E202" s="114"/>
      <c r="F202" s="41">
        <f t="shared" ref="F202:Z202" si="56">F$183*$D202</f>
        <v>0</v>
      </c>
      <c r="G202" s="41">
        <f t="shared" si="56"/>
        <v>0</v>
      </c>
      <c r="H202" s="41">
        <f t="shared" si="56"/>
        <v>0</v>
      </c>
      <c r="I202" s="41">
        <f t="shared" si="56"/>
        <v>0</v>
      </c>
      <c r="J202" s="41">
        <f t="shared" si="56"/>
        <v>0</v>
      </c>
      <c r="K202" s="41">
        <f t="shared" si="56"/>
        <v>0</v>
      </c>
      <c r="L202" s="41">
        <f t="shared" si="56"/>
        <v>0</v>
      </c>
      <c r="M202" s="41">
        <f t="shared" si="56"/>
        <v>0</v>
      </c>
      <c r="N202" s="41">
        <f t="shared" si="56"/>
        <v>0</v>
      </c>
      <c r="O202" s="41">
        <f t="shared" si="56"/>
        <v>0</v>
      </c>
      <c r="P202" s="41">
        <f t="shared" si="56"/>
        <v>0</v>
      </c>
      <c r="Q202" s="41">
        <f t="shared" si="56"/>
        <v>0</v>
      </c>
      <c r="R202" s="41">
        <f t="shared" si="56"/>
        <v>0</v>
      </c>
      <c r="S202" s="41">
        <f t="shared" si="56"/>
        <v>0</v>
      </c>
      <c r="T202" s="41">
        <f t="shared" si="56"/>
        <v>0</v>
      </c>
      <c r="U202" s="41">
        <f t="shared" si="56"/>
        <v>0</v>
      </c>
      <c r="V202" s="41">
        <f t="shared" si="56"/>
        <v>0</v>
      </c>
      <c r="W202" s="41">
        <f t="shared" si="56"/>
        <v>0</v>
      </c>
      <c r="X202" s="41">
        <f t="shared" si="56"/>
        <v>0</v>
      </c>
      <c r="Y202" s="41">
        <f t="shared" si="56"/>
        <v>0</v>
      </c>
      <c r="Z202" s="41">
        <f t="shared" si="56"/>
        <v>0</v>
      </c>
    </row>
    <row r="203" spans="2:26" x14ac:dyDescent="0.2">
      <c r="B203" s="136" t="s">
        <v>313</v>
      </c>
      <c r="C203" s="136"/>
      <c r="D203" s="136"/>
      <c r="E203" s="136"/>
      <c r="F203" s="773">
        <f ca="1">+F189+F200+F202</f>
        <v>0</v>
      </c>
      <c r="G203" s="773">
        <f t="shared" ref="G203:Z203" ca="1" si="57">+G189+G200+G202</f>
        <v>0</v>
      </c>
      <c r="H203" s="773">
        <f t="shared" ca="1" si="57"/>
        <v>0</v>
      </c>
      <c r="I203" s="773">
        <f t="shared" ca="1" si="57"/>
        <v>6.8517692186931782</v>
      </c>
      <c r="J203" s="773">
        <f t="shared" ca="1" si="57"/>
        <v>14.86610171864282</v>
      </c>
      <c r="K203" s="773">
        <f t="shared" ca="1" si="57"/>
        <v>15.387831258827516</v>
      </c>
      <c r="L203" s="773">
        <f t="shared" ca="1" si="57"/>
        <v>15.655668867344559</v>
      </c>
      <c r="M203" s="773">
        <f t="shared" ca="1" si="57"/>
        <v>15.96878224469145</v>
      </c>
      <c r="N203" s="773">
        <f t="shared" ca="1" si="57"/>
        <v>16.247440492592588</v>
      </c>
      <c r="O203" s="773">
        <f t="shared" ca="1" si="57"/>
        <v>16.531671905451741</v>
      </c>
      <c r="P203" s="773">
        <f t="shared" ca="1" si="57"/>
        <v>16.862305343560774</v>
      </c>
      <c r="Q203" s="773">
        <f t="shared" ca="1" si="57"/>
        <v>17.158019705499441</v>
      </c>
      <c r="R203" s="773">
        <f t="shared" ca="1" si="57"/>
        <v>17.459648354676879</v>
      </c>
      <c r="S203" s="773">
        <f t="shared" ca="1" si="57"/>
        <v>17.808841321770412</v>
      </c>
      <c r="T203" s="773">
        <f t="shared" ca="1" si="57"/>
        <v>18.122655768374624</v>
      </c>
      <c r="U203" s="773">
        <f t="shared" ca="1" si="57"/>
        <v>18.442746503910918</v>
      </c>
      <c r="V203" s="773">
        <f t="shared" ca="1" si="57"/>
        <v>18.811601433989132</v>
      </c>
      <c r="W203" s="773">
        <f t="shared" ca="1" si="57"/>
        <v>19.144623835241092</v>
      </c>
      <c r="X203" s="773">
        <f t="shared" ca="1" si="57"/>
        <v>19.484306684518089</v>
      </c>
      <c r="Y203" s="773">
        <f t="shared" ca="1" si="57"/>
        <v>19.87399281820845</v>
      </c>
      <c r="Z203" s="773">
        <f t="shared" ca="1" si="57"/>
        <v>20.227398854596238</v>
      </c>
    </row>
    <row r="204" spans="2:26" hidden="1" x14ac:dyDescent="0.2">
      <c r="B204" s="793"/>
      <c r="C204" s="793"/>
      <c r="D204" s="793"/>
      <c r="E204" s="793"/>
      <c r="F204" s="793"/>
      <c r="G204" s="793"/>
      <c r="H204" s="793"/>
      <c r="I204" s="793"/>
      <c r="J204" s="793"/>
      <c r="K204" s="793"/>
      <c r="L204" s="793"/>
      <c r="M204" s="793"/>
      <c r="N204" s="793"/>
      <c r="O204" s="793"/>
      <c r="P204" s="793"/>
      <c r="Q204" s="793"/>
      <c r="R204" s="793"/>
      <c r="S204" s="793"/>
      <c r="T204" s="793"/>
      <c r="U204" s="793"/>
      <c r="V204" s="793"/>
      <c r="W204" s="793"/>
      <c r="X204" s="793"/>
      <c r="Y204" s="793"/>
      <c r="Z204" s="793"/>
    </row>
    <row r="205" spans="2:26" hidden="1" x14ac:dyDescent="0.2">
      <c r="B205" s="804" t="s">
        <v>312</v>
      </c>
      <c r="C205" s="804"/>
      <c r="D205" s="804"/>
      <c r="E205" s="804"/>
      <c r="F205" s="805">
        <f t="shared" ref="F205:Z205" ca="1" si="58">+F184-F203</f>
        <v>0</v>
      </c>
      <c r="G205" s="805">
        <f t="shared" ca="1" si="58"/>
        <v>0</v>
      </c>
      <c r="H205" s="805">
        <f t="shared" ca="1" si="58"/>
        <v>0</v>
      </c>
      <c r="I205" s="805">
        <f t="shared" ca="1" si="58"/>
        <v>2.4568089102852397</v>
      </c>
      <c r="J205" s="805">
        <f t="shared" ca="1" si="58"/>
        <v>5.7687541691189566</v>
      </c>
      <c r="K205" s="805">
        <f t="shared" ca="1" si="58"/>
        <v>6.1492153068216222</v>
      </c>
      <c r="L205" s="805">
        <f t="shared" ca="1" si="58"/>
        <v>6.3121186296175651</v>
      </c>
      <c r="M205" s="805">
        <f t="shared" ca="1" si="58"/>
        <v>6.4383610022099127</v>
      </c>
      <c r="N205" s="805">
        <f t="shared" ca="1" si="58"/>
        <v>6.6078456192468096</v>
      </c>
      <c r="O205" s="805">
        <f t="shared" ca="1" si="58"/>
        <v>6.7807199286244391</v>
      </c>
      <c r="P205" s="805">
        <f t="shared" ca="1" si="58"/>
        <v>6.9163343271969318</v>
      </c>
      <c r="Q205" s="805">
        <f t="shared" ca="1" si="58"/>
        <v>7.0961927586734177</v>
      </c>
      <c r="R205" s="805">
        <f t="shared" ca="1" si="58"/>
        <v>7.2796483587794363</v>
      </c>
      <c r="S205" s="805">
        <f t="shared" ca="1" si="58"/>
        <v>7.4252413259550245</v>
      </c>
      <c r="T205" s="805">
        <f t="shared" ca="1" si="58"/>
        <v>7.6161085323053292</v>
      </c>
      <c r="U205" s="805">
        <f t="shared" ca="1" si="58"/>
        <v>7.8107930827826344</v>
      </c>
      <c r="V205" s="805">
        <f t="shared" ca="1" si="58"/>
        <v>7.9670089444382945</v>
      </c>
      <c r="W205" s="805">
        <f t="shared" ca="1" si="58"/>
        <v>8.1695587507548808</v>
      </c>
      <c r="X205" s="805">
        <f t="shared" ca="1" si="58"/>
        <v>8.3761595531978088</v>
      </c>
      <c r="Y205" s="805">
        <f t="shared" ca="1" si="58"/>
        <v>8.543682744261762</v>
      </c>
      <c r="Z205" s="805">
        <f t="shared" ca="1" si="58"/>
        <v>8.7586302191233827</v>
      </c>
    </row>
    <row r="206" spans="2:26" ht="5" customHeight="1" x14ac:dyDescent="0.2"/>
    <row r="207" spans="2:26" x14ac:dyDescent="0.2">
      <c r="B207" s="155" t="s">
        <v>83</v>
      </c>
    </row>
    <row r="208" spans="2:26" x14ac:dyDescent="0.2">
      <c r="B208" s="54" t="s">
        <v>288</v>
      </c>
      <c r="D208" s="114">
        <f>+'Phase I Pro Forma'!D205</f>
        <v>0.03</v>
      </c>
      <c r="E208" s="114"/>
      <c r="F208" s="771">
        <f t="shared" ref="F208:Z208" si="59">F$181*$D208</f>
        <v>0</v>
      </c>
      <c r="G208" s="771">
        <f t="shared" si="59"/>
        <v>0</v>
      </c>
      <c r="H208" s="771">
        <f t="shared" si="59"/>
        <v>0</v>
      </c>
      <c r="I208" s="771">
        <f t="shared" si="59"/>
        <v>0.27925734386935253</v>
      </c>
      <c r="J208" s="771">
        <f t="shared" si="59"/>
        <v>0.61904567663285326</v>
      </c>
      <c r="K208" s="771">
        <f t="shared" si="59"/>
        <v>0.64611139696947417</v>
      </c>
      <c r="L208" s="771">
        <f t="shared" si="59"/>
        <v>0.65903362490886375</v>
      </c>
      <c r="M208" s="771">
        <f t="shared" si="59"/>
        <v>0.67221429740704086</v>
      </c>
      <c r="N208" s="771">
        <f t="shared" si="59"/>
        <v>0.68565858335518193</v>
      </c>
      <c r="O208" s="771">
        <f t="shared" si="59"/>
        <v>0.69937175502228544</v>
      </c>
      <c r="P208" s="771">
        <f t="shared" si="59"/>
        <v>0.71335919012273119</v>
      </c>
      <c r="Q208" s="771">
        <f t="shared" si="59"/>
        <v>0.7276263739251857</v>
      </c>
      <c r="R208" s="771">
        <f t="shared" si="59"/>
        <v>0.74217890140368947</v>
      </c>
      <c r="S208" s="771">
        <f t="shared" si="59"/>
        <v>0.75702247943176304</v>
      </c>
      <c r="T208" s="771">
        <f t="shared" si="59"/>
        <v>0.77216292902039863</v>
      </c>
      <c r="U208" s="771">
        <f t="shared" si="59"/>
        <v>0.78760618760080658</v>
      </c>
      <c r="V208" s="771">
        <f t="shared" si="59"/>
        <v>0.80335831135282276</v>
      </c>
      <c r="W208" s="771">
        <f t="shared" si="59"/>
        <v>0.81942547757987916</v>
      </c>
      <c r="X208" s="771">
        <f t="shared" si="59"/>
        <v>0.83581398713147692</v>
      </c>
      <c r="Y208" s="771">
        <f t="shared" si="59"/>
        <v>0.85253026687410627</v>
      </c>
      <c r="Z208" s="771">
        <f t="shared" si="59"/>
        <v>0.86958087221158864</v>
      </c>
    </row>
    <row r="209" spans="2:26" x14ac:dyDescent="0.2">
      <c r="B209" s="137" t="s">
        <v>314</v>
      </c>
      <c r="C209" s="137"/>
      <c r="D209" s="137"/>
      <c r="E209" s="137"/>
      <c r="F209" s="774">
        <f ca="1">+F205-F208</f>
        <v>0</v>
      </c>
      <c r="G209" s="774">
        <f t="shared" ref="G209:Z209" ca="1" si="60">+G205-G208</f>
        <v>0</v>
      </c>
      <c r="H209" s="774">
        <f t="shared" ca="1" si="60"/>
        <v>0</v>
      </c>
      <c r="I209" s="774">
        <f t="shared" ca="1" si="60"/>
        <v>2.1775515664158873</v>
      </c>
      <c r="J209" s="774">
        <f t="shared" ca="1" si="60"/>
        <v>5.149708492486103</v>
      </c>
      <c r="K209" s="774">
        <f t="shared" ca="1" si="60"/>
        <v>5.5031039098521477</v>
      </c>
      <c r="L209" s="774">
        <f t="shared" ca="1" si="60"/>
        <v>5.6530850047087018</v>
      </c>
      <c r="M209" s="774">
        <f t="shared" ca="1" si="60"/>
        <v>5.7661467048028721</v>
      </c>
      <c r="N209" s="774">
        <f t="shared" ca="1" si="60"/>
        <v>5.9221870358916275</v>
      </c>
      <c r="O209" s="774">
        <f t="shared" ca="1" si="60"/>
        <v>6.0813481736021533</v>
      </c>
      <c r="P209" s="774">
        <f t="shared" ca="1" si="60"/>
        <v>6.2029751370742003</v>
      </c>
      <c r="Q209" s="774">
        <f t="shared" ca="1" si="60"/>
        <v>6.3685663847482319</v>
      </c>
      <c r="R209" s="774">
        <f t="shared" ca="1" si="60"/>
        <v>6.5374694573757468</v>
      </c>
      <c r="S209" s="774">
        <f t="shared" ca="1" si="60"/>
        <v>6.6682188465232617</v>
      </c>
      <c r="T209" s="774">
        <f t="shared" ca="1" si="60"/>
        <v>6.8439456032849311</v>
      </c>
      <c r="U209" s="774">
        <f t="shared" ca="1" si="60"/>
        <v>7.0231868951818281</v>
      </c>
      <c r="V209" s="774">
        <f t="shared" ca="1" si="60"/>
        <v>7.1636506330854717</v>
      </c>
      <c r="W209" s="774">
        <f t="shared" ca="1" si="60"/>
        <v>7.3501332731750013</v>
      </c>
      <c r="X209" s="774">
        <f t="shared" ca="1" si="60"/>
        <v>7.5403455660663319</v>
      </c>
      <c r="Y209" s="774">
        <f t="shared" ca="1" si="60"/>
        <v>7.6911524773876554</v>
      </c>
      <c r="Z209" s="774">
        <f t="shared" ca="1" si="60"/>
        <v>7.8890493469117944</v>
      </c>
    </row>
    <row r="210" spans="2:26" x14ac:dyDescent="0.2">
      <c r="B210" s="779" t="s">
        <v>254</v>
      </c>
      <c r="C210" s="780"/>
      <c r="D210" s="780"/>
      <c r="E210" s="780"/>
      <c r="F210" s="781" t="str">
        <f t="shared" ref="F210:Z210" ca="1" si="61">+IFERROR(F209/F184,"")</f>
        <v/>
      </c>
      <c r="G210" s="781" t="str">
        <f t="shared" ca="1" si="61"/>
        <v/>
      </c>
      <c r="H210" s="781" t="str">
        <f t="shared" ca="1" si="61"/>
        <v/>
      </c>
      <c r="I210" s="781">
        <f t="shared" ca="1" si="61"/>
        <v>0.23392955790283146</v>
      </c>
      <c r="J210" s="781">
        <f t="shared" ca="1" si="61"/>
        <v>0.24956357924168096</v>
      </c>
      <c r="K210" s="781">
        <f t="shared" ca="1" si="61"/>
        <v>0.25551803925750027</v>
      </c>
      <c r="L210" s="781">
        <f t="shared" ca="1" si="61"/>
        <v>0.25733520071106181</v>
      </c>
      <c r="M210" s="781">
        <f t="shared" ca="1" si="61"/>
        <v>0.25733520071106164</v>
      </c>
      <c r="N210" s="781">
        <f t="shared" ca="1" si="61"/>
        <v>0.2591167315478865</v>
      </c>
      <c r="O210" s="781">
        <f t="shared" ca="1" si="61"/>
        <v>0.26086333040751858</v>
      </c>
      <c r="P210" s="781">
        <f t="shared" ca="1" si="61"/>
        <v>0.26086333040751875</v>
      </c>
      <c r="Q210" s="781">
        <f t="shared" ca="1" si="61"/>
        <v>0.26257568223068745</v>
      </c>
      <c r="R210" s="781">
        <f t="shared" ca="1" si="61"/>
        <v>0.2642544585279118</v>
      </c>
      <c r="S210" s="781">
        <f t="shared" ca="1" si="61"/>
        <v>0.26425445852791185</v>
      </c>
      <c r="T210" s="781">
        <f t="shared" ca="1" si="61"/>
        <v>0.26590031764283772</v>
      </c>
      <c r="U210" s="781">
        <f t="shared" ca="1" si="61"/>
        <v>0.26751390501041195</v>
      </c>
      <c r="V210" s="781">
        <f t="shared" ca="1" si="61"/>
        <v>0.26751390501041217</v>
      </c>
      <c r="W210" s="781">
        <f t="shared" ca="1" si="61"/>
        <v>0.26909585340999465</v>
      </c>
      <c r="X210" s="781">
        <f t="shared" ca="1" si="61"/>
        <v>0.27064678321350721</v>
      </c>
      <c r="Y210" s="781">
        <f t="shared" ca="1" si="61"/>
        <v>0.27064678321350716</v>
      </c>
      <c r="Z210" s="781">
        <f t="shared" ca="1" si="61"/>
        <v>0.27216730262871552</v>
      </c>
    </row>
    <row r="211" spans="2:26" x14ac:dyDescent="0.2">
      <c r="B211" s="779" t="s">
        <v>188</v>
      </c>
      <c r="C211" s="780"/>
      <c r="D211" s="780"/>
      <c r="E211" s="780"/>
      <c r="F211" s="783">
        <f ca="1">+'Phase I Pro Forma'!F208/1000000</f>
        <v>0</v>
      </c>
      <c r="G211" s="783">
        <f ca="1">+'Phase I Pro Forma'!G208/1000000</f>
        <v>0</v>
      </c>
      <c r="H211" s="783">
        <f ca="1">+'Phase I Pro Forma'!H208/1000000</f>
        <v>0</v>
      </c>
      <c r="I211" s="783">
        <f ca="1">+'Phase I Pro Forma'!I208/1000000</f>
        <v>30.710111378565465</v>
      </c>
      <c r="J211" s="783">
        <f ca="1">+'Phase I Pro Forma'!J208/1000000</f>
        <v>72.109427113987039</v>
      </c>
      <c r="K211" s="783">
        <f ca="1">+'Phase I Pro Forma'!K208/1000000</f>
        <v>76.865191335270254</v>
      </c>
      <c r="L211" s="783">
        <f ca="1">+'Phase I Pro Forma'!L208/1000000</f>
        <v>78.901482870219482</v>
      </c>
      <c r="M211" s="783">
        <f ca="1">+'Phase I Pro Forma'!M208/1000000</f>
        <v>80.479512527623911</v>
      </c>
      <c r="N211" s="783">
        <f ca="1">+'Phase I Pro Forma'!N208/1000000</f>
        <v>82.598070240585102</v>
      </c>
      <c r="O211" s="783">
        <f ca="1">+'Phase I Pro Forma'!O208/1000000</f>
        <v>84.758999107805522</v>
      </c>
      <c r="P211" s="783">
        <f ca="1">+'Phase I Pro Forma'!P208/1000000</f>
        <v>86.454179089961613</v>
      </c>
      <c r="Q211" s="783">
        <f ca="1">+'Phase I Pro Forma'!Q208/1000000</f>
        <v>88.702409483417782</v>
      </c>
      <c r="R211" s="783">
        <f ca="1">+'Phase I Pro Forma'!R208/1000000</f>
        <v>90.995604484742927</v>
      </c>
      <c r="S211" s="783">
        <f ca="1">+'Phase I Pro Forma'!S208/1000000</f>
        <v>92.815516574437822</v>
      </c>
      <c r="T211" s="783">
        <f ca="1">+'Phase I Pro Forma'!T208/1000000</f>
        <v>95.201356653816632</v>
      </c>
      <c r="U211" s="783">
        <f ca="1">+'Phase I Pro Forma'!U208/1000000</f>
        <v>97.634913534782967</v>
      </c>
      <c r="V211" s="783">
        <f ca="1">+'Phase I Pro Forma'!V208/1000000</f>
        <v>99.587611805478616</v>
      </c>
      <c r="W211" s="783">
        <f ca="1">+'Phase I Pro Forma'!W208/1000000</f>
        <v>102.11948438443596</v>
      </c>
      <c r="X211" s="783">
        <f ca="1">+'Phase I Pro Forma'!X208/1000000</f>
        <v>104.7019944149726</v>
      </c>
      <c r="Y211" s="783">
        <f ca="1">+'Phase I Pro Forma'!Y208/1000000</f>
        <v>106.79603430327205</v>
      </c>
      <c r="Z211" s="783">
        <f ca="1">+'Phase I Pro Forma'!Z208/1000000</f>
        <v>109.48287773904227</v>
      </c>
    </row>
    <row r="213" spans="2:26" x14ac:dyDescent="0.2">
      <c r="B213" s="147" t="s">
        <v>31</v>
      </c>
      <c r="F213" s="776">
        <f>+F165</f>
        <v>44196</v>
      </c>
      <c r="G213" s="776">
        <f t="shared" ref="G213:Z213" si="62">+G165</f>
        <v>44561</v>
      </c>
      <c r="H213" s="776">
        <f t="shared" si="62"/>
        <v>44926</v>
      </c>
      <c r="I213" s="776">
        <f t="shared" si="62"/>
        <v>45291</v>
      </c>
      <c r="J213" s="776">
        <f t="shared" si="62"/>
        <v>45657</v>
      </c>
      <c r="K213" s="776">
        <f t="shared" si="62"/>
        <v>46022</v>
      </c>
      <c r="L213" s="776">
        <f t="shared" si="62"/>
        <v>46387</v>
      </c>
      <c r="M213" s="776">
        <f t="shared" si="62"/>
        <v>46752</v>
      </c>
      <c r="N213" s="776">
        <f t="shared" si="62"/>
        <v>47118</v>
      </c>
      <c r="O213" s="776">
        <f t="shared" si="62"/>
        <v>47483</v>
      </c>
      <c r="P213" s="776">
        <f t="shared" si="62"/>
        <v>47848</v>
      </c>
      <c r="Q213" s="776">
        <f t="shared" si="62"/>
        <v>48213</v>
      </c>
      <c r="R213" s="776">
        <f t="shared" si="62"/>
        <v>48579</v>
      </c>
      <c r="S213" s="776">
        <f t="shared" si="62"/>
        <v>48944</v>
      </c>
      <c r="T213" s="776">
        <f t="shared" si="62"/>
        <v>49309</v>
      </c>
      <c r="U213" s="776">
        <f t="shared" si="62"/>
        <v>49674</v>
      </c>
      <c r="V213" s="776">
        <f t="shared" si="62"/>
        <v>50040</v>
      </c>
      <c r="W213" s="776">
        <f t="shared" si="62"/>
        <v>50405</v>
      </c>
      <c r="X213" s="776">
        <f t="shared" si="62"/>
        <v>50770</v>
      </c>
      <c r="Y213" s="776">
        <f t="shared" si="62"/>
        <v>51135</v>
      </c>
      <c r="Z213" s="776">
        <f t="shared" si="62"/>
        <v>51501</v>
      </c>
    </row>
    <row r="214" spans="2:26" hidden="1" x14ac:dyDescent="0.2">
      <c r="B214" s="788" t="s">
        <v>331</v>
      </c>
      <c r="C214" s="793"/>
      <c r="D214" s="793"/>
      <c r="E214" s="793"/>
      <c r="F214" s="792">
        <v>0</v>
      </c>
      <c r="G214" s="792">
        <f t="shared" ref="G214:Z214" si="63">+F217</f>
        <v>0</v>
      </c>
      <c r="H214" s="792">
        <f t="shared" si="63"/>
        <v>0</v>
      </c>
      <c r="I214" s="792">
        <f t="shared" si="63"/>
        <v>0</v>
      </c>
      <c r="J214" s="792">
        <f t="shared" ca="1" si="63"/>
        <v>61.492153068216204</v>
      </c>
      <c r="K214" s="792">
        <f t="shared" ca="1" si="63"/>
        <v>61.492153068216204</v>
      </c>
      <c r="L214" s="792">
        <f t="shared" ca="1" si="63"/>
        <v>61.492153068216204</v>
      </c>
      <c r="M214" s="792">
        <f t="shared" ca="1" si="63"/>
        <v>61.492153068216204</v>
      </c>
      <c r="N214" s="792">
        <f t="shared" ca="1" si="63"/>
        <v>61.492153068216204</v>
      </c>
      <c r="O214" s="792">
        <f t="shared" ca="1" si="63"/>
        <v>61.492153068216204</v>
      </c>
      <c r="P214" s="792">
        <f t="shared" ca="1" si="63"/>
        <v>61.492153068216204</v>
      </c>
      <c r="Q214" s="792">
        <f t="shared" ca="1" si="63"/>
        <v>61.492153068216204</v>
      </c>
      <c r="R214" s="792">
        <f t="shared" ca="1" si="63"/>
        <v>61.492153068216204</v>
      </c>
      <c r="S214" s="792">
        <f t="shared" ca="1" si="63"/>
        <v>61.492153068216204</v>
      </c>
      <c r="T214" s="792">
        <f t="shared" ca="1" si="63"/>
        <v>61.492153068216204</v>
      </c>
      <c r="U214" s="792">
        <f t="shared" ca="1" si="63"/>
        <v>61.492153068216204</v>
      </c>
      <c r="V214" s="792">
        <f t="shared" ca="1" si="63"/>
        <v>61.492153068216204</v>
      </c>
      <c r="W214" s="792">
        <f t="shared" ca="1" si="63"/>
        <v>61.492153068216204</v>
      </c>
      <c r="X214" s="792">
        <f t="shared" ca="1" si="63"/>
        <v>61.492153068216204</v>
      </c>
      <c r="Y214" s="792">
        <f t="shared" ca="1" si="63"/>
        <v>61.492153068216204</v>
      </c>
      <c r="Z214" s="792">
        <f t="shared" ca="1" si="63"/>
        <v>61.492153068216204</v>
      </c>
    </row>
    <row r="215" spans="2:26" x14ac:dyDescent="0.2">
      <c r="B215" s="32" t="s">
        <v>342</v>
      </c>
      <c r="F215" s="48">
        <f>+'Phase I Pro Forma'!F212/1000000</f>
        <v>0</v>
      </c>
      <c r="G215" s="48">
        <f>+'Phase I Pro Forma'!G212/1000000</f>
        <v>0</v>
      </c>
      <c r="H215" s="48">
        <f>+'Phase I Pro Forma'!H212/1000000</f>
        <v>0</v>
      </c>
      <c r="I215" s="48">
        <f ca="1">+'Phase I Pro Forma'!I212/1000000</f>
        <v>61.492153068216204</v>
      </c>
      <c r="J215" s="48">
        <f>+'Phase I Pro Forma'!J212/1000000</f>
        <v>0</v>
      </c>
      <c r="K215" s="48">
        <f>+'Phase I Pro Forma'!K212/1000000</f>
        <v>0</v>
      </c>
      <c r="L215" s="48">
        <f>+'Phase I Pro Forma'!L212/1000000</f>
        <v>0</v>
      </c>
      <c r="M215" s="48">
        <f>+'Phase I Pro Forma'!M212/1000000</f>
        <v>0</v>
      </c>
      <c r="N215" s="48">
        <f>+'Phase I Pro Forma'!N212/1000000</f>
        <v>0</v>
      </c>
      <c r="O215" s="48">
        <f>+'Phase I Pro Forma'!O212/1000000</f>
        <v>0</v>
      </c>
      <c r="P215" s="48">
        <f>+'Phase I Pro Forma'!P212/1000000</f>
        <v>0</v>
      </c>
      <c r="Q215" s="48">
        <f>+'Phase I Pro Forma'!Q212/1000000</f>
        <v>0</v>
      </c>
      <c r="R215" s="48">
        <f>+'Phase I Pro Forma'!R212/1000000</f>
        <v>0</v>
      </c>
      <c r="S215" s="48">
        <f>+'Phase I Pro Forma'!S212/1000000</f>
        <v>0</v>
      </c>
      <c r="T215" s="48">
        <f>+'Phase I Pro Forma'!T212/1000000</f>
        <v>0</v>
      </c>
      <c r="U215" s="48">
        <f>+'Phase I Pro Forma'!U212/1000000</f>
        <v>0</v>
      </c>
      <c r="V215" s="48">
        <f>+'Phase I Pro Forma'!V212/1000000</f>
        <v>0</v>
      </c>
      <c r="W215" s="48">
        <f>+'Phase I Pro Forma'!W212/1000000</f>
        <v>0</v>
      </c>
      <c r="X215" s="48">
        <f>+'Phase I Pro Forma'!X212/1000000</f>
        <v>0</v>
      </c>
      <c r="Y215" s="48">
        <f>+'Phase I Pro Forma'!Y212/1000000</f>
        <v>0</v>
      </c>
      <c r="Z215" s="48">
        <f>+'Phase I Pro Forma'!Z212/1000000</f>
        <v>0</v>
      </c>
    </row>
    <row r="216" spans="2:26" x14ac:dyDescent="0.2">
      <c r="B216" s="32" t="s">
        <v>162</v>
      </c>
      <c r="F216" s="772">
        <f>+'Phase I Pro Forma'!F213/1000000</f>
        <v>0</v>
      </c>
      <c r="G216" s="772">
        <f>+'Phase I Pro Forma'!G213/1000000</f>
        <v>0</v>
      </c>
      <c r="H216" s="772">
        <f>+'Phase I Pro Forma'!H213/1000000</f>
        <v>0</v>
      </c>
      <c r="I216" s="772">
        <f>+'Phase I Pro Forma'!I213/1000000</f>
        <v>0</v>
      </c>
      <c r="J216" s="772">
        <f>+'Phase I Pro Forma'!J213/1000000</f>
        <v>0</v>
      </c>
      <c r="K216" s="772">
        <f>+'Phase I Pro Forma'!K213/1000000</f>
        <v>0</v>
      </c>
      <c r="L216" s="772">
        <f>+'Phase I Pro Forma'!L213/1000000</f>
        <v>0</v>
      </c>
      <c r="M216" s="772">
        <f>+'Phase I Pro Forma'!M213/1000000</f>
        <v>0</v>
      </c>
      <c r="N216" s="772">
        <f>+'Phase I Pro Forma'!N213/1000000</f>
        <v>0</v>
      </c>
      <c r="O216" s="772">
        <f>+'Phase I Pro Forma'!O213/1000000</f>
        <v>0</v>
      </c>
      <c r="P216" s="772">
        <f>+'Phase I Pro Forma'!P213/1000000</f>
        <v>0</v>
      </c>
      <c r="Q216" s="772">
        <f>+'Phase I Pro Forma'!Q213/1000000</f>
        <v>0</v>
      </c>
      <c r="R216" s="772">
        <f>+'Phase I Pro Forma'!R213/1000000</f>
        <v>0</v>
      </c>
      <c r="S216" s="772">
        <f>+'Phase I Pro Forma'!S213/1000000</f>
        <v>0</v>
      </c>
      <c r="T216" s="772">
        <f>+'Phase I Pro Forma'!T213/1000000</f>
        <v>0</v>
      </c>
      <c r="U216" s="772">
        <f>+'Phase I Pro Forma'!U213/1000000</f>
        <v>0</v>
      </c>
      <c r="V216" s="772">
        <f>+'Phase I Pro Forma'!V213/1000000</f>
        <v>0</v>
      </c>
      <c r="W216" s="772">
        <f>+'Phase I Pro Forma'!W213/1000000</f>
        <v>0</v>
      </c>
      <c r="X216" s="772">
        <f>+'Phase I Pro Forma'!X213/1000000</f>
        <v>0</v>
      </c>
      <c r="Y216" s="772">
        <f>+'Phase I Pro Forma'!Y213/1000000</f>
        <v>0</v>
      </c>
      <c r="Z216" s="772">
        <f>+'Phase I Pro Forma'!Z213/1000000</f>
        <v>0</v>
      </c>
    </row>
    <row r="217" spans="2:26" x14ac:dyDescent="0.2">
      <c r="B217" s="32" t="s">
        <v>785</v>
      </c>
      <c r="F217" s="772">
        <f t="shared" ref="F217:N217" si="64">+SUM(F214:F216)</f>
        <v>0</v>
      </c>
      <c r="G217" s="772">
        <f t="shared" si="64"/>
        <v>0</v>
      </c>
      <c r="H217" s="772">
        <f t="shared" si="64"/>
        <v>0</v>
      </c>
      <c r="I217" s="772">
        <f t="shared" ca="1" si="64"/>
        <v>61.492153068216204</v>
      </c>
      <c r="J217" s="772">
        <f t="shared" ca="1" si="64"/>
        <v>61.492153068216204</v>
      </c>
      <c r="K217" s="772">
        <f t="shared" ca="1" si="64"/>
        <v>61.492153068216204</v>
      </c>
      <c r="L217" s="772">
        <f t="shared" ca="1" si="64"/>
        <v>61.492153068216204</v>
      </c>
      <c r="M217" s="772">
        <f t="shared" ca="1" si="64"/>
        <v>61.492153068216204</v>
      </c>
      <c r="N217" s="772">
        <f t="shared" ca="1" si="64"/>
        <v>61.492153068216204</v>
      </c>
      <c r="O217" s="772">
        <f t="shared" ref="O217" ca="1" si="65">+SUM(O214:O216)</f>
        <v>61.492153068216204</v>
      </c>
      <c r="P217" s="772">
        <f t="shared" ref="P217:Z217" ca="1" si="66">+SUM(P214:P216)</f>
        <v>61.492153068216204</v>
      </c>
      <c r="Q217" s="772">
        <f t="shared" ca="1" si="66"/>
        <v>61.492153068216204</v>
      </c>
      <c r="R217" s="772">
        <f t="shared" ca="1" si="66"/>
        <v>61.492153068216204</v>
      </c>
      <c r="S217" s="772">
        <f t="shared" ca="1" si="66"/>
        <v>61.492153068216204</v>
      </c>
      <c r="T217" s="772">
        <f t="shared" ca="1" si="66"/>
        <v>61.492153068216204</v>
      </c>
      <c r="U217" s="772">
        <f t="shared" ca="1" si="66"/>
        <v>61.492153068216204</v>
      </c>
      <c r="V217" s="772">
        <f t="shared" ca="1" si="66"/>
        <v>61.492153068216204</v>
      </c>
      <c r="W217" s="772">
        <f t="shared" ca="1" si="66"/>
        <v>61.492153068216204</v>
      </c>
      <c r="X217" s="772">
        <f t="shared" ca="1" si="66"/>
        <v>61.492153068216204</v>
      </c>
      <c r="Y217" s="772">
        <f t="shared" ca="1" si="66"/>
        <v>61.492153068216204</v>
      </c>
      <c r="Z217" s="772">
        <f t="shared" ca="1" si="66"/>
        <v>61.492153068216204</v>
      </c>
    </row>
    <row r="218" spans="2:26" ht="5" customHeight="1" x14ac:dyDescent="0.2"/>
    <row r="219" spans="2:26" x14ac:dyDescent="0.2">
      <c r="B219" s="40" t="s">
        <v>332</v>
      </c>
      <c r="F219" s="48">
        <f>+'Phase I Pro Forma'!F216/1000000</f>
        <v>0</v>
      </c>
      <c r="G219" s="48">
        <f>+'Phase I Pro Forma'!G216/1000000</f>
        <v>0</v>
      </c>
      <c r="H219" s="48">
        <f>+'Phase I Pro Forma'!H216/1000000</f>
        <v>0</v>
      </c>
      <c r="I219" s="48">
        <f ca="1">+'Phase I Pro Forma'!I216/1000000</f>
        <v>3.6895291840929718</v>
      </c>
      <c r="J219" s="48">
        <f ca="1">+'Phase I Pro Forma'!J216/1000000</f>
        <v>3.6895291840929718</v>
      </c>
      <c r="K219" s="48">
        <f ca="1">+'Phase I Pro Forma'!K216/1000000</f>
        <v>3.6895291840929718</v>
      </c>
      <c r="L219" s="48">
        <f ca="1">+'Phase I Pro Forma'!L216/1000000</f>
        <v>3.6895291840929718</v>
      </c>
      <c r="M219" s="48">
        <f ca="1">+'Phase I Pro Forma'!M216/1000000</f>
        <v>3.6895291840929718</v>
      </c>
      <c r="N219" s="48">
        <f ca="1">+'Phase I Pro Forma'!N216/1000000</f>
        <v>3.6895291840929718</v>
      </c>
      <c r="O219" s="48">
        <f ca="1">+'Phase I Pro Forma'!O216/1000000</f>
        <v>3.6895291840929718</v>
      </c>
      <c r="P219" s="48">
        <f ca="1">+'Phase I Pro Forma'!P216/1000000</f>
        <v>3.6895291840929718</v>
      </c>
      <c r="Q219" s="48">
        <f ca="1">+'Phase I Pro Forma'!Q216/1000000</f>
        <v>3.6895291840929718</v>
      </c>
      <c r="R219" s="48">
        <f ca="1">+'Phase I Pro Forma'!R216/1000000</f>
        <v>3.6895291840929718</v>
      </c>
      <c r="S219" s="48">
        <f ca="1">+'Phase I Pro Forma'!S216/1000000</f>
        <v>3.6895291840929718</v>
      </c>
      <c r="T219" s="48">
        <f ca="1">+'Phase I Pro Forma'!T216/1000000</f>
        <v>3.6895291840929718</v>
      </c>
      <c r="U219" s="48">
        <f ca="1">+'Phase I Pro Forma'!U216/1000000</f>
        <v>3.6895291840929718</v>
      </c>
      <c r="V219" s="48">
        <f ca="1">+'Phase I Pro Forma'!V216/1000000</f>
        <v>3.6895291840929718</v>
      </c>
      <c r="W219" s="48">
        <f ca="1">+'Phase I Pro Forma'!W216/1000000</f>
        <v>3.6895291840929718</v>
      </c>
      <c r="X219" s="48">
        <f ca="1">+'Phase I Pro Forma'!X216/1000000</f>
        <v>3.6895291840929718</v>
      </c>
      <c r="Y219" s="48">
        <f ca="1">+'Phase I Pro Forma'!Y216/1000000</f>
        <v>3.6895291840929718</v>
      </c>
      <c r="Z219" s="48">
        <f ca="1">+'Phase I Pro Forma'!Z216/1000000</f>
        <v>3.6895291840929718</v>
      </c>
    </row>
    <row r="220" spans="2:26" x14ac:dyDescent="0.2">
      <c r="B220" s="136" t="s">
        <v>341</v>
      </c>
      <c r="C220" s="136"/>
      <c r="D220" s="136"/>
      <c r="E220" s="136"/>
      <c r="F220" s="773">
        <f t="shared" ref="F220:K220" si="67">+F219-F216</f>
        <v>0</v>
      </c>
      <c r="G220" s="773">
        <f t="shared" si="67"/>
        <v>0</v>
      </c>
      <c r="H220" s="773">
        <f t="shared" si="67"/>
        <v>0</v>
      </c>
      <c r="I220" s="773">
        <f t="shared" ca="1" si="67"/>
        <v>3.6895291840929718</v>
      </c>
      <c r="J220" s="773">
        <f t="shared" ca="1" si="67"/>
        <v>3.6895291840929718</v>
      </c>
      <c r="K220" s="773">
        <f t="shared" ca="1" si="67"/>
        <v>3.6895291840929718</v>
      </c>
      <c r="L220" s="773">
        <f ca="1">+L219-L216</f>
        <v>3.6895291840929718</v>
      </c>
      <c r="M220" s="773">
        <f t="shared" ref="M220:Z220" ca="1" si="68">+M219-M216</f>
        <v>3.6895291840929718</v>
      </c>
      <c r="N220" s="773">
        <f t="shared" ca="1" si="68"/>
        <v>3.6895291840929718</v>
      </c>
      <c r="O220" s="773">
        <f t="shared" ca="1" si="68"/>
        <v>3.6895291840929718</v>
      </c>
      <c r="P220" s="773">
        <f t="shared" ca="1" si="68"/>
        <v>3.6895291840929718</v>
      </c>
      <c r="Q220" s="773">
        <f t="shared" ca="1" si="68"/>
        <v>3.6895291840929718</v>
      </c>
      <c r="R220" s="773">
        <f t="shared" ca="1" si="68"/>
        <v>3.6895291840929718</v>
      </c>
      <c r="S220" s="773">
        <f t="shared" ca="1" si="68"/>
        <v>3.6895291840929718</v>
      </c>
      <c r="T220" s="773">
        <f t="shared" ca="1" si="68"/>
        <v>3.6895291840929718</v>
      </c>
      <c r="U220" s="773">
        <f t="shared" ca="1" si="68"/>
        <v>3.6895291840929718</v>
      </c>
      <c r="V220" s="773">
        <f t="shared" ca="1" si="68"/>
        <v>3.6895291840929718</v>
      </c>
      <c r="W220" s="773">
        <f t="shared" ca="1" si="68"/>
        <v>3.6895291840929718</v>
      </c>
      <c r="X220" s="773">
        <f t="shared" ca="1" si="68"/>
        <v>3.6895291840929718</v>
      </c>
      <c r="Y220" s="773">
        <f t="shared" ca="1" si="68"/>
        <v>3.6895291840929718</v>
      </c>
      <c r="Z220" s="773">
        <f t="shared" ca="1" si="68"/>
        <v>3.6895291840929718</v>
      </c>
    </row>
    <row r="221" spans="2:26" x14ac:dyDescent="0.2">
      <c r="B221" s="145" t="s">
        <v>181</v>
      </c>
      <c r="F221" s="178" t="str">
        <f t="shared" ref="F221:J221" ca="1" si="69">+IFERROR(F209/F220,"")</f>
        <v/>
      </c>
      <c r="G221" s="178" t="str">
        <f t="shared" ca="1" si="69"/>
        <v/>
      </c>
      <c r="H221" s="178" t="str">
        <f t="shared" ca="1" si="69"/>
        <v/>
      </c>
      <c r="I221" s="178">
        <f t="shared" ca="1" si="69"/>
        <v>0.59019768045315335</v>
      </c>
      <c r="J221" s="178">
        <f t="shared" ca="1" si="69"/>
        <v>1.3957630460516601</v>
      </c>
      <c r="K221" s="178">
        <f ca="1">+IFERROR(K209/K220,"")</f>
        <v>1.4915463830935984</v>
      </c>
      <c r="L221" s="178">
        <f t="shared" ref="L221:Z221" ca="1" si="70">+IFERROR(L209/L220,"")</f>
        <v>1.5321968529430259</v>
      </c>
      <c r="M221" s="178">
        <f t="shared" ca="1" si="70"/>
        <v>1.5628407900018855</v>
      </c>
      <c r="N221" s="178">
        <f t="shared" ca="1" si="70"/>
        <v>1.6051335388332288</v>
      </c>
      <c r="O221" s="178">
        <f t="shared" ca="1" si="70"/>
        <v>1.6482721426411979</v>
      </c>
      <c r="P221" s="178">
        <f t="shared" ca="1" si="70"/>
        <v>1.6812375854940229</v>
      </c>
      <c r="Q221" s="178">
        <f t="shared" ca="1" si="70"/>
        <v>1.7261189888958339</v>
      </c>
      <c r="R221" s="178">
        <f t="shared" ca="1" si="70"/>
        <v>1.771898020365682</v>
      </c>
      <c r="S221" s="178">
        <f t="shared" ca="1" si="70"/>
        <v>1.8073359807729956</v>
      </c>
      <c r="T221" s="178">
        <f t="shared" ca="1" si="70"/>
        <v>1.8549644851142264</v>
      </c>
      <c r="U221" s="178">
        <f t="shared" ca="1" si="70"/>
        <v>1.9035455595422801</v>
      </c>
      <c r="V221" s="178">
        <f t="shared" ca="1" si="70"/>
        <v>1.9416164707331276</v>
      </c>
      <c r="W221" s="178">
        <f t="shared" ca="1" si="70"/>
        <v>1.9921602205680742</v>
      </c>
      <c r="X221" s="178">
        <f t="shared" ca="1" si="70"/>
        <v>2.0437148453997223</v>
      </c>
      <c r="Y221" s="178">
        <f t="shared" ca="1" si="70"/>
        <v>2.0845891423077161</v>
      </c>
      <c r="Z221" s="178">
        <f t="shared" ca="1" si="70"/>
        <v>2.1382265739825623</v>
      </c>
    </row>
    <row r="222" spans="2:26" ht="5" customHeight="1" x14ac:dyDescent="0.2"/>
    <row r="223" spans="2:26" x14ac:dyDescent="0.2">
      <c r="B223" s="40" t="s">
        <v>156</v>
      </c>
      <c r="F223" s="48">
        <f>+'Phase I Pro Forma'!F220/1000000</f>
        <v>0</v>
      </c>
      <c r="G223" s="48">
        <f>+'Phase I Pro Forma'!G220/1000000</f>
        <v>0</v>
      </c>
      <c r="H223" s="48">
        <f>+'Phase I Pro Forma'!H220/1000000</f>
        <v>0</v>
      </c>
      <c r="I223" s="48">
        <f ca="1">+'Phase I Pro Forma'!I220/1000000</f>
        <v>0.61492153068216204</v>
      </c>
      <c r="J223" s="48">
        <f>+'Phase I Pro Forma'!J220/1000000</f>
        <v>0</v>
      </c>
      <c r="K223" s="48">
        <f>+'Phase I Pro Forma'!K220/1000000</f>
        <v>0</v>
      </c>
      <c r="L223" s="48">
        <f>+'Phase I Pro Forma'!L220/1000000</f>
        <v>0</v>
      </c>
      <c r="M223" s="48">
        <f>+'Phase I Pro Forma'!M220/1000000</f>
        <v>0</v>
      </c>
      <c r="N223" s="48">
        <f>+'Phase I Pro Forma'!N220/1000000</f>
        <v>0</v>
      </c>
      <c r="O223" s="48">
        <f>+'Phase I Pro Forma'!O220/1000000</f>
        <v>0</v>
      </c>
      <c r="P223" s="48">
        <f>+'Phase I Pro Forma'!P220/1000000</f>
        <v>0</v>
      </c>
      <c r="Q223" s="48">
        <f>+'Phase I Pro Forma'!Q220/1000000</f>
        <v>0</v>
      </c>
      <c r="R223" s="48">
        <f>+'Phase I Pro Forma'!R220/1000000</f>
        <v>0</v>
      </c>
      <c r="S223" s="48">
        <f>+'Phase I Pro Forma'!S220/1000000</f>
        <v>0</v>
      </c>
      <c r="T223" s="48">
        <f>+'Phase I Pro Forma'!T220/1000000</f>
        <v>0</v>
      </c>
      <c r="U223" s="48">
        <f>+'Phase I Pro Forma'!U220/1000000</f>
        <v>0</v>
      </c>
      <c r="V223" s="48">
        <f>+'Phase I Pro Forma'!V220/1000000</f>
        <v>0</v>
      </c>
      <c r="W223" s="48">
        <f>+'Phase I Pro Forma'!W220/1000000</f>
        <v>0</v>
      </c>
      <c r="X223" s="48">
        <f>+'Phase I Pro Forma'!X220/1000000</f>
        <v>0</v>
      </c>
      <c r="Y223" s="48">
        <f>+'Phase I Pro Forma'!Y220/1000000</f>
        <v>0</v>
      </c>
      <c r="Z223" s="48">
        <f>+'Phase I Pro Forma'!Z220/1000000</f>
        <v>0</v>
      </c>
    </row>
    <row r="224" spans="2:26" ht="5" customHeight="1" x14ac:dyDescent="0.2"/>
    <row r="225" spans="2:26" x14ac:dyDescent="0.2">
      <c r="B225" s="136" t="s">
        <v>334</v>
      </c>
      <c r="C225" s="136"/>
      <c r="D225" s="136"/>
      <c r="E225" s="136"/>
      <c r="F225" s="773">
        <f ca="1">+F209-F220-F223</f>
        <v>0</v>
      </c>
      <c r="G225" s="773">
        <f t="shared" ref="G225:Z225" ca="1" si="71">+G209-G220-G223</f>
        <v>0</v>
      </c>
      <c r="H225" s="773">
        <f t="shared" ca="1" si="71"/>
        <v>0</v>
      </c>
      <c r="I225" s="773">
        <f t="shared" ca="1" si="71"/>
        <v>-2.1268991483592465</v>
      </c>
      <c r="J225" s="773">
        <f t="shared" ca="1" si="71"/>
        <v>1.4601793083931311</v>
      </c>
      <c r="K225" s="773">
        <f t="shared" ca="1" si="71"/>
        <v>1.8135747257591759</v>
      </c>
      <c r="L225" s="773">
        <f t="shared" ca="1" si="71"/>
        <v>1.96355582061573</v>
      </c>
      <c r="M225" s="773">
        <f t="shared" ca="1" si="71"/>
        <v>2.0766175207099002</v>
      </c>
      <c r="N225" s="773">
        <f t="shared" ca="1" si="71"/>
        <v>2.2326578517986557</v>
      </c>
      <c r="O225" s="773">
        <f t="shared" ca="1" si="71"/>
        <v>2.3918189895091815</v>
      </c>
      <c r="P225" s="773">
        <f t="shared" ca="1" si="71"/>
        <v>2.5134459529812285</v>
      </c>
      <c r="Q225" s="773">
        <f t="shared" ca="1" si="71"/>
        <v>2.6790372006552601</v>
      </c>
      <c r="R225" s="773">
        <f t="shared" ca="1" si="71"/>
        <v>2.847940273282775</v>
      </c>
      <c r="S225" s="773">
        <f t="shared" ca="1" si="71"/>
        <v>2.9786896624302899</v>
      </c>
      <c r="T225" s="773">
        <f t="shared" ca="1" si="71"/>
        <v>3.1544164191919593</v>
      </c>
      <c r="U225" s="773">
        <f t="shared" ca="1" si="71"/>
        <v>3.3336577110888563</v>
      </c>
      <c r="V225" s="773">
        <f t="shared" ca="1" si="71"/>
        <v>3.4741214489924999</v>
      </c>
      <c r="W225" s="773">
        <f t="shared" ca="1" si="71"/>
        <v>3.6606040890820295</v>
      </c>
      <c r="X225" s="773">
        <f t="shared" ca="1" si="71"/>
        <v>3.8508163819733601</v>
      </c>
      <c r="Y225" s="773">
        <f t="shared" ca="1" si="71"/>
        <v>4.0016232932946831</v>
      </c>
      <c r="Z225" s="773">
        <f t="shared" ca="1" si="71"/>
        <v>4.199520162818823</v>
      </c>
    </row>
    <row r="226" spans="2:26" ht="5" customHeight="1" x14ac:dyDescent="0.2"/>
    <row r="227" spans="2:26" x14ac:dyDescent="0.2">
      <c r="B227" s="147" t="s">
        <v>335</v>
      </c>
    </row>
    <row r="228" spans="2:26" x14ac:dyDescent="0.2">
      <c r="B228" s="32" t="s">
        <v>336</v>
      </c>
      <c r="F228" s="48">
        <f>+'Phase I Pro Forma'!F225/1000000</f>
        <v>0</v>
      </c>
      <c r="G228" s="48">
        <f>+'Phase I Pro Forma'!G225/1000000</f>
        <v>0</v>
      </c>
      <c r="H228" s="48">
        <f>+'Phase I Pro Forma'!H225/1000000</f>
        <v>0</v>
      </c>
      <c r="I228" s="48">
        <f>+'Phase I Pro Forma'!I225/1000000</f>
        <v>0</v>
      </c>
      <c r="J228" s="48">
        <f>+'Phase I Pro Forma'!J225/1000000</f>
        <v>0</v>
      </c>
      <c r="K228" s="48">
        <f>+'Phase I Pro Forma'!K225/1000000</f>
        <v>0</v>
      </c>
      <c r="L228" s="48">
        <f>+'Phase I Pro Forma'!L225/1000000</f>
        <v>0</v>
      </c>
      <c r="M228" s="48">
        <f>+'Phase I Pro Forma'!M225/1000000</f>
        <v>0</v>
      </c>
      <c r="N228" s="48">
        <f>+'Phase I Pro Forma'!N225/1000000</f>
        <v>0</v>
      </c>
      <c r="O228" s="48">
        <f>+'Phase I Pro Forma'!O225/1000000</f>
        <v>0</v>
      </c>
      <c r="P228" s="48">
        <f ca="1">+'Phase I Pro Forma'!P225/1000000</f>
        <v>86.454179089961613</v>
      </c>
      <c r="Q228" s="48">
        <f>+'Phase I Pro Forma'!Q225/1000000</f>
        <v>0</v>
      </c>
      <c r="R228" s="48">
        <f>+'Phase I Pro Forma'!R225/1000000</f>
        <v>0</v>
      </c>
      <c r="S228" s="48">
        <f>+'Phase I Pro Forma'!S225/1000000</f>
        <v>0</v>
      </c>
      <c r="T228" s="48">
        <f>+'Phase I Pro Forma'!T225/1000000</f>
        <v>0</v>
      </c>
      <c r="U228" s="48">
        <f>+'Phase I Pro Forma'!U225/1000000</f>
        <v>0</v>
      </c>
      <c r="V228" s="48">
        <f>+'Phase I Pro Forma'!V225/1000000</f>
        <v>0</v>
      </c>
      <c r="W228" s="48">
        <f>+'Phase I Pro Forma'!W225/1000000</f>
        <v>0</v>
      </c>
      <c r="X228" s="48">
        <f>+'Phase I Pro Forma'!X225/1000000</f>
        <v>0</v>
      </c>
      <c r="Y228" s="48">
        <f>+'Phase I Pro Forma'!Y225/1000000</f>
        <v>0</v>
      </c>
      <c r="Z228" s="48">
        <f>+'Phase I Pro Forma'!Z225/1000000</f>
        <v>0</v>
      </c>
    </row>
    <row r="229" spans="2:26" x14ac:dyDescent="0.2">
      <c r="B229" s="32" t="s">
        <v>337</v>
      </c>
      <c r="F229" s="772">
        <f>+'Phase I Pro Forma'!F226/1000000</f>
        <v>0</v>
      </c>
      <c r="G229" s="772">
        <f>+'Phase I Pro Forma'!G226/1000000</f>
        <v>0</v>
      </c>
      <c r="H229" s="772">
        <f>+'Phase I Pro Forma'!H226/1000000</f>
        <v>0</v>
      </c>
      <c r="I229" s="772">
        <f>+'Phase I Pro Forma'!I226/1000000</f>
        <v>0</v>
      </c>
      <c r="J229" s="772">
        <f>+'Phase I Pro Forma'!J226/1000000</f>
        <v>0</v>
      </c>
      <c r="K229" s="772">
        <f>+'Phase I Pro Forma'!K226/1000000</f>
        <v>0</v>
      </c>
      <c r="L229" s="772">
        <f>+'Phase I Pro Forma'!L226/1000000</f>
        <v>0</v>
      </c>
      <c r="M229" s="772">
        <f>+'Phase I Pro Forma'!M226/1000000</f>
        <v>0</v>
      </c>
      <c r="N229" s="772">
        <f>+'Phase I Pro Forma'!N226/1000000</f>
        <v>0</v>
      </c>
      <c r="O229" s="772">
        <f>+'Phase I Pro Forma'!O226/1000000</f>
        <v>0</v>
      </c>
      <c r="P229" s="772">
        <f ca="1">+'Phase I Pro Forma'!P226/1000000</f>
        <v>-1.7290835817992325</v>
      </c>
      <c r="Q229" s="772">
        <f>+'Phase I Pro Forma'!Q226/1000000</f>
        <v>0</v>
      </c>
      <c r="R229" s="772">
        <f>+'Phase I Pro Forma'!R226/1000000</f>
        <v>0</v>
      </c>
      <c r="S229" s="772">
        <f>+'Phase I Pro Forma'!S226/1000000</f>
        <v>0</v>
      </c>
      <c r="T229" s="772">
        <f>+'Phase I Pro Forma'!T226/1000000</f>
        <v>0</v>
      </c>
      <c r="U229" s="772">
        <f>+'Phase I Pro Forma'!U226/1000000</f>
        <v>0</v>
      </c>
      <c r="V229" s="772">
        <f>+'Phase I Pro Forma'!V226/1000000</f>
        <v>0</v>
      </c>
      <c r="W229" s="772">
        <f>+'Phase I Pro Forma'!W226/1000000</f>
        <v>0</v>
      </c>
      <c r="X229" s="772">
        <f>+'Phase I Pro Forma'!X226/1000000</f>
        <v>0</v>
      </c>
      <c r="Y229" s="772">
        <f>+'Phase I Pro Forma'!Y226/1000000</f>
        <v>0</v>
      </c>
      <c r="Z229" s="772">
        <f>+'Phase I Pro Forma'!Z226/1000000</f>
        <v>0</v>
      </c>
    </row>
    <row r="230" spans="2:26" x14ac:dyDescent="0.2">
      <c r="B230" s="32" t="s">
        <v>338</v>
      </c>
      <c r="F230" s="772">
        <f>+'Phase I Pro Forma'!F227/1000000</f>
        <v>0</v>
      </c>
      <c r="G230" s="772">
        <f>+'Phase I Pro Forma'!G227/1000000</f>
        <v>0</v>
      </c>
      <c r="H230" s="772">
        <f>+'Phase I Pro Forma'!H227/1000000</f>
        <v>0</v>
      </c>
      <c r="I230" s="772">
        <f>+'Phase I Pro Forma'!I227/1000000</f>
        <v>0</v>
      </c>
      <c r="J230" s="772">
        <f>+'Phase I Pro Forma'!J227/1000000</f>
        <v>0</v>
      </c>
      <c r="K230" s="772">
        <f>+'Phase I Pro Forma'!K227/1000000</f>
        <v>0</v>
      </c>
      <c r="L230" s="772">
        <f>+'Phase I Pro Forma'!L227/1000000</f>
        <v>0</v>
      </c>
      <c r="M230" s="772">
        <f>+'Phase I Pro Forma'!M227/1000000</f>
        <v>0</v>
      </c>
      <c r="N230" s="772">
        <f>+'Phase I Pro Forma'!N227/1000000</f>
        <v>0</v>
      </c>
      <c r="O230" s="772">
        <f>+'Phase I Pro Forma'!O227/1000000</f>
        <v>0</v>
      </c>
      <c r="P230" s="772">
        <f ca="1">+'Phase I Pro Forma'!P227/1000000</f>
        <v>-61.492153068216204</v>
      </c>
      <c r="Q230" s="772">
        <f>+'Phase I Pro Forma'!Q227/1000000</f>
        <v>0</v>
      </c>
      <c r="R230" s="772">
        <f>+'Phase I Pro Forma'!R227/1000000</f>
        <v>0</v>
      </c>
      <c r="S230" s="772">
        <f>+'Phase I Pro Forma'!S227/1000000</f>
        <v>0</v>
      </c>
      <c r="T230" s="772">
        <f>+'Phase I Pro Forma'!T227/1000000</f>
        <v>0</v>
      </c>
      <c r="U230" s="772">
        <f>+'Phase I Pro Forma'!U227/1000000</f>
        <v>0</v>
      </c>
      <c r="V230" s="772">
        <f>+'Phase I Pro Forma'!V227/1000000</f>
        <v>0</v>
      </c>
      <c r="W230" s="772">
        <f>+'Phase I Pro Forma'!W227/1000000</f>
        <v>0</v>
      </c>
      <c r="X230" s="772">
        <f>+'Phase I Pro Forma'!X227/1000000</f>
        <v>0</v>
      </c>
      <c r="Y230" s="772">
        <f>+'Phase I Pro Forma'!Y227/1000000</f>
        <v>0</v>
      </c>
      <c r="Z230" s="772">
        <f>+'Phase I Pro Forma'!Z227/1000000</f>
        <v>0</v>
      </c>
    </row>
    <row r="231" spans="2:26" x14ac:dyDescent="0.2">
      <c r="B231" s="136" t="s">
        <v>339</v>
      </c>
      <c r="C231" s="136"/>
      <c r="D231" s="136"/>
      <c r="E231" s="136"/>
      <c r="F231" s="773">
        <f t="shared" ref="F231:Z231" si="72">+SUM(F228:F230)</f>
        <v>0</v>
      </c>
      <c r="G231" s="773">
        <f t="shared" si="72"/>
        <v>0</v>
      </c>
      <c r="H231" s="773">
        <f t="shared" si="72"/>
        <v>0</v>
      </c>
      <c r="I231" s="773">
        <f t="shared" si="72"/>
        <v>0</v>
      </c>
      <c r="J231" s="773">
        <f t="shared" si="72"/>
        <v>0</v>
      </c>
      <c r="K231" s="773">
        <f t="shared" si="72"/>
        <v>0</v>
      </c>
      <c r="L231" s="773">
        <f t="shared" si="72"/>
        <v>0</v>
      </c>
      <c r="M231" s="773">
        <f t="shared" si="72"/>
        <v>0</v>
      </c>
      <c r="N231" s="773">
        <f t="shared" si="72"/>
        <v>0</v>
      </c>
      <c r="O231" s="773">
        <f t="shared" si="72"/>
        <v>0</v>
      </c>
      <c r="P231" s="773">
        <f t="shared" ca="1" si="72"/>
        <v>23.232942439946179</v>
      </c>
      <c r="Q231" s="773">
        <f t="shared" si="72"/>
        <v>0</v>
      </c>
      <c r="R231" s="773">
        <f t="shared" si="72"/>
        <v>0</v>
      </c>
      <c r="S231" s="773">
        <f t="shared" si="72"/>
        <v>0</v>
      </c>
      <c r="T231" s="773">
        <f t="shared" si="72"/>
        <v>0</v>
      </c>
      <c r="U231" s="773">
        <f t="shared" si="72"/>
        <v>0</v>
      </c>
      <c r="V231" s="773">
        <f t="shared" si="72"/>
        <v>0</v>
      </c>
      <c r="W231" s="773">
        <f t="shared" si="72"/>
        <v>0</v>
      </c>
      <c r="X231" s="773">
        <f t="shared" si="72"/>
        <v>0</v>
      </c>
      <c r="Y231" s="773">
        <f t="shared" si="72"/>
        <v>0</v>
      </c>
      <c r="Z231" s="773">
        <f t="shared" si="72"/>
        <v>0</v>
      </c>
    </row>
    <row r="233" spans="2:26" x14ac:dyDescent="0.2">
      <c r="B233" s="137" t="s">
        <v>791</v>
      </c>
      <c r="C233" s="137"/>
      <c r="D233" s="137"/>
      <c r="E233" s="137"/>
      <c r="F233" s="774">
        <f ca="1">+'Phase I Pro Forma'!F230/1000000</f>
        <v>0</v>
      </c>
      <c r="G233" s="774">
        <f ca="1">+'Phase I Pro Forma'!G230/1000000</f>
        <v>0</v>
      </c>
      <c r="H233" s="774">
        <f ca="1">+'Phase I Pro Forma'!H230/1000000</f>
        <v>0</v>
      </c>
      <c r="I233" s="774">
        <f ca="1">+'Phase I Pro Forma'!I230/1000000</f>
        <v>-2.1268991483592492</v>
      </c>
      <c r="J233" s="774">
        <f ca="1">+'Phase I Pro Forma'!J230/1000000</f>
        <v>1.460179308393138</v>
      </c>
      <c r="K233" s="774">
        <f ca="1">+'Phase I Pro Forma'!K230/1000000</f>
        <v>1.8135747257591741</v>
      </c>
      <c r="L233" s="774">
        <f ca="1">+'Phase I Pro Forma'!L230/1000000</f>
        <v>1.9635558206157233</v>
      </c>
      <c r="M233" s="774">
        <f ca="1">+'Phase I Pro Forma'!M230/1000000</f>
        <v>2.0766175207099007</v>
      </c>
      <c r="N233" s="774">
        <f ca="1">+'Phase I Pro Forma'!N230/1000000</f>
        <v>2.2326578517986548</v>
      </c>
      <c r="O233" s="774">
        <f ca="1">+'Phase I Pro Forma'!O230/1000000</f>
        <v>2.3918189895091846</v>
      </c>
      <c r="P233" s="774">
        <f ca="1">+'Phase I Pro Forma'!P230/1000000</f>
        <v>25.7463883929274</v>
      </c>
      <c r="Q233" s="774">
        <f>+'Phase I Pro Forma'!Q230/1000000</f>
        <v>0</v>
      </c>
      <c r="R233" s="774">
        <f>+'Phase I Pro Forma'!R230/1000000</f>
        <v>0</v>
      </c>
      <c r="S233" s="774">
        <f>+'Phase I Pro Forma'!S230/1000000</f>
        <v>0</v>
      </c>
      <c r="T233" s="774">
        <f>+'Phase I Pro Forma'!T230/1000000</f>
        <v>0</v>
      </c>
      <c r="U233" s="774">
        <f>+'Phase I Pro Forma'!U230/1000000</f>
        <v>0</v>
      </c>
      <c r="V233" s="774">
        <f>+'Phase I Pro Forma'!V230/1000000</f>
        <v>0</v>
      </c>
      <c r="W233" s="774">
        <f>+'Phase I Pro Forma'!W230/1000000</f>
        <v>0</v>
      </c>
      <c r="X233" s="774">
        <f>+'Phase I Pro Forma'!X230/1000000</f>
        <v>0</v>
      </c>
      <c r="Y233" s="774">
        <f>+'Phase I Pro Forma'!Y230/1000000</f>
        <v>0</v>
      </c>
      <c r="Z233" s="774">
        <f>+'Phase I Pro Forma'!Z230/1000000</f>
        <v>0</v>
      </c>
    </row>
    <row r="234" spans="2:26" outlineLevel="1" x14ac:dyDescent="0.2"/>
    <row r="235" spans="2:26" hidden="1" outlineLevel="1" x14ac:dyDescent="0.2">
      <c r="B235" s="36" t="s">
        <v>769</v>
      </c>
      <c r="C235" s="37"/>
      <c r="D235" s="37"/>
      <c r="E235" s="37"/>
      <c r="F235" s="135">
        <f>+F165</f>
        <v>44196</v>
      </c>
      <c r="G235" s="135">
        <f t="shared" ref="G235:Z235" si="73">+G165</f>
        <v>44561</v>
      </c>
      <c r="H235" s="135">
        <f t="shared" si="73"/>
        <v>44926</v>
      </c>
      <c r="I235" s="135">
        <f t="shared" si="73"/>
        <v>45291</v>
      </c>
      <c r="J235" s="135">
        <f t="shared" si="73"/>
        <v>45657</v>
      </c>
      <c r="K235" s="135">
        <f t="shared" si="73"/>
        <v>46022</v>
      </c>
      <c r="L235" s="135">
        <f t="shared" si="73"/>
        <v>46387</v>
      </c>
      <c r="M235" s="135">
        <f t="shared" si="73"/>
        <v>46752</v>
      </c>
      <c r="N235" s="135">
        <f t="shared" si="73"/>
        <v>47118</v>
      </c>
      <c r="O235" s="135">
        <f t="shared" si="73"/>
        <v>47483</v>
      </c>
      <c r="P235" s="135">
        <f t="shared" si="73"/>
        <v>47848</v>
      </c>
      <c r="Q235" s="135">
        <f t="shared" si="73"/>
        <v>48213</v>
      </c>
      <c r="R235" s="135">
        <f t="shared" si="73"/>
        <v>48579</v>
      </c>
      <c r="S235" s="135">
        <f t="shared" si="73"/>
        <v>48944</v>
      </c>
      <c r="T235" s="135">
        <f t="shared" si="73"/>
        <v>49309</v>
      </c>
      <c r="U235" s="135">
        <f t="shared" si="73"/>
        <v>49674</v>
      </c>
      <c r="V235" s="135">
        <f t="shared" si="73"/>
        <v>50040</v>
      </c>
      <c r="W235" s="135">
        <f t="shared" si="73"/>
        <v>50405</v>
      </c>
      <c r="X235" s="135">
        <f t="shared" si="73"/>
        <v>50770</v>
      </c>
      <c r="Y235" s="135">
        <f t="shared" si="73"/>
        <v>51135</v>
      </c>
      <c r="Z235" s="135">
        <f t="shared" si="73"/>
        <v>51501</v>
      </c>
    </row>
    <row r="236" spans="2:26" hidden="1" outlineLevel="1" x14ac:dyDescent="0.2">
      <c r="B236" s="793"/>
      <c r="C236" s="793"/>
      <c r="D236" s="793"/>
      <c r="E236" s="793"/>
      <c r="F236" s="793"/>
      <c r="G236" s="793"/>
      <c r="H236" s="793"/>
      <c r="I236" s="793"/>
      <c r="J236" s="793"/>
      <c r="K236" s="793"/>
      <c r="L236" s="793"/>
      <c r="M236" s="793"/>
      <c r="N236" s="793"/>
      <c r="O236" s="793"/>
      <c r="P236" s="793"/>
      <c r="Q236" s="793"/>
      <c r="R236" s="793"/>
      <c r="S236" s="793"/>
      <c r="T236" s="793"/>
      <c r="U236" s="793"/>
      <c r="V236" s="793"/>
      <c r="W236" s="793"/>
      <c r="X236" s="793"/>
      <c r="Y236" s="793"/>
      <c r="Z236" s="793"/>
    </row>
    <row r="237" spans="2:26" hidden="1" outlineLevel="1" x14ac:dyDescent="0.2">
      <c r="B237" s="147" t="s">
        <v>235</v>
      </c>
      <c r="C237" s="148"/>
      <c r="D237" s="148"/>
      <c r="E237" s="148"/>
      <c r="F237" s="776">
        <f>+F235</f>
        <v>44196</v>
      </c>
      <c r="G237" s="776">
        <f t="shared" ref="G237:Z237" si="74">+G235</f>
        <v>44561</v>
      </c>
      <c r="H237" s="776">
        <f t="shared" si="74"/>
        <v>44926</v>
      </c>
      <c r="I237" s="776">
        <f t="shared" si="74"/>
        <v>45291</v>
      </c>
      <c r="J237" s="776">
        <f t="shared" si="74"/>
        <v>45657</v>
      </c>
      <c r="K237" s="776">
        <f t="shared" si="74"/>
        <v>46022</v>
      </c>
      <c r="L237" s="776">
        <f t="shared" si="74"/>
        <v>46387</v>
      </c>
      <c r="M237" s="776">
        <f t="shared" si="74"/>
        <v>46752</v>
      </c>
      <c r="N237" s="776">
        <f t="shared" si="74"/>
        <v>47118</v>
      </c>
      <c r="O237" s="776">
        <f t="shared" si="74"/>
        <v>47483</v>
      </c>
      <c r="P237" s="776">
        <f t="shared" si="74"/>
        <v>47848</v>
      </c>
      <c r="Q237" s="776">
        <f t="shared" si="74"/>
        <v>48213</v>
      </c>
      <c r="R237" s="776">
        <f t="shared" si="74"/>
        <v>48579</v>
      </c>
      <c r="S237" s="776">
        <f t="shared" si="74"/>
        <v>48944</v>
      </c>
      <c r="T237" s="776">
        <f t="shared" si="74"/>
        <v>49309</v>
      </c>
      <c r="U237" s="776">
        <f t="shared" si="74"/>
        <v>49674</v>
      </c>
      <c r="V237" s="776">
        <f t="shared" si="74"/>
        <v>50040</v>
      </c>
      <c r="W237" s="776">
        <f t="shared" si="74"/>
        <v>50405</v>
      </c>
      <c r="X237" s="776">
        <f t="shared" si="74"/>
        <v>50770</v>
      </c>
      <c r="Y237" s="776">
        <f t="shared" si="74"/>
        <v>51135</v>
      </c>
      <c r="Z237" s="776">
        <f t="shared" si="74"/>
        <v>51501</v>
      </c>
    </row>
    <row r="238" spans="2:26" hidden="1" outlineLevel="1" x14ac:dyDescent="0.2">
      <c r="B238" s="788" t="s">
        <v>756</v>
      </c>
      <c r="C238" s="788"/>
      <c r="D238" s="791"/>
      <c r="E238" s="791"/>
      <c r="F238" s="789">
        <f>+'Phase I Pro Forma'!F235</f>
        <v>0</v>
      </c>
      <c r="G238" s="789">
        <f>+'Phase I Pro Forma'!G235</f>
        <v>0</v>
      </c>
      <c r="H238" s="789">
        <f>+'Phase I Pro Forma'!H235</f>
        <v>0</v>
      </c>
      <c r="I238" s="789">
        <f>+'Phase I Pro Forma'!I235</f>
        <v>4.9999999999999998E-7</v>
      </c>
      <c r="J238" s="789">
        <f>+'Phase I Pro Forma'!J235</f>
        <v>4.9999999999999998E-7</v>
      </c>
      <c r="K238" s="789">
        <f>+'Phase I Pro Forma'!K235</f>
        <v>0</v>
      </c>
      <c r="L238" s="789">
        <f>+'Phase I Pro Forma'!L235</f>
        <v>0</v>
      </c>
      <c r="M238" s="789">
        <f>+'Phase I Pro Forma'!M235</f>
        <v>0</v>
      </c>
      <c r="N238" s="789">
        <f>+'Phase I Pro Forma'!N235</f>
        <v>0</v>
      </c>
      <c r="O238" s="789">
        <f>+'Phase I Pro Forma'!O235</f>
        <v>0</v>
      </c>
      <c r="P238" s="789">
        <f>+'Phase I Pro Forma'!P235</f>
        <v>0</v>
      </c>
      <c r="Q238" s="789">
        <f>+'Phase I Pro Forma'!Q235</f>
        <v>0</v>
      </c>
      <c r="R238" s="789">
        <f>+'Phase I Pro Forma'!R235</f>
        <v>0</v>
      </c>
      <c r="S238" s="789">
        <f>+'Phase I Pro Forma'!S235</f>
        <v>0</v>
      </c>
      <c r="T238" s="789">
        <f>+'Phase I Pro Forma'!T235</f>
        <v>0</v>
      </c>
      <c r="U238" s="789">
        <f>+'Phase I Pro Forma'!U235</f>
        <v>0</v>
      </c>
      <c r="V238" s="789">
        <f>+'Phase I Pro Forma'!V235</f>
        <v>0</v>
      </c>
      <c r="W238" s="789">
        <f>+'Phase I Pro Forma'!W235</f>
        <v>0</v>
      </c>
      <c r="X238" s="789">
        <f>+'Phase I Pro Forma'!X235</f>
        <v>0</v>
      </c>
      <c r="Y238" s="789">
        <f>+'Phase I Pro Forma'!Y235</f>
        <v>0</v>
      </c>
      <c r="Z238" s="789">
        <f>+'Phase I Pro Forma'!Z235</f>
        <v>0</v>
      </c>
    </row>
    <row r="239" spans="2:26" hidden="1" outlineLevel="1" x14ac:dyDescent="0.2">
      <c r="B239" s="32" t="s">
        <v>784</v>
      </c>
      <c r="C239" s="32"/>
      <c r="D239" s="41">
        <v>0</v>
      </c>
      <c r="E239" s="41"/>
      <c r="F239" s="41">
        <f>+D239+F238</f>
        <v>0</v>
      </c>
      <c r="G239" s="41">
        <f t="shared" ref="G239:Z239" si="75">+F239+G238</f>
        <v>0</v>
      </c>
      <c r="H239" s="41">
        <f t="shared" si="75"/>
        <v>0</v>
      </c>
      <c r="I239" s="41">
        <f t="shared" si="75"/>
        <v>4.9999999999999998E-7</v>
      </c>
      <c r="J239" s="41">
        <f t="shared" si="75"/>
        <v>9.9999999999999995E-7</v>
      </c>
      <c r="K239" s="41">
        <f t="shared" si="75"/>
        <v>9.9999999999999995E-7</v>
      </c>
      <c r="L239" s="41">
        <f t="shared" si="75"/>
        <v>9.9999999999999995E-7</v>
      </c>
      <c r="M239" s="41">
        <f t="shared" si="75"/>
        <v>9.9999999999999995E-7</v>
      </c>
      <c r="N239" s="41">
        <f t="shared" si="75"/>
        <v>9.9999999999999995E-7</v>
      </c>
      <c r="O239" s="41">
        <f t="shared" si="75"/>
        <v>9.9999999999999995E-7</v>
      </c>
      <c r="P239" s="41">
        <f t="shared" si="75"/>
        <v>9.9999999999999995E-7</v>
      </c>
      <c r="Q239" s="41">
        <f t="shared" si="75"/>
        <v>9.9999999999999995E-7</v>
      </c>
      <c r="R239" s="41">
        <f t="shared" si="75"/>
        <v>9.9999999999999995E-7</v>
      </c>
      <c r="S239" s="41">
        <f t="shared" si="75"/>
        <v>9.9999999999999995E-7</v>
      </c>
      <c r="T239" s="41">
        <f t="shared" si="75"/>
        <v>9.9999999999999995E-7</v>
      </c>
      <c r="U239" s="41">
        <f t="shared" si="75"/>
        <v>9.9999999999999995E-7</v>
      </c>
      <c r="V239" s="41">
        <f t="shared" si="75"/>
        <v>9.9999999999999995E-7</v>
      </c>
      <c r="W239" s="41">
        <f t="shared" si="75"/>
        <v>9.9999999999999995E-7</v>
      </c>
      <c r="X239" s="41">
        <f t="shared" si="75"/>
        <v>9.9999999999999995E-7</v>
      </c>
      <c r="Y239" s="41">
        <f t="shared" si="75"/>
        <v>9.9999999999999995E-7</v>
      </c>
      <c r="Z239" s="41">
        <f t="shared" si="75"/>
        <v>9.9999999999999995E-7</v>
      </c>
    </row>
    <row r="240" spans="2:26" hidden="1" outlineLevel="1" x14ac:dyDescent="0.2">
      <c r="B240" s="788" t="s">
        <v>301</v>
      </c>
      <c r="C240" s="788"/>
      <c r="D240" s="789"/>
      <c r="E240" s="789"/>
      <c r="F240" s="790">
        <f t="shared" ref="F240:Z240" si="76">+F239/SUM($F238:$Z238)</f>
        <v>0</v>
      </c>
      <c r="G240" s="790">
        <f t="shared" si="76"/>
        <v>0</v>
      </c>
      <c r="H240" s="790">
        <f t="shared" si="76"/>
        <v>0</v>
      </c>
      <c r="I240" s="790">
        <f t="shared" si="76"/>
        <v>0.5</v>
      </c>
      <c r="J240" s="790">
        <f t="shared" si="76"/>
        <v>1</v>
      </c>
      <c r="K240" s="790">
        <f t="shared" si="76"/>
        <v>1</v>
      </c>
      <c r="L240" s="790">
        <f t="shared" si="76"/>
        <v>1</v>
      </c>
      <c r="M240" s="790">
        <f t="shared" si="76"/>
        <v>1</v>
      </c>
      <c r="N240" s="790">
        <f t="shared" si="76"/>
        <v>1</v>
      </c>
      <c r="O240" s="790">
        <f t="shared" si="76"/>
        <v>1</v>
      </c>
      <c r="P240" s="790">
        <f t="shared" si="76"/>
        <v>1</v>
      </c>
      <c r="Q240" s="790">
        <f t="shared" si="76"/>
        <v>1</v>
      </c>
      <c r="R240" s="790">
        <f t="shared" si="76"/>
        <v>1</v>
      </c>
      <c r="S240" s="790">
        <f t="shared" si="76"/>
        <v>1</v>
      </c>
      <c r="T240" s="790">
        <f t="shared" si="76"/>
        <v>1</v>
      </c>
      <c r="U240" s="790">
        <f t="shared" si="76"/>
        <v>1</v>
      </c>
      <c r="V240" s="790">
        <f t="shared" si="76"/>
        <v>1</v>
      </c>
      <c r="W240" s="790">
        <f t="shared" si="76"/>
        <v>1</v>
      </c>
      <c r="X240" s="790">
        <f t="shared" si="76"/>
        <v>1</v>
      </c>
      <c r="Y240" s="790">
        <f t="shared" si="76"/>
        <v>1</v>
      </c>
      <c r="Z240" s="790">
        <f t="shared" si="76"/>
        <v>1</v>
      </c>
    </row>
    <row r="241" spans="2:26" hidden="1" outlineLevel="1" x14ac:dyDescent="0.2">
      <c r="B241" s="788"/>
      <c r="C241" s="788"/>
      <c r="D241" s="791"/>
      <c r="E241" s="791"/>
      <c r="F241" s="792"/>
      <c r="G241" s="792"/>
      <c r="H241" s="792"/>
      <c r="I241" s="792"/>
      <c r="J241" s="792"/>
      <c r="K241" s="792"/>
      <c r="L241" s="792"/>
      <c r="M241" s="792"/>
      <c r="N241" s="792"/>
      <c r="O241" s="792"/>
      <c r="P241" s="792"/>
      <c r="Q241" s="792"/>
      <c r="R241" s="792"/>
      <c r="S241" s="792"/>
      <c r="T241" s="792"/>
      <c r="U241" s="792"/>
      <c r="V241" s="792"/>
      <c r="W241" s="792"/>
      <c r="X241" s="792"/>
      <c r="Y241" s="792"/>
      <c r="Z241" s="792"/>
    </row>
    <row r="242" spans="2:26" hidden="1" outlineLevel="1" x14ac:dyDescent="0.2">
      <c r="B242" s="788" t="s">
        <v>251</v>
      </c>
      <c r="C242" s="788"/>
      <c r="D242" s="789"/>
      <c r="E242" s="789"/>
      <c r="F242" s="790">
        <f>+'Phase I Pro Forma'!F239</f>
        <v>1</v>
      </c>
      <c r="G242" s="790">
        <f>+'Phase I Pro Forma'!G239</f>
        <v>1</v>
      </c>
      <c r="H242" s="790">
        <f>+'Phase I Pro Forma'!H239</f>
        <v>1</v>
      </c>
      <c r="I242" s="790">
        <f>+'Phase I Pro Forma'!I239</f>
        <v>1</v>
      </c>
      <c r="J242" s="790">
        <f>+'Phase I Pro Forma'!J239</f>
        <v>1</v>
      </c>
      <c r="K242" s="790">
        <f>+'Phase I Pro Forma'!K239</f>
        <v>1</v>
      </c>
      <c r="L242" s="790">
        <f>+'Phase I Pro Forma'!L239</f>
        <v>1.1000000000000001</v>
      </c>
      <c r="M242" s="790">
        <f>+'Phase I Pro Forma'!M239</f>
        <v>1.1000000000000001</v>
      </c>
      <c r="N242" s="790">
        <f>+'Phase I Pro Forma'!N239</f>
        <v>1.1000000000000001</v>
      </c>
      <c r="O242" s="790">
        <f>+'Phase I Pro Forma'!O239</f>
        <v>1.1000000000000001</v>
      </c>
      <c r="P242" s="790">
        <f>+'Phase I Pro Forma'!P239</f>
        <v>1.1000000000000001</v>
      </c>
      <c r="Q242" s="790">
        <f>+'Phase I Pro Forma'!Q239</f>
        <v>1.2100000000000002</v>
      </c>
      <c r="R242" s="790">
        <f>+'Phase I Pro Forma'!R239</f>
        <v>1.2100000000000002</v>
      </c>
      <c r="S242" s="790">
        <f>+'Phase I Pro Forma'!S239</f>
        <v>1.2100000000000002</v>
      </c>
      <c r="T242" s="790">
        <f>+'Phase I Pro Forma'!T239</f>
        <v>1.2100000000000002</v>
      </c>
      <c r="U242" s="790">
        <f>+'Phase I Pro Forma'!U239</f>
        <v>1.2100000000000002</v>
      </c>
      <c r="V242" s="790">
        <f>+'Phase I Pro Forma'!V239</f>
        <v>1.3310000000000004</v>
      </c>
      <c r="W242" s="790">
        <f>+'Phase I Pro Forma'!W239</f>
        <v>1.3310000000000004</v>
      </c>
      <c r="X242" s="790">
        <f>+'Phase I Pro Forma'!X239</f>
        <v>1.3310000000000004</v>
      </c>
      <c r="Y242" s="790">
        <f>+'Phase I Pro Forma'!Y239</f>
        <v>1.3310000000000004</v>
      </c>
      <c r="Z242" s="790">
        <f>+'Phase I Pro Forma'!Z239</f>
        <v>1.3310000000000004</v>
      </c>
    </row>
    <row r="243" spans="2:26" hidden="1" outlineLevel="1" x14ac:dyDescent="0.2">
      <c r="B243" s="788" t="s">
        <v>252</v>
      </c>
      <c r="C243" s="788"/>
      <c r="D243" s="789"/>
      <c r="E243" s="789"/>
      <c r="F243" s="790">
        <f>+'Phase I Pro Forma'!F240</f>
        <v>1</v>
      </c>
      <c r="G243" s="790">
        <f>+'Phase I Pro Forma'!G240</f>
        <v>1.03</v>
      </c>
      <c r="H243" s="790">
        <f>+'Phase I Pro Forma'!H240</f>
        <v>1.0609</v>
      </c>
      <c r="I243" s="790">
        <f>+'Phase I Pro Forma'!I240</f>
        <v>1.092727</v>
      </c>
      <c r="J243" s="790">
        <f>+'Phase I Pro Forma'!J240</f>
        <v>1.1255088100000001</v>
      </c>
      <c r="K243" s="790">
        <f>+'Phase I Pro Forma'!K240</f>
        <v>1.1592740743000001</v>
      </c>
      <c r="L243" s="790">
        <f>+'Phase I Pro Forma'!L240</f>
        <v>1.1940522965290001</v>
      </c>
      <c r="M243" s="790">
        <f>+'Phase I Pro Forma'!M240</f>
        <v>1.2298738654248702</v>
      </c>
      <c r="N243" s="790">
        <f>+'Phase I Pro Forma'!N240</f>
        <v>1.2667700813876164</v>
      </c>
      <c r="O243" s="790">
        <f>+'Phase I Pro Forma'!O240</f>
        <v>1.3047731838292449</v>
      </c>
      <c r="P243" s="790">
        <f>+'Phase I Pro Forma'!P240</f>
        <v>1.3439163793441222</v>
      </c>
      <c r="Q243" s="790">
        <f>+'Phase I Pro Forma'!Q240</f>
        <v>1.3842338707244459</v>
      </c>
      <c r="R243" s="790">
        <f>+'Phase I Pro Forma'!R240</f>
        <v>1.4257608868461793</v>
      </c>
      <c r="S243" s="790">
        <f>+'Phase I Pro Forma'!S240</f>
        <v>1.4685337134515648</v>
      </c>
      <c r="T243" s="790">
        <f>+'Phase I Pro Forma'!T240</f>
        <v>1.5125897248551119</v>
      </c>
      <c r="U243" s="790">
        <f>+'Phase I Pro Forma'!U240</f>
        <v>1.5579674166007653</v>
      </c>
      <c r="V243" s="790">
        <f>+'Phase I Pro Forma'!V240</f>
        <v>1.6047064390987884</v>
      </c>
      <c r="W243" s="790">
        <f>+'Phase I Pro Forma'!W240</f>
        <v>1.652847632271752</v>
      </c>
      <c r="X243" s="790">
        <f>+'Phase I Pro Forma'!X240</f>
        <v>1.7024330612399046</v>
      </c>
      <c r="Y243" s="790">
        <f>+'Phase I Pro Forma'!Y240</f>
        <v>1.7535060530771018</v>
      </c>
      <c r="Z243" s="790">
        <f>+'Phase I Pro Forma'!Z240</f>
        <v>1.806111234669415</v>
      </c>
    </row>
    <row r="244" spans="2:26" ht="5" hidden="1" customHeight="1" outlineLevel="1" x14ac:dyDescent="0.2">
      <c r="B244" s="32"/>
      <c r="C244" s="32"/>
      <c r="D244" s="39"/>
      <c r="E244" s="39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2:26" hidden="1" outlineLevel="1" x14ac:dyDescent="0.2">
      <c r="B245" s="32" t="s">
        <v>243</v>
      </c>
      <c r="C245" s="32"/>
      <c r="D245" s="39"/>
      <c r="E245" s="39"/>
      <c r="F245" s="48">
        <f>+'Phase I Pro Forma'!F242/1000000</f>
        <v>0</v>
      </c>
      <c r="G245" s="48">
        <f>+'Phase I Pro Forma'!G242/1000000</f>
        <v>0</v>
      </c>
      <c r="H245" s="48">
        <f>+'Phase I Pro Forma'!H242/1000000</f>
        <v>0</v>
      </c>
      <c r="I245" s="48">
        <f>+'Phase I Pro Forma'!I242/1000000</f>
        <v>6.0000000000000003E-12</v>
      </c>
      <c r="J245" s="48">
        <f>+'Phase I Pro Forma'!J242/1000000</f>
        <v>1.2000000000000001E-11</v>
      </c>
      <c r="K245" s="48">
        <f>+'Phase I Pro Forma'!K242/1000000</f>
        <v>1.2000000000000001E-11</v>
      </c>
      <c r="L245" s="48">
        <f>+'Phase I Pro Forma'!L242/1000000</f>
        <v>1.32E-11</v>
      </c>
      <c r="M245" s="48">
        <f>+'Phase I Pro Forma'!M242/1000000</f>
        <v>1.32E-11</v>
      </c>
      <c r="N245" s="48">
        <f>+'Phase I Pro Forma'!N242/1000000</f>
        <v>1.32E-11</v>
      </c>
      <c r="O245" s="48">
        <f>+'Phase I Pro Forma'!O242/1000000</f>
        <v>1.32E-11</v>
      </c>
      <c r="P245" s="48">
        <f>+'Phase I Pro Forma'!P242/1000000</f>
        <v>1.32E-11</v>
      </c>
      <c r="Q245" s="48">
        <f>+'Phase I Pro Forma'!Q242/1000000</f>
        <v>1.4520000000000004E-11</v>
      </c>
      <c r="R245" s="48">
        <f>+'Phase I Pro Forma'!R242/1000000</f>
        <v>1.4520000000000004E-11</v>
      </c>
      <c r="S245" s="48">
        <f>+'Phase I Pro Forma'!S242/1000000</f>
        <v>1.4520000000000004E-11</v>
      </c>
      <c r="T245" s="48">
        <f>+'Phase I Pro Forma'!T242/1000000</f>
        <v>1.4520000000000004E-11</v>
      </c>
      <c r="U245" s="48">
        <f>+'Phase I Pro Forma'!U242/1000000</f>
        <v>1.4520000000000004E-11</v>
      </c>
      <c r="V245" s="48">
        <f>+'Phase I Pro Forma'!V242/1000000</f>
        <v>1.5972000000000005E-11</v>
      </c>
      <c r="W245" s="48">
        <f>+'Phase I Pro Forma'!W242/1000000</f>
        <v>1.5972000000000005E-11</v>
      </c>
      <c r="X245" s="48">
        <f>+'Phase I Pro Forma'!X242/1000000</f>
        <v>1.5972000000000005E-11</v>
      </c>
      <c r="Y245" s="48">
        <f>+'Phase I Pro Forma'!Y242/1000000</f>
        <v>1.5972000000000005E-11</v>
      </c>
      <c r="Z245" s="48">
        <f>+'Phase I Pro Forma'!Z242/1000000</f>
        <v>1.5972000000000005E-11</v>
      </c>
    </row>
    <row r="246" spans="2:26" hidden="1" outlineLevel="1" x14ac:dyDescent="0.2">
      <c r="B246" s="32" t="s">
        <v>244</v>
      </c>
      <c r="C246" s="32"/>
      <c r="D246" s="39"/>
      <c r="E246" s="39"/>
      <c r="F246" s="771">
        <f>+'Phase I Pro Forma'!F243/1000000</f>
        <v>0</v>
      </c>
      <c r="G246" s="771">
        <f>+'Phase I Pro Forma'!G243/1000000</f>
        <v>0</v>
      </c>
      <c r="H246" s="771">
        <f>+'Phase I Pro Forma'!H243/1000000</f>
        <v>0</v>
      </c>
      <c r="I246" s="771">
        <f>+'Phase I Pro Forma'!I243/1000000</f>
        <v>-3.5999999999999998E-13</v>
      </c>
      <c r="J246" s="771">
        <f>+'Phase I Pro Forma'!J243/1000000</f>
        <v>-7.1999999999999996E-13</v>
      </c>
      <c r="K246" s="771">
        <f>+'Phase I Pro Forma'!K243/1000000</f>
        <v>-7.1999999999999996E-13</v>
      </c>
      <c r="L246" s="771">
        <f>+'Phase I Pro Forma'!L243/1000000</f>
        <v>-7.9199999999999996E-13</v>
      </c>
      <c r="M246" s="771">
        <f>+'Phase I Pro Forma'!M243/1000000</f>
        <v>-7.9199999999999996E-13</v>
      </c>
      <c r="N246" s="771">
        <f>+'Phase I Pro Forma'!N243/1000000</f>
        <v>-7.9199999999999996E-13</v>
      </c>
      <c r="O246" s="771">
        <f>+'Phase I Pro Forma'!O243/1000000</f>
        <v>-7.9199999999999996E-13</v>
      </c>
      <c r="P246" s="771">
        <f>+'Phase I Pro Forma'!P243/1000000</f>
        <v>-7.9199999999999996E-13</v>
      </c>
      <c r="Q246" s="771">
        <f>+'Phase I Pro Forma'!Q243/1000000</f>
        <v>-8.7120000000000017E-13</v>
      </c>
      <c r="R246" s="771">
        <f>+'Phase I Pro Forma'!R243/1000000</f>
        <v>-8.7120000000000017E-13</v>
      </c>
      <c r="S246" s="771">
        <f>+'Phase I Pro Forma'!S243/1000000</f>
        <v>-8.7120000000000017E-13</v>
      </c>
      <c r="T246" s="771">
        <f>+'Phase I Pro Forma'!T243/1000000</f>
        <v>-8.7120000000000017E-13</v>
      </c>
      <c r="U246" s="771">
        <f>+'Phase I Pro Forma'!U243/1000000</f>
        <v>-8.7120000000000017E-13</v>
      </c>
      <c r="V246" s="771">
        <f>+'Phase I Pro Forma'!V243/1000000</f>
        <v>-9.583200000000003E-13</v>
      </c>
      <c r="W246" s="771">
        <f>+'Phase I Pro Forma'!W243/1000000</f>
        <v>-9.583200000000003E-13</v>
      </c>
      <c r="X246" s="771">
        <f>+'Phase I Pro Forma'!X243/1000000</f>
        <v>-9.583200000000003E-13</v>
      </c>
      <c r="Y246" s="771">
        <f>+'Phase I Pro Forma'!Y243/1000000</f>
        <v>-9.583200000000003E-13</v>
      </c>
      <c r="Z246" s="771">
        <f>+'Phase I Pro Forma'!Z243/1000000</f>
        <v>-9.583200000000003E-13</v>
      </c>
    </row>
    <row r="247" spans="2:26" hidden="1" outlineLevel="1" x14ac:dyDescent="0.2">
      <c r="B247" s="32" t="s">
        <v>259</v>
      </c>
      <c r="C247" s="32"/>
      <c r="D247" s="39"/>
      <c r="E247" s="39"/>
      <c r="F247" s="772">
        <f ca="1">+'Phase I Pro Forma'!F244/1000000</f>
        <v>0</v>
      </c>
      <c r="G247" s="772">
        <f ca="1">+'Phase I Pro Forma'!G244/1000000</f>
        <v>0</v>
      </c>
      <c r="H247" s="772">
        <f ca="1">+'Phase I Pro Forma'!H244/1000000</f>
        <v>0</v>
      </c>
      <c r="I247" s="772">
        <f ca="1">+'Phase I Pro Forma'!I244/1000000</f>
        <v>3.0982195726315786E-12</v>
      </c>
      <c r="J247" s="772">
        <f ca="1">+'Phase I Pro Forma'!J244/1000000</f>
        <v>6.3422224681684206E-12</v>
      </c>
      <c r="K247" s="772">
        <f ca="1">+'Phase I Pro Forma'!K244/1000000</f>
        <v>6.409752996768421E-12</v>
      </c>
      <c r="L247" s="772">
        <f ca="1">+'Phase I Pro Forma'!L244/1000000</f>
        <v>6.4793094412264202E-12</v>
      </c>
      <c r="M247" s="772">
        <f ca="1">+'Phase I Pro Forma'!M244/1000000</f>
        <v>6.6327766759815298E-12</v>
      </c>
      <c r="N247" s="772">
        <f ca="1">+'Phase I Pro Forma'!N244/1000000</f>
        <v>6.7065691079070215E-12</v>
      </c>
      <c r="O247" s="772">
        <f ca="1">+'Phase I Pro Forma'!O244/1000000</f>
        <v>6.7825753127902787E-12</v>
      </c>
      <c r="P247" s="772">
        <f ca="1">+'Phase I Pro Forma'!P244/1000000</f>
        <v>6.9443222827226686E-12</v>
      </c>
      <c r="Q247" s="772">
        <f ca="1">+'Phase I Pro Forma'!Q244/1000000</f>
        <v>7.0249572654833162E-12</v>
      </c>
      <c r="R247" s="772">
        <f ca="1">+'Phase I Pro Forma'!R244/1000000</f>
        <v>7.1080112977267833E-12</v>
      </c>
      <c r="S247" s="772">
        <f ca="1">+'Phase I Pro Forma'!S244/1000000</f>
        <v>7.2786867414182428E-12</v>
      </c>
      <c r="T247" s="772">
        <f ca="1">+'Phase I Pro Forma'!T244/1000000</f>
        <v>7.3667987642253382E-12</v>
      </c>
      <c r="U247" s="772">
        <f ca="1">+'Phase I Pro Forma'!U244/1000000</f>
        <v>7.4575541477166449E-12</v>
      </c>
      <c r="V247" s="772">
        <f ca="1">+'Phase I Pro Forma'!V244/1000000</f>
        <v>7.6378645790029933E-12</v>
      </c>
      <c r="W247" s="772">
        <f ca="1">+'Phase I Pro Forma'!W244/1000000</f>
        <v>7.7341469653489195E-12</v>
      </c>
      <c r="X247" s="772">
        <f ca="1">+'Phase I Pro Forma'!X244/1000000</f>
        <v>7.8333178232852242E-12</v>
      </c>
      <c r="Y247" s="772">
        <f ca="1">+'Phase I Pro Forma'!Y244/1000000</f>
        <v>8.0240328409757278E-12</v>
      </c>
      <c r="Z247" s="772">
        <f ca="1">+'Phase I Pro Forma'!Z244/1000000</f>
        <v>8.129243204160353E-12</v>
      </c>
    </row>
    <row r="248" spans="2:26" hidden="1" outlineLevel="1" x14ac:dyDescent="0.2">
      <c r="B248" s="136" t="s">
        <v>253</v>
      </c>
      <c r="C248" s="136"/>
      <c r="D248" s="136"/>
      <c r="E248" s="136"/>
      <c r="F248" s="773">
        <f t="shared" ref="F248:Z248" ca="1" si="77">+SUM(F245:F247)</f>
        <v>0</v>
      </c>
      <c r="G248" s="773">
        <f t="shared" ca="1" si="77"/>
        <v>0</v>
      </c>
      <c r="H248" s="773">
        <f t="shared" ca="1" si="77"/>
        <v>0</v>
      </c>
      <c r="I248" s="773">
        <f t="shared" ca="1" si="77"/>
        <v>8.7382195726315792E-12</v>
      </c>
      <c r="J248" s="773">
        <f t="shared" ca="1" si="77"/>
        <v>1.7622222468168423E-11</v>
      </c>
      <c r="K248" s="773">
        <f t="shared" ca="1" si="77"/>
        <v>1.7689752996768421E-11</v>
      </c>
      <c r="L248" s="773">
        <f t="shared" ca="1" si="77"/>
        <v>1.888730944122642E-11</v>
      </c>
      <c r="M248" s="773">
        <f t="shared" ca="1" si="77"/>
        <v>1.904077667598153E-11</v>
      </c>
      <c r="N248" s="773">
        <f t="shared" ca="1" si="77"/>
        <v>1.9114569107907023E-11</v>
      </c>
      <c r="O248" s="773">
        <f t="shared" ca="1" si="77"/>
        <v>1.919057531279028E-11</v>
      </c>
      <c r="P248" s="773">
        <f t="shared" ca="1" si="77"/>
        <v>1.9352322282722668E-11</v>
      </c>
      <c r="Q248" s="773">
        <f t="shared" ca="1" si="77"/>
        <v>2.0673757265483319E-11</v>
      </c>
      <c r="R248" s="773">
        <f t="shared" ca="1" si="77"/>
        <v>2.0756811297726787E-11</v>
      </c>
      <c r="S248" s="773">
        <f t="shared" ca="1" si="77"/>
        <v>2.0927486741418244E-11</v>
      </c>
      <c r="T248" s="773">
        <f t="shared" ca="1" si="77"/>
        <v>2.1015598764225341E-11</v>
      </c>
      <c r="U248" s="773">
        <f t="shared" ca="1" si="77"/>
        <v>2.1106354147716648E-11</v>
      </c>
      <c r="V248" s="773">
        <f t="shared" ca="1" si="77"/>
        <v>2.2651544579003E-11</v>
      </c>
      <c r="W248" s="773">
        <f t="shared" ca="1" si="77"/>
        <v>2.2747826965348924E-11</v>
      </c>
      <c r="X248" s="773">
        <f t="shared" ca="1" si="77"/>
        <v>2.2846997823285231E-11</v>
      </c>
      <c r="Y248" s="773">
        <f t="shared" ca="1" si="77"/>
        <v>2.3037712840975733E-11</v>
      </c>
      <c r="Z248" s="773">
        <f t="shared" ca="1" si="77"/>
        <v>2.3142923204160361E-11</v>
      </c>
    </row>
    <row r="249" spans="2:26" ht="5" hidden="1" customHeight="1" outlineLevel="1" x14ac:dyDescent="0.2"/>
    <row r="250" spans="2:26" hidden="1" outlineLevel="1" x14ac:dyDescent="0.2">
      <c r="B250" s="32" t="s">
        <v>389</v>
      </c>
      <c r="F250" s="48">
        <f>+'Phase I Pro Forma'!F247/1000000</f>
        <v>0</v>
      </c>
      <c r="G250" s="48">
        <f>+'Phase I Pro Forma'!G247/1000000</f>
        <v>0</v>
      </c>
      <c r="H250" s="48">
        <f>+'Phase I Pro Forma'!H247/1000000</f>
        <v>0</v>
      </c>
      <c r="I250" s="48">
        <f>+'Phase I Pro Forma'!I247/1000000</f>
        <v>1.092727E-12</v>
      </c>
      <c r="J250" s="48">
        <f>+'Phase I Pro Forma'!J247/1000000</f>
        <v>2.2510176200000002E-12</v>
      </c>
      <c r="K250" s="48">
        <f>+'Phase I Pro Forma'!K247/1000000</f>
        <v>2.3185481486000002E-12</v>
      </c>
      <c r="L250" s="48">
        <f>+'Phase I Pro Forma'!L247/1000000</f>
        <v>2.3881045930580003E-12</v>
      </c>
      <c r="M250" s="48">
        <f>+'Phase I Pro Forma'!M247/1000000</f>
        <v>2.4597477308497403E-12</v>
      </c>
      <c r="N250" s="48">
        <f>+'Phase I Pro Forma'!N247/1000000</f>
        <v>2.5335401627752329E-12</v>
      </c>
      <c r="O250" s="48">
        <f>+'Phase I Pro Forma'!O247/1000000</f>
        <v>2.6095463676584896E-12</v>
      </c>
      <c r="P250" s="48">
        <f>+'Phase I Pro Forma'!P247/1000000</f>
        <v>2.6878327586882441E-12</v>
      </c>
      <c r="Q250" s="48">
        <f>+'Phase I Pro Forma'!Q247/1000000</f>
        <v>2.7684677414488921E-12</v>
      </c>
      <c r="R250" s="48">
        <f>+'Phase I Pro Forma'!R247/1000000</f>
        <v>2.8515217736923585E-12</v>
      </c>
      <c r="S250" s="48">
        <f>+'Phase I Pro Forma'!S247/1000000</f>
        <v>2.9370674269031296E-12</v>
      </c>
      <c r="T250" s="48">
        <f>+'Phase I Pro Forma'!T247/1000000</f>
        <v>3.0251794497102238E-12</v>
      </c>
      <c r="U250" s="48">
        <f>+'Phase I Pro Forma'!U247/1000000</f>
        <v>3.1159348332015305E-12</v>
      </c>
      <c r="V250" s="48">
        <f>+'Phase I Pro Forma'!V247/1000000</f>
        <v>3.2094128781975767E-12</v>
      </c>
      <c r="W250" s="48">
        <f>+'Phase I Pro Forma'!W247/1000000</f>
        <v>3.3056952645435041E-12</v>
      </c>
      <c r="X250" s="48">
        <f>+'Phase I Pro Forma'!X247/1000000</f>
        <v>3.4048661224798089E-12</v>
      </c>
      <c r="Y250" s="48">
        <f>+'Phase I Pro Forma'!Y247/1000000</f>
        <v>3.5070121061542032E-12</v>
      </c>
      <c r="Z250" s="48">
        <f>+'Phase I Pro Forma'!Z247/1000000</f>
        <v>3.61222246933883E-12</v>
      </c>
    </row>
    <row r="251" spans="2:26" hidden="1" outlineLevel="1" x14ac:dyDescent="0.2">
      <c r="B251" s="32" t="s">
        <v>325</v>
      </c>
      <c r="F251" s="772">
        <f ca="1">+'Phase I Pro Forma'!F248/1000000</f>
        <v>0</v>
      </c>
      <c r="G251" s="772">
        <f ca="1">+'Phase I Pro Forma'!G248/1000000</f>
        <v>0</v>
      </c>
      <c r="H251" s="772">
        <f ca="1">+'Phase I Pro Forma'!H248/1000000</f>
        <v>0</v>
      </c>
      <c r="I251" s="772">
        <f ca="1">+'Phase I Pro Forma'!I248/1000000</f>
        <v>2.0054925726315792E-12</v>
      </c>
      <c r="J251" s="772">
        <f ca="1">+'Phase I Pro Forma'!J248/1000000</f>
        <v>4.0912048481684223E-12</v>
      </c>
      <c r="K251" s="772">
        <f ca="1">+'Phase I Pro Forma'!K248/1000000</f>
        <v>4.0912048481684223E-12</v>
      </c>
      <c r="L251" s="772">
        <f ca="1">+'Phase I Pro Forma'!L248/1000000</f>
        <v>4.0912048481684223E-12</v>
      </c>
      <c r="M251" s="772">
        <f ca="1">+'Phase I Pro Forma'!M248/1000000</f>
        <v>4.1730289451317907E-12</v>
      </c>
      <c r="N251" s="772">
        <f ca="1">+'Phase I Pro Forma'!N248/1000000</f>
        <v>4.1730289451317907E-12</v>
      </c>
      <c r="O251" s="772">
        <f ca="1">+'Phase I Pro Forma'!O248/1000000</f>
        <v>4.1730289451317907E-12</v>
      </c>
      <c r="P251" s="772">
        <f ca="1">+'Phase I Pro Forma'!P248/1000000</f>
        <v>4.2564895240344269E-12</v>
      </c>
      <c r="Q251" s="772">
        <f ca="1">+'Phase I Pro Forma'!Q248/1000000</f>
        <v>4.2564895240344269E-12</v>
      </c>
      <c r="R251" s="772">
        <f ca="1">+'Phase I Pro Forma'!R248/1000000</f>
        <v>4.2564895240344269E-12</v>
      </c>
      <c r="S251" s="772">
        <f ca="1">+'Phase I Pro Forma'!S248/1000000</f>
        <v>4.3416193145151156E-12</v>
      </c>
      <c r="T251" s="772">
        <f ca="1">+'Phase I Pro Forma'!T248/1000000</f>
        <v>4.3416193145151156E-12</v>
      </c>
      <c r="U251" s="772">
        <f ca="1">+'Phase I Pro Forma'!U248/1000000</f>
        <v>4.3416193145151156E-12</v>
      </c>
      <c r="V251" s="772">
        <f ca="1">+'Phase I Pro Forma'!V248/1000000</f>
        <v>4.4284517008054178E-12</v>
      </c>
      <c r="W251" s="772">
        <f ca="1">+'Phase I Pro Forma'!W248/1000000</f>
        <v>4.4284517008054178E-12</v>
      </c>
      <c r="X251" s="772">
        <f ca="1">+'Phase I Pro Forma'!X248/1000000</f>
        <v>4.4284517008054178E-12</v>
      </c>
      <c r="Y251" s="772">
        <f ca="1">+'Phase I Pro Forma'!Y248/1000000</f>
        <v>4.5170207348215259E-12</v>
      </c>
      <c r="Z251" s="772">
        <f ca="1">+'Phase I Pro Forma'!Z248/1000000</f>
        <v>4.5170207348215259E-12</v>
      </c>
    </row>
    <row r="252" spans="2:26" hidden="1" outlineLevel="1" x14ac:dyDescent="0.2">
      <c r="B252" s="136" t="s">
        <v>249</v>
      </c>
      <c r="C252" s="136"/>
      <c r="D252" s="136"/>
      <c r="E252" s="136"/>
      <c r="F252" s="773">
        <f ca="1">+SUM(F250:F251)</f>
        <v>0</v>
      </c>
      <c r="G252" s="773">
        <f t="shared" ref="G252" ca="1" si="78">+SUM(G250:G251)</f>
        <v>0</v>
      </c>
      <c r="H252" s="773">
        <f t="shared" ref="H252:Z252" ca="1" si="79">+SUM(H250:H251)</f>
        <v>0</v>
      </c>
      <c r="I252" s="773">
        <f t="shared" ca="1" si="79"/>
        <v>3.098219572631579E-12</v>
      </c>
      <c r="J252" s="773">
        <f t="shared" ca="1" si="79"/>
        <v>6.3422224681684222E-12</v>
      </c>
      <c r="K252" s="773">
        <f t="shared" ca="1" si="79"/>
        <v>6.4097529967684226E-12</v>
      </c>
      <c r="L252" s="773">
        <f t="shared" ca="1" si="79"/>
        <v>6.4793094412264227E-12</v>
      </c>
      <c r="M252" s="773">
        <f t="shared" ca="1" si="79"/>
        <v>6.6327766759815306E-12</v>
      </c>
      <c r="N252" s="773">
        <f t="shared" ca="1" si="79"/>
        <v>6.7065691079070232E-12</v>
      </c>
      <c r="O252" s="773">
        <f t="shared" ca="1" si="79"/>
        <v>6.7825753127902803E-12</v>
      </c>
      <c r="P252" s="773">
        <f t="shared" ca="1" si="79"/>
        <v>6.944322282722671E-12</v>
      </c>
      <c r="Q252" s="773">
        <f t="shared" ca="1" si="79"/>
        <v>7.0249572654833194E-12</v>
      </c>
      <c r="R252" s="773">
        <f t="shared" ca="1" si="79"/>
        <v>7.1080112977267858E-12</v>
      </c>
      <c r="S252" s="773">
        <f t="shared" ca="1" si="79"/>
        <v>7.278686741418246E-12</v>
      </c>
      <c r="T252" s="773">
        <f t="shared" ca="1" si="79"/>
        <v>7.3667987642253398E-12</v>
      </c>
      <c r="U252" s="773">
        <f t="shared" ca="1" si="79"/>
        <v>7.4575541477166465E-12</v>
      </c>
      <c r="V252" s="773">
        <f t="shared" ca="1" si="79"/>
        <v>7.6378645790029949E-12</v>
      </c>
      <c r="W252" s="773">
        <f t="shared" ca="1" si="79"/>
        <v>7.7341469653489211E-12</v>
      </c>
      <c r="X252" s="773">
        <f t="shared" ca="1" si="79"/>
        <v>7.8333178232852275E-12</v>
      </c>
      <c r="Y252" s="773">
        <f t="shared" ca="1" si="79"/>
        <v>8.0240328409757294E-12</v>
      </c>
      <c r="Z252" s="773">
        <f t="shared" ca="1" si="79"/>
        <v>8.1292432041603562E-12</v>
      </c>
    </row>
    <row r="253" spans="2:26" ht="5" hidden="1" customHeight="1" outlineLevel="1" x14ac:dyDescent="0.2">
      <c r="B253" s="32"/>
    </row>
    <row r="254" spans="2:26" hidden="1" outlineLevel="1" x14ac:dyDescent="0.2">
      <c r="B254" s="137" t="s">
        <v>793</v>
      </c>
      <c r="C254" s="137"/>
      <c r="D254" s="137"/>
      <c r="E254" s="137"/>
      <c r="F254" s="774">
        <f ca="1">+'Phase I Pro Forma'!F251/1000000</f>
        <v>0</v>
      </c>
      <c r="G254" s="774">
        <f ca="1">+'Phase I Pro Forma'!G251/1000000</f>
        <v>0</v>
      </c>
      <c r="H254" s="774">
        <f ca="1">+'Phase I Pro Forma'!H251/1000000</f>
        <v>0</v>
      </c>
      <c r="I254" s="774">
        <f ca="1">+'Phase I Pro Forma'!I251/1000000</f>
        <v>5.6399999999999986E-12</v>
      </c>
      <c r="J254" s="774">
        <f ca="1">+'Phase I Pro Forma'!J251/1000000</f>
        <v>1.1279999999999999E-11</v>
      </c>
      <c r="K254" s="774">
        <f ca="1">+'Phase I Pro Forma'!K251/1000000</f>
        <v>1.1279999999999997E-11</v>
      </c>
      <c r="L254" s="774">
        <f ca="1">+'Phase I Pro Forma'!L251/1000000</f>
        <v>1.2407999999999998E-11</v>
      </c>
      <c r="M254" s="774">
        <f ca="1">+'Phase I Pro Forma'!M251/1000000</f>
        <v>1.2408000000000001E-11</v>
      </c>
      <c r="N254" s="774">
        <f ca="1">+'Phase I Pro Forma'!N251/1000000</f>
        <v>1.2407999999999996E-11</v>
      </c>
      <c r="O254" s="774">
        <f ca="1">+'Phase I Pro Forma'!O251/1000000</f>
        <v>1.2407999999999996E-11</v>
      </c>
      <c r="P254" s="774">
        <f ca="1">+'Phase I Pro Forma'!P251/1000000</f>
        <v>1.2407999999999996E-11</v>
      </c>
      <c r="Q254" s="774">
        <f ca="1">+'Phase I Pro Forma'!Q251/1000000</f>
        <v>1.3648800000000003E-11</v>
      </c>
      <c r="R254" s="774">
        <f ca="1">+'Phase I Pro Forma'!R251/1000000</f>
        <v>1.36488E-11</v>
      </c>
      <c r="S254" s="774">
        <f ca="1">+'Phase I Pro Forma'!S251/1000000</f>
        <v>1.36488E-11</v>
      </c>
      <c r="T254" s="774">
        <f ca="1">+'Phase I Pro Forma'!T251/1000000</f>
        <v>1.3648800000000005E-11</v>
      </c>
      <c r="U254" s="774">
        <f ca="1">+'Phase I Pro Forma'!U251/1000000</f>
        <v>1.3648800000000005E-11</v>
      </c>
      <c r="V254" s="774">
        <f ca="1">+'Phase I Pro Forma'!V251/1000000</f>
        <v>1.5013680000000003E-11</v>
      </c>
      <c r="W254" s="774">
        <f ca="1">+'Phase I Pro Forma'!W251/1000000</f>
        <v>1.5013680000000003E-11</v>
      </c>
      <c r="X254" s="774">
        <f ca="1">+'Phase I Pro Forma'!X251/1000000</f>
        <v>1.5013680000000006E-11</v>
      </c>
      <c r="Y254" s="774">
        <f ca="1">+'Phase I Pro Forma'!Y251/1000000</f>
        <v>1.5013680000000003E-11</v>
      </c>
      <c r="Z254" s="774">
        <f ca="1">+'Phase I Pro Forma'!Z251/1000000</f>
        <v>1.5013680000000003E-11</v>
      </c>
    </row>
    <row r="255" spans="2:26" hidden="1" outlineLevel="1" x14ac:dyDescent="0.2">
      <c r="B255" s="779" t="s">
        <v>254</v>
      </c>
      <c r="C255" s="780"/>
      <c r="D255" s="780"/>
      <c r="E255" s="780"/>
      <c r="F255" s="781" t="str">
        <f ca="1">+IFERROR(F254/F248,"")</f>
        <v/>
      </c>
      <c r="G255" s="781" t="str">
        <f t="shared" ref="G255:Z255" ca="1" si="80">+IFERROR(G254/G248,"")</f>
        <v/>
      </c>
      <c r="H255" s="781" t="str">
        <f t="shared" ca="1" si="80"/>
        <v/>
      </c>
      <c r="I255" s="782">
        <f t="shared" ca="1" si="80"/>
        <v>0.64544040729586183</v>
      </c>
      <c r="J255" s="782">
        <f t="shared" ca="1" si="80"/>
        <v>0.64010087379020553</v>
      </c>
      <c r="K255" s="782">
        <f t="shared" ca="1" si="80"/>
        <v>0.63765729244838165</v>
      </c>
      <c r="L255" s="782">
        <f t="shared" ca="1" si="80"/>
        <v>0.65694905029280348</v>
      </c>
      <c r="M255" s="782">
        <f t="shared" ca="1" si="80"/>
        <v>0.6516540901218455</v>
      </c>
      <c r="N255" s="782">
        <f t="shared" ca="1" si="80"/>
        <v>0.64913835776016759</v>
      </c>
      <c r="O255" s="782">
        <f t="shared" ca="1" si="80"/>
        <v>0.64656737996438385</v>
      </c>
      <c r="P255" s="782">
        <f t="shared" ca="1" si="80"/>
        <v>0.64116336110615457</v>
      </c>
      <c r="Q255" s="782">
        <f t="shared" ca="1" si="80"/>
        <v>0.66019929637018093</v>
      </c>
      <c r="R255" s="782">
        <f t="shared" ca="1" si="80"/>
        <v>0.6575576471851805</v>
      </c>
      <c r="S255" s="782">
        <f t="shared" ca="1" si="80"/>
        <v>0.65219489414308085</v>
      </c>
      <c r="T255" s="782">
        <f t="shared" ca="1" si="80"/>
        <v>0.64946043903513373</v>
      </c>
      <c r="U255" s="782">
        <f t="shared" ca="1" si="80"/>
        <v>0.64666781882254043</v>
      </c>
      <c r="V255" s="782">
        <f t="shared" ca="1" si="80"/>
        <v>0.66281042988640315</v>
      </c>
      <c r="W255" s="782">
        <f t="shared" ca="1" si="80"/>
        <v>0.66000502038589826</v>
      </c>
      <c r="X255" s="782">
        <f t="shared" ca="1" si="80"/>
        <v>0.65714016853007906</v>
      </c>
      <c r="Y255" s="782">
        <f t="shared" ca="1" si="80"/>
        <v>0.65170011032067876</v>
      </c>
      <c r="Z255" s="782">
        <f t="shared" ca="1" si="80"/>
        <v>0.64873740743783925</v>
      </c>
    </row>
    <row r="256" spans="2:26" hidden="1" outlineLevel="1" x14ac:dyDescent="0.2">
      <c r="B256" s="779" t="s">
        <v>188</v>
      </c>
      <c r="C256" s="780"/>
      <c r="D256" s="780"/>
      <c r="E256" s="780"/>
      <c r="F256" s="783">
        <f ca="1">+'Phase I Pro Forma'!F253/1000000</f>
        <v>0</v>
      </c>
      <c r="G256" s="783">
        <f ca="1">+'Phase I Pro Forma'!G253/1000000</f>
        <v>0</v>
      </c>
      <c r="H256" s="783">
        <f ca="1">+'Phase I Pro Forma'!H253/1000000</f>
        <v>0</v>
      </c>
      <c r="I256" s="783">
        <f ca="1">+'Phase I Pro Forma'!I253/1000000</f>
        <v>1.0254545454545451E-10</v>
      </c>
      <c r="J256" s="783">
        <f ca="1">+'Phase I Pro Forma'!J253/1000000</f>
        <v>2.0509090909090905E-10</v>
      </c>
      <c r="K256" s="783">
        <f ca="1">+'Phase I Pro Forma'!K253/1000000</f>
        <v>2.0509090909090902E-10</v>
      </c>
      <c r="L256" s="783">
        <f ca="1">+'Phase I Pro Forma'!L253/1000000</f>
        <v>2.2559999999999998E-10</v>
      </c>
      <c r="M256" s="783">
        <f ca="1">+'Phase I Pro Forma'!M253/1000000</f>
        <v>2.256E-10</v>
      </c>
      <c r="N256" s="783">
        <f ca="1">+'Phase I Pro Forma'!N253/1000000</f>
        <v>2.2559999999999995E-10</v>
      </c>
      <c r="O256" s="783">
        <f ca="1">+'Phase I Pro Forma'!O253/1000000</f>
        <v>2.2559999999999995E-10</v>
      </c>
      <c r="P256" s="783">
        <f ca="1">+'Phase I Pro Forma'!P253/1000000</f>
        <v>2.2559999999999995E-10</v>
      </c>
      <c r="Q256" s="783">
        <f ca="1">+'Phase I Pro Forma'!Q253/1000000</f>
        <v>2.4816000000000005E-10</v>
      </c>
      <c r="R256" s="783">
        <f ca="1">+'Phase I Pro Forma'!R253/1000000</f>
        <v>2.4816E-10</v>
      </c>
      <c r="S256" s="783">
        <f ca="1">+'Phase I Pro Forma'!S253/1000000</f>
        <v>2.4816E-10</v>
      </c>
      <c r="T256" s="783">
        <f ca="1">+'Phase I Pro Forma'!T253/1000000</f>
        <v>2.481600000000001E-10</v>
      </c>
      <c r="U256" s="783">
        <f ca="1">+'Phase I Pro Forma'!U253/1000000</f>
        <v>2.481600000000001E-10</v>
      </c>
      <c r="V256" s="783">
        <f ca="1">+'Phase I Pro Forma'!V253/1000000</f>
        <v>2.7297600000000004E-10</v>
      </c>
      <c r="W256" s="783">
        <f ca="1">+'Phase I Pro Forma'!W253/1000000</f>
        <v>2.7297600000000009E-10</v>
      </c>
      <c r="X256" s="783">
        <f ca="1">+'Phase I Pro Forma'!X253/1000000</f>
        <v>2.7297600000000009E-10</v>
      </c>
      <c r="Y256" s="783">
        <f ca="1">+'Phase I Pro Forma'!Y253/1000000</f>
        <v>2.7297600000000004E-10</v>
      </c>
      <c r="Z256" s="783">
        <f ca="1">+'Phase I Pro Forma'!Z253/1000000</f>
        <v>2.7297600000000009E-10</v>
      </c>
    </row>
    <row r="257" spans="2:26" hidden="1" outlineLevel="1" x14ac:dyDescent="0.2"/>
    <row r="258" spans="2:26" hidden="1" outlineLevel="1" x14ac:dyDescent="0.2">
      <c r="B258" s="147" t="s">
        <v>31</v>
      </c>
      <c r="F258" s="776">
        <f>+F235</f>
        <v>44196</v>
      </c>
      <c r="G258" s="776">
        <f t="shared" ref="G258:Z258" si="81">+G235</f>
        <v>44561</v>
      </c>
      <c r="H258" s="776">
        <f t="shared" si="81"/>
        <v>44926</v>
      </c>
      <c r="I258" s="776">
        <f t="shared" si="81"/>
        <v>45291</v>
      </c>
      <c r="J258" s="776">
        <f t="shared" si="81"/>
        <v>45657</v>
      </c>
      <c r="K258" s="776">
        <f t="shared" si="81"/>
        <v>46022</v>
      </c>
      <c r="L258" s="776">
        <f t="shared" si="81"/>
        <v>46387</v>
      </c>
      <c r="M258" s="776">
        <f t="shared" si="81"/>
        <v>46752</v>
      </c>
      <c r="N258" s="776">
        <f t="shared" si="81"/>
        <v>47118</v>
      </c>
      <c r="O258" s="776">
        <f t="shared" si="81"/>
        <v>47483</v>
      </c>
      <c r="P258" s="776">
        <f t="shared" si="81"/>
        <v>47848</v>
      </c>
      <c r="Q258" s="776">
        <f t="shared" si="81"/>
        <v>48213</v>
      </c>
      <c r="R258" s="776">
        <f t="shared" si="81"/>
        <v>48579</v>
      </c>
      <c r="S258" s="776">
        <f t="shared" si="81"/>
        <v>48944</v>
      </c>
      <c r="T258" s="776">
        <f t="shared" si="81"/>
        <v>49309</v>
      </c>
      <c r="U258" s="776">
        <f t="shared" si="81"/>
        <v>49674</v>
      </c>
      <c r="V258" s="776">
        <f t="shared" si="81"/>
        <v>50040</v>
      </c>
      <c r="W258" s="776">
        <f t="shared" si="81"/>
        <v>50405</v>
      </c>
      <c r="X258" s="776">
        <f t="shared" si="81"/>
        <v>50770</v>
      </c>
      <c r="Y258" s="776">
        <f t="shared" si="81"/>
        <v>51135</v>
      </c>
      <c r="Z258" s="776">
        <f t="shared" si="81"/>
        <v>51501</v>
      </c>
    </row>
    <row r="259" spans="2:26" hidden="1" outlineLevel="1" x14ac:dyDescent="0.2">
      <c r="B259" s="788" t="s">
        <v>331</v>
      </c>
      <c r="C259" s="793"/>
      <c r="D259" s="793"/>
      <c r="E259" s="793"/>
      <c r="F259" s="792">
        <v>0</v>
      </c>
      <c r="G259" s="792">
        <f t="shared" ref="G259:Z259" si="82">+F262</f>
        <v>0</v>
      </c>
      <c r="H259" s="792">
        <f t="shared" si="82"/>
        <v>0</v>
      </c>
      <c r="I259" s="792">
        <f t="shared" si="82"/>
        <v>0</v>
      </c>
      <c r="J259" s="792">
        <f t="shared" ca="1" si="82"/>
        <v>1.5381818181818187E-10</v>
      </c>
      <c r="K259" s="792">
        <f t="shared" ca="1" si="82"/>
        <v>1.5381818181818179E-10</v>
      </c>
      <c r="L259" s="792">
        <f t="shared" ca="1" si="82"/>
        <v>1.5381818181818187E-10</v>
      </c>
      <c r="M259" s="792">
        <f t="shared" ca="1" si="82"/>
        <v>1.5381818181818179E-10</v>
      </c>
      <c r="N259" s="792">
        <f t="shared" ca="1" si="82"/>
        <v>1.5381818181818187E-10</v>
      </c>
      <c r="O259" s="792">
        <f t="shared" ca="1" si="82"/>
        <v>1.5381818181818179E-10</v>
      </c>
      <c r="P259" s="792">
        <f t="shared" ca="1" si="82"/>
        <v>1.5381818181818187E-10</v>
      </c>
      <c r="Q259" s="792">
        <f t="shared" ca="1" si="82"/>
        <v>1.5381818181818179E-10</v>
      </c>
      <c r="R259" s="792">
        <f t="shared" ca="1" si="82"/>
        <v>1.5381818181818187E-10</v>
      </c>
      <c r="S259" s="792">
        <f t="shared" ca="1" si="82"/>
        <v>1.5381818181818179E-10</v>
      </c>
      <c r="T259" s="792">
        <f t="shared" ca="1" si="82"/>
        <v>1.5381818181818187E-10</v>
      </c>
      <c r="U259" s="792">
        <f t="shared" ca="1" si="82"/>
        <v>1.5381818181818179E-10</v>
      </c>
      <c r="V259" s="792">
        <f t="shared" ca="1" si="82"/>
        <v>1.5381818181818187E-10</v>
      </c>
      <c r="W259" s="792">
        <f t="shared" ca="1" si="82"/>
        <v>1.5381818181818179E-10</v>
      </c>
      <c r="X259" s="792">
        <f t="shared" ca="1" si="82"/>
        <v>1.5381818181818187E-10</v>
      </c>
      <c r="Y259" s="792">
        <f t="shared" ca="1" si="82"/>
        <v>1.5381818181818179E-10</v>
      </c>
      <c r="Z259" s="792">
        <f t="shared" ca="1" si="82"/>
        <v>1.5381818181818187E-10</v>
      </c>
    </row>
    <row r="260" spans="2:26" hidden="1" outlineLevel="1" x14ac:dyDescent="0.2">
      <c r="B260" s="32" t="s">
        <v>342</v>
      </c>
      <c r="F260" s="48">
        <f>+'Phase I Pro Forma'!F257/1000000</f>
        <v>0</v>
      </c>
      <c r="G260" s="48">
        <f>+'Phase I Pro Forma'!G257/1000000</f>
        <v>0</v>
      </c>
      <c r="H260" s="48">
        <f>+'Phase I Pro Forma'!H257/1000000</f>
        <v>0</v>
      </c>
      <c r="I260" s="48">
        <f ca="1">+'Phase I Pro Forma'!I257/1000000</f>
        <v>1.5381818181818179E-10</v>
      </c>
      <c r="J260" s="48">
        <f>+'Phase I Pro Forma'!J257/1000000</f>
        <v>0</v>
      </c>
      <c r="K260" s="48">
        <f>+'Phase I Pro Forma'!K257/1000000</f>
        <v>0</v>
      </c>
      <c r="L260" s="48">
        <f>+'Phase I Pro Forma'!L257/1000000</f>
        <v>0</v>
      </c>
      <c r="M260" s="48">
        <f>+'Phase I Pro Forma'!M257/1000000</f>
        <v>0</v>
      </c>
      <c r="N260" s="48">
        <f>+'Phase I Pro Forma'!N257/1000000</f>
        <v>0</v>
      </c>
      <c r="O260" s="48">
        <f>+'Phase I Pro Forma'!O257/1000000</f>
        <v>0</v>
      </c>
      <c r="P260" s="48">
        <f>+'Phase I Pro Forma'!P257/1000000</f>
        <v>0</v>
      </c>
      <c r="Q260" s="48">
        <f>+'Phase I Pro Forma'!Q257/1000000</f>
        <v>0</v>
      </c>
      <c r="R260" s="48">
        <f>+'Phase I Pro Forma'!R257/1000000</f>
        <v>0</v>
      </c>
      <c r="S260" s="48">
        <f>+'Phase I Pro Forma'!S257/1000000</f>
        <v>0</v>
      </c>
      <c r="T260" s="48">
        <f>+'Phase I Pro Forma'!T257/1000000</f>
        <v>0</v>
      </c>
      <c r="U260" s="48">
        <f>+'Phase I Pro Forma'!U257/1000000</f>
        <v>0</v>
      </c>
      <c r="V260" s="48">
        <f>+'Phase I Pro Forma'!V257/1000000</f>
        <v>0</v>
      </c>
      <c r="W260" s="48">
        <f>+'Phase I Pro Forma'!W257/1000000</f>
        <v>0</v>
      </c>
      <c r="X260" s="48">
        <f>+'Phase I Pro Forma'!X257/1000000</f>
        <v>0</v>
      </c>
      <c r="Y260" s="48">
        <f>+'Phase I Pro Forma'!Y257/1000000</f>
        <v>0</v>
      </c>
      <c r="Z260" s="48">
        <f>+'Phase I Pro Forma'!Z257/1000000</f>
        <v>0</v>
      </c>
    </row>
    <row r="261" spans="2:26" hidden="1" outlineLevel="1" x14ac:dyDescent="0.2">
      <c r="B261" s="32" t="s">
        <v>162</v>
      </c>
      <c r="F261" s="772">
        <f>+'Phase I Pro Forma'!F258/1000000</f>
        <v>0</v>
      </c>
      <c r="G261" s="772">
        <f>+'Phase I Pro Forma'!G258/1000000</f>
        <v>0</v>
      </c>
      <c r="H261" s="772">
        <f>+'Phase I Pro Forma'!H258/1000000</f>
        <v>0</v>
      </c>
      <c r="I261" s="772">
        <f>+'Phase I Pro Forma'!I258/1000000</f>
        <v>0</v>
      </c>
      <c r="J261" s="772">
        <f>+'Phase I Pro Forma'!J258/1000000</f>
        <v>0</v>
      </c>
      <c r="K261" s="772">
        <f>+'Phase I Pro Forma'!K258/1000000</f>
        <v>0</v>
      </c>
      <c r="L261" s="772">
        <f>+'Phase I Pro Forma'!L258/1000000</f>
        <v>0</v>
      </c>
      <c r="M261" s="772">
        <f>+'Phase I Pro Forma'!M258/1000000</f>
        <v>0</v>
      </c>
      <c r="N261" s="772">
        <f>+'Phase I Pro Forma'!N258/1000000</f>
        <v>0</v>
      </c>
      <c r="O261" s="772">
        <f>+'Phase I Pro Forma'!O258/1000000</f>
        <v>0</v>
      </c>
      <c r="P261" s="772">
        <f>+'Phase I Pro Forma'!P258/1000000</f>
        <v>0</v>
      </c>
      <c r="Q261" s="772">
        <f>+'Phase I Pro Forma'!Q258/1000000</f>
        <v>0</v>
      </c>
      <c r="R261" s="772">
        <f>+'Phase I Pro Forma'!R258/1000000</f>
        <v>0</v>
      </c>
      <c r="S261" s="772">
        <f>+'Phase I Pro Forma'!S258/1000000</f>
        <v>0</v>
      </c>
      <c r="T261" s="772">
        <f>+'Phase I Pro Forma'!T258/1000000</f>
        <v>0</v>
      </c>
      <c r="U261" s="772">
        <f>+'Phase I Pro Forma'!U258/1000000</f>
        <v>0</v>
      </c>
      <c r="V261" s="772">
        <f>+'Phase I Pro Forma'!V258/1000000</f>
        <v>0</v>
      </c>
      <c r="W261" s="772">
        <f>+'Phase I Pro Forma'!W258/1000000</f>
        <v>0</v>
      </c>
      <c r="X261" s="772">
        <f>+'Phase I Pro Forma'!X258/1000000</f>
        <v>0</v>
      </c>
      <c r="Y261" s="772">
        <f>+'Phase I Pro Forma'!Y258/1000000</f>
        <v>0</v>
      </c>
      <c r="Z261" s="772">
        <f>+'Phase I Pro Forma'!Z258/1000000</f>
        <v>0</v>
      </c>
    </row>
    <row r="262" spans="2:26" hidden="1" outlineLevel="1" x14ac:dyDescent="0.2">
      <c r="B262" s="32" t="s">
        <v>785</v>
      </c>
      <c r="F262" s="772">
        <f t="shared" ref="F262:N262" si="83">+SUM(F259:F261)</f>
        <v>0</v>
      </c>
      <c r="G262" s="772">
        <f t="shared" si="83"/>
        <v>0</v>
      </c>
      <c r="H262" s="772">
        <f t="shared" si="83"/>
        <v>0</v>
      </c>
      <c r="I262" s="772">
        <f t="shared" ca="1" si="83"/>
        <v>1.5381818181818179E-10</v>
      </c>
      <c r="J262" s="772">
        <f t="shared" ca="1" si="83"/>
        <v>1.5381818181818187E-10</v>
      </c>
      <c r="K262" s="772">
        <f t="shared" ca="1" si="83"/>
        <v>1.5381818181818179E-10</v>
      </c>
      <c r="L262" s="772">
        <f t="shared" ca="1" si="83"/>
        <v>1.5381818181818187E-10</v>
      </c>
      <c r="M262" s="772">
        <f t="shared" ca="1" si="83"/>
        <v>1.5381818181818179E-10</v>
      </c>
      <c r="N262" s="772">
        <f t="shared" ca="1" si="83"/>
        <v>1.5381818181818187E-10</v>
      </c>
      <c r="O262" s="772">
        <f t="shared" ref="O262" ca="1" si="84">+SUM(O259:O261)</f>
        <v>1.5381818181818179E-10</v>
      </c>
      <c r="P262" s="772">
        <f t="shared" ref="P262:Z262" ca="1" si="85">+SUM(P259:P261)</f>
        <v>1.5381818181818187E-10</v>
      </c>
      <c r="Q262" s="772">
        <f t="shared" ca="1" si="85"/>
        <v>1.5381818181818179E-10</v>
      </c>
      <c r="R262" s="772">
        <f t="shared" ca="1" si="85"/>
        <v>1.5381818181818187E-10</v>
      </c>
      <c r="S262" s="772">
        <f t="shared" ca="1" si="85"/>
        <v>1.5381818181818179E-10</v>
      </c>
      <c r="T262" s="772">
        <f t="shared" ca="1" si="85"/>
        <v>1.5381818181818187E-10</v>
      </c>
      <c r="U262" s="772">
        <f t="shared" ca="1" si="85"/>
        <v>1.5381818181818179E-10</v>
      </c>
      <c r="V262" s="772">
        <f t="shared" ca="1" si="85"/>
        <v>1.5381818181818187E-10</v>
      </c>
      <c r="W262" s="772">
        <f t="shared" ca="1" si="85"/>
        <v>1.5381818181818179E-10</v>
      </c>
      <c r="X262" s="772">
        <f t="shared" ca="1" si="85"/>
        <v>1.5381818181818187E-10</v>
      </c>
      <c r="Y262" s="772">
        <f t="shared" ca="1" si="85"/>
        <v>1.5381818181818179E-10</v>
      </c>
      <c r="Z262" s="772">
        <f t="shared" ca="1" si="85"/>
        <v>1.5381818181818187E-10</v>
      </c>
    </row>
    <row r="263" spans="2:26" ht="5" hidden="1" customHeight="1" outlineLevel="1" x14ac:dyDescent="0.2"/>
    <row r="264" spans="2:26" hidden="1" outlineLevel="1" x14ac:dyDescent="0.2">
      <c r="B264" s="40" t="s">
        <v>332</v>
      </c>
      <c r="F264" s="48">
        <f>+'Phase I Pro Forma'!F261/1000000</f>
        <v>0</v>
      </c>
      <c r="G264" s="48">
        <f>+'Phase I Pro Forma'!G261/1000000</f>
        <v>0</v>
      </c>
      <c r="H264" s="48">
        <f>+'Phase I Pro Forma'!H261/1000000</f>
        <v>0</v>
      </c>
      <c r="I264" s="48">
        <f ca="1">+'Phase I Pro Forma'!I261/1000000</f>
        <v>8.4599999999999991E-12</v>
      </c>
      <c r="J264" s="48">
        <f ca="1">+'Phase I Pro Forma'!J261/1000000</f>
        <v>8.4600000000000023E-12</v>
      </c>
      <c r="K264" s="48">
        <f ca="1">+'Phase I Pro Forma'!K261/1000000</f>
        <v>8.4599999999999991E-12</v>
      </c>
      <c r="L264" s="48">
        <f ca="1">+'Phase I Pro Forma'!L261/1000000</f>
        <v>8.4600000000000023E-12</v>
      </c>
      <c r="M264" s="48">
        <f ca="1">+'Phase I Pro Forma'!M261/1000000</f>
        <v>8.4599999999999991E-12</v>
      </c>
      <c r="N264" s="48">
        <f ca="1">+'Phase I Pro Forma'!N261/1000000</f>
        <v>8.4600000000000023E-12</v>
      </c>
      <c r="O264" s="48">
        <f ca="1">+'Phase I Pro Forma'!O261/1000000</f>
        <v>8.4599999999999991E-12</v>
      </c>
      <c r="P264" s="48">
        <f ca="1">+'Phase I Pro Forma'!P261/1000000</f>
        <v>8.4600000000000023E-12</v>
      </c>
      <c r="Q264" s="48">
        <f ca="1">+'Phase I Pro Forma'!Q261/1000000</f>
        <v>8.4599999999999991E-12</v>
      </c>
      <c r="R264" s="48">
        <f ca="1">+'Phase I Pro Forma'!R261/1000000</f>
        <v>8.4600000000000023E-12</v>
      </c>
      <c r="S264" s="48">
        <f ca="1">+'Phase I Pro Forma'!S261/1000000</f>
        <v>8.4599999999999991E-12</v>
      </c>
      <c r="T264" s="48">
        <f ca="1">+'Phase I Pro Forma'!T261/1000000</f>
        <v>8.4600000000000023E-12</v>
      </c>
      <c r="U264" s="48">
        <f ca="1">+'Phase I Pro Forma'!U261/1000000</f>
        <v>8.4599999999999991E-12</v>
      </c>
      <c r="V264" s="48">
        <f ca="1">+'Phase I Pro Forma'!V261/1000000</f>
        <v>8.4600000000000023E-12</v>
      </c>
      <c r="W264" s="48">
        <f ca="1">+'Phase I Pro Forma'!W261/1000000</f>
        <v>8.4599999999999991E-12</v>
      </c>
      <c r="X264" s="48">
        <f ca="1">+'Phase I Pro Forma'!X261/1000000</f>
        <v>8.4600000000000023E-12</v>
      </c>
      <c r="Y264" s="48">
        <f ca="1">+'Phase I Pro Forma'!Y261/1000000</f>
        <v>8.4599999999999991E-12</v>
      </c>
      <c r="Z264" s="48">
        <f ca="1">+'Phase I Pro Forma'!Z261/1000000</f>
        <v>8.4600000000000023E-12</v>
      </c>
    </row>
    <row r="265" spans="2:26" hidden="1" outlineLevel="1" x14ac:dyDescent="0.2">
      <c r="B265" s="136" t="s">
        <v>341</v>
      </c>
      <c r="C265" s="136"/>
      <c r="D265" s="136"/>
      <c r="E265" s="136"/>
      <c r="F265" s="773">
        <f t="shared" ref="F265:K265" si="86">+F264-F261</f>
        <v>0</v>
      </c>
      <c r="G265" s="773">
        <f t="shared" si="86"/>
        <v>0</v>
      </c>
      <c r="H265" s="773">
        <f t="shared" si="86"/>
        <v>0</v>
      </c>
      <c r="I265" s="773">
        <f t="shared" ca="1" si="86"/>
        <v>8.4599999999999991E-12</v>
      </c>
      <c r="J265" s="773">
        <f t="shared" ca="1" si="86"/>
        <v>8.4600000000000023E-12</v>
      </c>
      <c r="K265" s="773">
        <f t="shared" ca="1" si="86"/>
        <v>8.4599999999999991E-12</v>
      </c>
      <c r="L265" s="773">
        <f ca="1">+L264-L261</f>
        <v>8.4600000000000023E-12</v>
      </c>
      <c r="M265" s="773">
        <f t="shared" ref="M265:Z265" ca="1" si="87">+M264-M261</f>
        <v>8.4599999999999991E-12</v>
      </c>
      <c r="N265" s="773">
        <f t="shared" ca="1" si="87"/>
        <v>8.4600000000000023E-12</v>
      </c>
      <c r="O265" s="773">
        <f t="shared" ca="1" si="87"/>
        <v>8.4599999999999991E-12</v>
      </c>
      <c r="P265" s="773">
        <f t="shared" ca="1" si="87"/>
        <v>8.4600000000000023E-12</v>
      </c>
      <c r="Q265" s="773">
        <f t="shared" ca="1" si="87"/>
        <v>8.4599999999999991E-12</v>
      </c>
      <c r="R265" s="773">
        <f t="shared" ca="1" si="87"/>
        <v>8.4600000000000023E-12</v>
      </c>
      <c r="S265" s="773">
        <f t="shared" ca="1" si="87"/>
        <v>8.4599999999999991E-12</v>
      </c>
      <c r="T265" s="773">
        <f t="shared" ca="1" si="87"/>
        <v>8.4600000000000023E-12</v>
      </c>
      <c r="U265" s="773">
        <f t="shared" ca="1" si="87"/>
        <v>8.4599999999999991E-12</v>
      </c>
      <c r="V265" s="773">
        <f t="shared" ca="1" si="87"/>
        <v>8.4600000000000023E-12</v>
      </c>
      <c r="W265" s="773">
        <f t="shared" ca="1" si="87"/>
        <v>8.4599999999999991E-12</v>
      </c>
      <c r="X265" s="773">
        <f t="shared" ca="1" si="87"/>
        <v>8.4600000000000023E-12</v>
      </c>
      <c r="Y265" s="773">
        <f t="shared" ca="1" si="87"/>
        <v>8.4599999999999991E-12</v>
      </c>
      <c r="Z265" s="773">
        <f t="shared" ca="1" si="87"/>
        <v>8.4600000000000023E-12</v>
      </c>
    </row>
    <row r="266" spans="2:26" hidden="1" outlineLevel="1" x14ac:dyDescent="0.2">
      <c r="B266" s="145" t="s">
        <v>181</v>
      </c>
      <c r="F266" s="178" t="str">
        <f t="shared" ref="F266:J266" ca="1" si="88">+IFERROR(F254/F265,"")</f>
        <v/>
      </c>
      <c r="G266" s="178" t="str">
        <f t="shared" ca="1" si="88"/>
        <v/>
      </c>
      <c r="H266" s="178" t="str">
        <f t="shared" ca="1" si="88"/>
        <v/>
      </c>
      <c r="I266" s="178">
        <f t="shared" ca="1" si="88"/>
        <v>0.66666666666666652</v>
      </c>
      <c r="J266" s="178">
        <f t="shared" ca="1" si="88"/>
        <v>1.3333333333333328</v>
      </c>
      <c r="K266" s="178">
        <f ca="1">+IFERROR(K254/K265,"")</f>
        <v>1.333333333333333</v>
      </c>
      <c r="L266" s="178">
        <f t="shared" ref="L266:Z266" ca="1" si="89">+IFERROR(L254/L265,"")</f>
        <v>1.4666666666666661</v>
      </c>
      <c r="M266" s="178">
        <f t="shared" ca="1" si="89"/>
        <v>1.466666666666667</v>
      </c>
      <c r="N266" s="178">
        <f t="shared" ca="1" si="89"/>
        <v>1.4666666666666659</v>
      </c>
      <c r="O266" s="178">
        <f t="shared" ca="1" si="89"/>
        <v>1.4666666666666663</v>
      </c>
      <c r="P266" s="178">
        <f t="shared" ca="1" si="89"/>
        <v>1.4666666666666659</v>
      </c>
      <c r="Q266" s="178">
        <f t="shared" ca="1" si="89"/>
        <v>1.613333333333334</v>
      </c>
      <c r="R266" s="178">
        <f t="shared" ca="1" si="89"/>
        <v>1.6133333333333328</v>
      </c>
      <c r="S266" s="178">
        <f t="shared" ca="1" si="89"/>
        <v>1.6133333333333335</v>
      </c>
      <c r="T266" s="178">
        <f t="shared" ca="1" si="89"/>
        <v>1.6133333333333335</v>
      </c>
      <c r="U266" s="178">
        <f t="shared" ca="1" si="89"/>
        <v>1.613333333333334</v>
      </c>
      <c r="V266" s="178">
        <f t="shared" ca="1" si="89"/>
        <v>1.7746666666666666</v>
      </c>
      <c r="W266" s="178">
        <f t="shared" ca="1" si="89"/>
        <v>1.7746666666666673</v>
      </c>
      <c r="X266" s="178">
        <f t="shared" ca="1" si="89"/>
        <v>1.7746666666666668</v>
      </c>
      <c r="Y266" s="178">
        <f t="shared" ca="1" si="89"/>
        <v>1.7746666666666673</v>
      </c>
      <c r="Z266" s="178">
        <f t="shared" ca="1" si="89"/>
        <v>1.7746666666666666</v>
      </c>
    </row>
    <row r="267" spans="2:26" ht="5" hidden="1" customHeight="1" outlineLevel="1" x14ac:dyDescent="0.2"/>
    <row r="268" spans="2:26" hidden="1" outlineLevel="1" x14ac:dyDescent="0.2">
      <c r="B268" s="40" t="s">
        <v>156</v>
      </c>
      <c r="F268" s="48">
        <f>+'Phase I Pro Forma'!F265/1000000</f>
        <v>0</v>
      </c>
      <c r="G268" s="48">
        <f>+'Phase I Pro Forma'!G265/1000000</f>
        <v>0</v>
      </c>
      <c r="H268" s="48">
        <f>+'Phase I Pro Forma'!H265/1000000</f>
        <v>0</v>
      </c>
      <c r="I268" s="48">
        <f ca="1">+'Phase I Pro Forma'!I265/1000000</f>
        <v>1.1536363636363632E-12</v>
      </c>
      <c r="J268" s="48">
        <f>+'Phase I Pro Forma'!J265/1000000</f>
        <v>0</v>
      </c>
      <c r="K268" s="48">
        <f>+'Phase I Pro Forma'!K265/1000000</f>
        <v>0</v>
      </c>
      <c r="L268" s="48">
        <f>+'Phase I Pro Forma'!L265/1000000</f>
        <v>0</v>
      </c>
      <c r="M268" s="48">
        <f>+'Phase I Pro Forma'!M265/1000000</f>
        <v>0</v>
      </c>
      <c r="N268" s="48">
        <f>+'Phase I Pro Forma'!N265/1000000</f>
        <v>0</v>
      </c>
      <c r="O268" s="48">
        <f>+'Phase I Pro Forma'!O265/1000000</f>
        <v>0</v>
      </c>
      <c r="P268" s="48">
        <f>+'Phase I Pro Forma'!P265/1000000</f>
        <v>0</v>
      </c>
      <c r="Q268" s="48">
        <f>+'Phase I Pro Forma'!Q265/1000000</f>
        <v>0</v>
      </c>
      <c r="R268" s="48">
        <f>+'Phase I Pro Forma'!R265/1000000</f>
        <v>0</v>
      </c>
      <c r="S268" s="48">
        <f>+'Phase I Pro Forma'!S265/1000000</f>
        <v>0</v>
      </c>
      <c r="T268" s="48">
        <f>+'Phase I Pro Forma'!T265/1000000</f>
        <v>0</v>
      </c>
      <c r="U268" s="48">
        <f>+'Phase I Pro Forma'!U265/1000000</f>
        <v>0</v>
      </c>
      <c r="V268" s="48">
        <f>+'Phase I Pro Forma'!V265/1000000</f>
        <v>0</v>
      </c>
      <c r="W268" s="48">
        <f>+'Phase I Pro Forma'!W265/1000000</f>
        <v>0</v>
      </c>
      <c r="X268" s="48">
        <f>+'Phase I Pro Forma'!X265/1000000</f>
        <v>0</v>
      </c>
      <c r="Y268" s="48">
        <f>+'Phase I Pro Forma'!Y265/1000000</f>
        <v>0</v>
      </c>
      <c r="Z268" s="48">
        <f>+'Phase I Pro Forma'!Z265/1000000</f>
        <v>0</v>
      </c>
    </row>
    <row r="269" spans="2:26" ht="5" hidden="1" customHeight="1" outlineLevel="1" x14ac:dyDescent="0.2"/>
    <row r="270" spans="2:26" hidden="1" outlineLevel="1" x14ac:dyDescent="0.2">
      <c r="B270" s="136" t="s">
        <v>334</v>
      </c>
      <c r="C270" s="136"/>
      <c r="D270" s="136"/>
      <c r="E270" s="136"/>
      <c r="F270" s="773">
        <f ca="1">+F254-F265-F268</f>
        <v>0</v>
      </c>
      <c r="G270" s="773">
        <f t="shared" ref="G270:Z270" ca="1" si="90">+G254-G265-G268</f>
        <v>0</v>
      </c>
      <c r="H270" s="773">
        <f t="shared" ca="1" si="90"/>
        <v>0</v>
      </c>
      <c r="I270" s="773">
        <f t="shared" ca="1" si="90"/>
        <v>-3.9736363636363639E-12</v>
      </c>
      <c r="J270" s="773">
        <f t="shared" ca="1" si="90"/>
        <v>2.8199999999999965E-12</v>
      </c>
      <c r="K270" s="773">
        <f t="shared" ca="1" si="90"/>
        <v>2.8199999999999981E-12</v>
      </c>
      <c r="L270" s="773">
        <f t="shared" ca="1" si="90"/>
        <v>3.9479999999999957E-12</v>
      </c>
      <c r="M270" s="773">
        <f t="shared" ca="1" si="90"/>
        <v>3.9480000000000022E-12</v>
      </c>
      <c r="N270" s="773">
        <f t="shared" ca="1" si="90"/>
        <v>3.9479999999999941E-12</v>
      </c>
      <c r="O270" s="773">
        <f t="shared" ca="1" si="90"/>
        <v>3.9479999999999973E-12</v>
      </c>
      <c r="P270" s="773">
        <f t="shared" ca="1" si="90"/>
        <v>3.9479999999999941E-12</v>
      </c>
      <c r="Q270" s="773">
        <f t="shared" ca="1" si="90"/>
        <v>5.1888000000000039E-12</v>
      </c>
      <c r="R270" s="773">
        <f t="shared" ca="1" si="90"/>
        <v>5.1887999999999974E-12</v>
      </c>
      <c r="S270" s="773">
        <f t="shared" ca="1" si="90"/>
        <v>5.1888000000000007E-12</v>
      </c>
      <c r="T270" s="773">
        <f t="shared" ca="1" si="90"/>
        <v>5.1888000000000023E-12</v>
      </c>
      <c r="U270" s="773">
        <f t="shared" ca="1" si="90"/>
        <v>5.1888000000000055E-12</v>
      </c>
      <c r="V270" s="773">
        <f t="shared" ca="1" si="90"/>
        <v>6.5536800000000008E-12</v>
      </c>
      <c r="W270" s="773">
        <f t="shared" ca="1" si="90"/>
        <v>6.553680000000004E-12</v>
      </c>
      <c r="X270" s="773">
        <f t="shared" ca="1" si="90"/>
        <v>6.553680000000004E-12</v>
      </c>
      <c r="Y270" s="773">
        <f t="shared" ca="1" si="90"/>
        <v>6.553680000000004E-12</v>
      </c>
      <c r="Z270" s="773">
        <f t="shared" ca="1" si="90"/>
        <v>6.5536800000000008E-12</v>
      </c>
    </row>
    <row r="271" spans="2:26" ht="5" hidden="1" customHeight="1" outlineLevel="1" x14ac:dyDescent="0.2"/>
    <row r="272" spans="2:26" hidden="1" outlineLevel="1" x14ac:dyDescent="0.2">
      <c r="B272" s="147" t="s">
        <v>335</v>
      </c>
    </row>
    <row r="273" spans="2:26" hidden="1" outlineLevel="1" x14ac:dyDescent="0.2">
      <c r="B273" s="32" t="s">
        <v>336</v>
      </c>
      <c r="F273" s="48">
        <f>+'Phase I Pro Forma'!F270/1000000</f>
        <v>0</v>
      </c>
      <c r="G273" s="48">
        <f>+'Phase I Pro Forma'!G270/1000000</f>
        <v>0</v>
      </c>
      <c r="H273" s="48">
        <f>+'Phase I Pro Forma'!H270/1000000</f>
        <v>0</v>
      </c>
      <c r="I273" s="48">
        <f>+'Phase I Pro Forma'!I270/1000000</f>
        <v>0</v>
      </c>
      <c r="J273" s="48">
        <f>+'Phase I Pro Forma'!J270/1000000</f>
        <v>0</v>
      </c>
      <c r="K273" s="48">
        <f>+'Phase I Pro Forma'!K270/1000000</f>
        <v>0</v>
      </c>
      <c r="L273" s="48">
        <f>+'Phase I Pro Forma'!L270/1000000</f>
        <v>0</v>
      </c>
      <c r="M273" s="48">
        <f>+'Phase I Pro Forma'!M270/1000000</f>
        <v>0</v>
      </c>
      <c r="N273" s="48">
        <f>+'Phase I Pro Forma'!N270/1000000</f>
        <v>0</v>
      </c>
      <c r="O273" s="48">
        <f>+'Phase I Pro Forma'!O270/1000000</f>
        <v>0</v>
      </c>
      <c r="P273" s="48">
        <f ca="1">+'Phase I Pro Forma'!P270/1000000</f>
        <v>2.2559999999999995E-10</v>
      </c>
      <c r="Q273" s="48">
        <f>+'Phase I Pro Forma'!Q270/1000000</f>
        <v>0</v>
      </c>
      <c r="R273" s="48">
        <f>+'Phase I Pro Forma'!R270/1000000</f>
        <v>0</v>
      </c>
      <c r="S273" s="48">
        <f>+'Phase I Pro Forma'!S270/1000000</f>
        <v>0</v>
      </c>
      <c r="T273" s="48">
        <f>+'Phase I Pro Forma'!T270/1000000</f>
        <v>0</v>
      </c>
      <c r="U273" s="48">
        <f>+'Phase I Pro Forma'!U270/1000000</f>
        <v>0</v>
      </c>
      <c r="V273" s="48">
        <f>+'Phase I Pro Forma'!V270/1000000</f>
        <v>0</v>
      </c>
      <c r="W273" s="48">
        <f>+'Phase I Pro Forma'!W270/1000000</f>
        <v>0</v>
      </c>
      <c r="X273" s="48">
        <f>+'Phase I Pro Forma'!X270/1000000</f>
        <v>0</v>
      </c>
      <c r="Y273" s="48">
        <f>+'Phase I Pro Forma'!Y270/1000000</f>
        <v>0</v>
      </c>
      <c r="Z273" s="48">
        <f>+'Phase I Pro Forma'!Z270/1000000</f>
        <v>0</v>
      </c>
    </row>
    <row r="274" spans="2:26" hidden="1" outlineLevel="1" x14ac:dyDescent="0.2">
      <c r="B274" s="32" t="s">
        <v>337</v>
      </c>
      <c r="F274" s="772">
        <f>+'Phase I Pro Forma'!F271/1000000</f>
        <v>0</v>
      </c>
      <c r="G274" s="772">
        <f>+'Phase I Pro Forma'!G271/1000000</f>
        <v>0</v>
      </c>
      <c r="H274" s="772">
        <f>+'Phase I Pro Forma'!H271/1000000</f>
        <v>0</v>
      </c>
      <c r="I274" s="772">
        <f>+'Phase I Pro Forma'!I271/1000000</f>
        <v>0</v>
      </c>
      <c r="J274" s="772">
        <f>+'Phase I Pro Forma'!J271/1000000</f>
        <v>0</v>
      </c>
      <c r="K274" s="772">
        <f>+'Phase I Pro Forma'!K271/1000000</f>
        <v>0</v>
      </c>
      <c r="L274" s="772">
        <f>+'Phase I Pro Forma'!L271/1000000</f>
        <v>0</v>
      </c>
      <c r="M274" s="772">
        <f>+'Phase I Pro Forma'!M271/1000000</f>
        <v>0</v>
      </c>
      <c r="N274" s="772">
        <f>+'Phase I Pro Forma'!N271/1000000</f>
        <v>0</v>
      </c>
      <c r="O274" s="772">
        <f>+'Phase I Pro Forma'!O271/1000000</f>
        <v>0</v>
      </c>
      <c r="P274" s="772">
        <f ca="1">+'Phase I Pro Forma'!P271/1000000</f>
        <v>-4.5119999999999994E-12</v>
      </c>
      <c r="Q274" s="772">
        <f>+'Phase I Pro Forma'!Q271/1000000</f>
        <v>0</v>
      </c>
      <c r="R274" s="772">
        <f>+'Phase I Pro Forma'!R271/1000000</f>
        <v>0</v>
      </c>
      <c r="S274" s="772">
        <f>+'Phase I Pro Forma'!S271/1000000</f>
        <v>0</v>
      </c>
      <c r="T274" s="772">
        <f>+'Phase I Pro Forma'!T271/1000000</f>
        <v>0</v>
      </c>
      <c r="U274" s="772">
        <f>+'Phase I Pro Forma'!U271/1000000</f>
        <v>0</v>
      </c>
      <c r="V274" s="772">
        <f>+'Phase I Pro Forma'!V271/1000000</f>
        <v>0</v>
      </c>
      <c r="W274" s="772">
        <f>+'Phase I Pro Forma'!W271/1000000</f>
        <v>0</v>
      </c>
      <c r="X274" s="772">
        <f>+'Phase I Pro Forma'!X271/1000000</f>
        <v>0</v>
      </c>
      <c r="Y274" s="772">
        <f>+'Phase I Pro Forma'!Y271/1000000</f>
        <v>0</v>
      </c>
      <c r="Z274" s="772">
        <f>+'Phase I Pro Forma'!Z271/1000000</f>
        <v>0</v>
      </c>
    </row>
    <row r="275" spans="2:26" hidden="1" outlineLevel="1" x14ac:dyDescent="0.2">
      <c r="B275" s="32" t="s">
        <v>338</v>
      </c>
      <c r="F275" s="772">
        <f>+'Phase I Pro Forma'!F272/1000000</f>
        <v>0</v>
      </c>
      <c r="G275" s="772">
        <f>+'Phase I Pro Forma'!G272/1000000</f>
        <v>0</v>
      </c>
      <c r="H275" s="772">
        <f>+'Phase I Pro Forma'!H272/1000000</f>
        <v>0</v>
      </c>
      <c r="I275" s="772">
        <f>+'Phase I Pro Forma'!I272/1000000</f>
        <v>0</v>
      </c>
      <c r="J275" s="772">
        <f>+'Phase I Pro Forma'!J272/1000000</f>
        <v>0</v>
      </c>
      <c r="K275" s="772">
        <f>+'Phase I Pro Forma'!K272/1000000</f>
        <v>0</v>
      </c>
      <c r="L275" s="772">
        <f>+'Phase I Pro Forma'!L272/1000000</f>
        <v>0</v>
      </c>
      <c r="M275" s="772">
        <f>+'Phase I Pro Forma'!M272/1000000</f>
        <v>0</v>
      </c>
      <c r="N275" s="772">
        <f>+'Phase I Pro Forma'!N272/1000000</f>
        <v>0</v>
      </c>
      <c r="O275" s="772">
        <f>+'Phase I Pro Forma'!O272/1000000</f>
        <v>0</v>
      </c>
      <c r="P275" s="772">
        <f ca="1">+'Phase I Pro Forma'!P272/1000000</f>
        <v>-1.5381818181818187E-10</v>
      </c>
      <c r="Q275" s="772">
        <f>+'Phase I Pro Forma'!Q272/1000000</f>
        <v>0</v>
      </c>
      <c r="R275" s="772">
        <f>+'Phase I Pro Forma'!R272/1000000</f>
        <v>0</v>
      </c>
      <c r="S275" s="772">
        <f>+'Phase I Pro Forma'!S272/1000000</f>
        <v>0</v>
      </c>
      <c r="T275" s="772">
        <f>+'Phase I Pro Forma'!T272/1000000</f>
        <v>0</v>
      </c>
      <c r="U275" s="772">
        <f>+'Phase I Pro Forma'!U272/1000000</f>
        <v>0</v>
      </c>
      <c r="V275" s="772">
        <f>+'Phase I Pro Forma'!V272/1000000</f>
        <v>0</v>
      </c>
      <c r="W275" s="772">
        <f>+'Phase I Pro Forma'!W272/1000000</f>
        <v>0</v>
      </c>
      <c r="X275" s="772">
        <f>+'Phase I Pro Forma'!X272/1000000</f>
        <v>0</v>
      </c>
      <c r="Y275" s="772">
        <f>+'Phase I Pro Forma'!Y272/1000000</f>
        <v>0</v>
      </c>
      <c r="Z275" s="772">
        <f>+'Phase I Pro Forma'!Z272/1000000</f>
        <v>0</v>
      </c>
    </row>
    <row r="276" spans="2:26" hidden="1" outlineLevel="1" x14ac:dyDescent="0.2">
      <c r="B276" s="136" t="s">
        <v>339</v>
      </c>
      <c r="C276" s="136"/>
      <c r="D276" s="136"/>
      <c r="E276" s="136"/>
      <c r="F276" s="773">
        <f t="shared" ref="F276:Z276" si="91">+SUM(F273:F275)</f>
        <v>0</v>
      </c>
      <c r="G276" s="773">
        <f t="shared" si="91"/>
        <v>0</v>
      </c>
      <c r="H276" s="773">
        <f t="shared" si="91"/>
        <v>0</v>
      </c>
      <c r="I276" s="773">
        <f t="shared" si="91"/>
        <v>0</v>
      </c>
      <c r="J276" s="773">
        <f t="shared" si="91"/>
        <v>0</v>
      </c>
      <c r="K276" s="773">
        <f t="shared" si="91"/>
        <v>0</v>
      </c>
      <c r="L276" s="773">
        <f t="shared" si="91"/>
        <v>0</v>
      </c>
      <c r="M276" s="773">
        <f t="shared" si="91"/>
        <v>0</v>
      </c>
      <c r="N276" s="773">
        <f t="shared" si="91"/>
        <v>0</v>
      </c>
      <c r="O276" s="773">
        <f t="shared" si="91"/>
        <v>0</v>
      </c>
      <c r="P276" s="773">
        <f t="shared" ca="1" si="91"/>
        <v>6.7269818181818075E-11</v>
      </c>
      <c r="Q276" s="773">
        <f t="shared" si="91"/>
        <v>0</v>
      </c>
      <c r="R276" s="773">
        <f t="shared" si="91"/>
        <v>0</v>
      </c>
      <c r="S276" s="773">
        <f t="shared" si="91"/>
        <v>0</v>
      </c>
      <c r="T276" s="773">
        <f t="shared" si="91"/>
        <v>0</v>
      </c>
      <c r="U276" s="773">
        <f t="shared" si="91"/>
        <v>0</v>
      </c>
      <c r="V276" s="773">
        <f t="shared" si="91"/>
        <v>0</v>
      </c>
      <c r="W276" s="773">
        <f t="shared" si="91"/>
        <v>0</v>
      </c>
      <c r="X276" s="773">
        <f t="shared" si="91"/>
        <v>0</v>
      </c>
      <c r="Y276" s="773">
        <f t="shared" si="91"/>
        <v>0</v>
      </c>
      <c r="Z276" s="773">
        <f t="shared" si="91"/>
        <v>0</v>
      </c>
    </row>
    <row r="277" spans="2:26" ht="5" hidden="1" customHeight="1" outlineLevel="1" x14ac:dyDescent="0.2"/>
    <row r="278" spans="2:26" hidden="1" outlineLevel="1" x14ac:dyDescent="0.2">
      <c r="B278" s="137" t="s">
        <v>792</v>
      </c>
      <c r="C278" s="137"/>
      <c r="D278" s="137"/>
      <c r="E278" s="137"/>
      <c r="F278" s="774">
        <f ca="1">+'Phase I Pro Forma'!F275/1000000</f>
        <v>0</v>
      </c>
      <c r="G278" s="774">
        <f ca="1">+'Phase I Pro Forma'!G275/1000000</f>
        <v>0</v>
      </c>
      <c r="H278" s="774">
        <f ca="1">+'Phase I Pro Forma'!H275/1000000</f>
        <v>0</v>
      </c>
      <c r="I278" s="774">
        <f ca="1">+'Phase I Pro Forma'!I275/1000000</f>
        <v>-3.9736363636363631E-12</v>
      </c>
      <c r="J278" s="774">
        <f ca="1">+'Phase I Pro Forma'!J275/1000000</f>
        <v>2.8199999999999969E-12</v>
      </c>
      <c r="K278" s="774">
        <f ca="1">+'Phase I Pro Forma'!K275/1000000</f>
        <v>2.8199999999999985E-12</v>
      </c>
      <c r="L278" s="774">
        <f ca="1">+'Phase I Pro Forma'!L275/1000000</f>
        <v>3.9479999999999965E-12</v>
      </c>
      <c r="M278" s="774">
        <f ca="1">+'Phase I Pro Forma'!M275/1000000</f>
        <v>3.9480000000000022E-12</v>
      </c>
      <c r="N278" s="774">
        <f ca="1">+'Phase I Pro Forma'!N275/1000000</f>
        <v>3.9479999999999949E-12</v>
      </c>
      <c r="O278" s="774">
        <f ca="1">+'Phase I Pro Forma'!O275/1000000</f>
        <v>3.9479999999999981E-12</v>
      </c>
      <c r="P278" s="774">
        <f ca="1">+'Phase I Pro Forma'!P275/1000000</f>
        <v>7.1217818181818093E-11</v>
      </c>
      <c r="Q278" s="774">
        <f>+'Phase I Pro Forma'!Q275/1000000</f>
        <v>0</v>
      </c>
      <c r="R278" s="774">
        <f>+'Phase I Pro Forma'!R275/1000000</f>
        <v>0</v>
      </c>
      <c r="S278" s="774">
        <f>+'Phase I Pro Forma'!S275/1000000</f>
        <v>0</v>
      </c>
      <c r="T278" s="774">
        <f>+'Phase I Pro Forma'!T275/1000000</f>
        <v>0</v>
      </c>
      <c r="U278" s="774">
        <f>+'Phase I Pro Forma'!U275/1000000</f>
        <v>0</v>
      </c>
      <c r="V278" s="774">
        <f>+'Phase I Pro Forma'!V275/1000000</f>
        <v>0</v>
      </c>
      <c r="W278" s="774">
        <f>+'Phase I Pro Forma'!W275/1000000</f>
        <v>0</v>
      </c>
      <c r="X278" s="774">
        <f>+'Phase I Pro Forma'!X275/1000000</f>
        <v>0</v>
      </c>
      <c r="Y278" s="774">
        <f>+'Phase I Pro Forma'!Y275/1000000</f>
        <v>0</v>
      </c>
      <c r="Z278" s="774">
        <f>+'Phase I Pro Forma'!Z275/1000000</f>
        <v>0</v>
      </c>
    </row>
    <row r="279" spans="2:26" hidden="1" outlineLevel="1" x14ac:dyDescent="0.2"/>
    <row r="280" spans="2:26" outlineLevel="1" x14ac:dyDescent="0.2">
      <c r="B280" s="137" t="s">
        <v>356</v>
      </c>
      <c r="C280" s="137"/>
      <c r="D280" s="137"/>
      <c r="E280" s="137"/>
      <c r="F280" s="774">
        <f t="shared" ref="F280:Z280" ca="1" si="92">+F278+F233+F163</f>
        <v>0</v>
      </c>
      <c r="G280" s="774">
        <f t="shared" ca="1" si="92"/>
        <v>0</v>
      </c>
      <c r="H280" s="774">
        <f t="shared" ca="1" si="92"/>
        <v>0</v>
      </c>
      <c r="I280" s="774">
        <f t="shared" ca="1" si="92"/>
        <v>24.891988041406083</v>
      </c>
      <c r="J280" s="774">
        <f t="shared" ca="1" si="92"/>
        <v>5.2781322857078523</v>
      </c>
      <c r="K280" s="774">
        <f t="shared" ca="1" si="92"/>
        <v>5.8965986043395855</v>
      </c>
      <c r="L280" s="774">
        <f t="shared" ca="1" si="92"/>
        <v>7.6781267557921398</v>
      </c>
      <c r="M280" s="774">
        <f t="shared" ca="1" si="92"/>
        <v>8.0047529827835167</v>
      </c>
      <c r="N280" s="774">
        <f t="shared" ca="1" si="92"/>
        <v>8.4493152071530115</v>
      </c>
      <c r="O280" s="774">
        <f t="shared" ca="1" si="92"/>
        <v>8.905274030542099</v>
      </c>
      <c r="P280" s="774">
        <f t="shared" ca="1" si="92"/>
        <v>217.09243351967058</v>
      </c>
      <c r="Q280" s="774">
        <f t="shared" si="92"/>
        <v>0</v>
      </c>
      <c r="R280" s="774">
        <f t="shared" si="92"/>
        <v>0</v>
      </c>
      <c r="S280" s="774">
        <f t="shared" si="92"/>
        <v>0</v>
      </c>
      <c r="T280" s="774">
        <f t="shared" si="92"/>
        <v>0</v>
      </c>
      <c r="U280" s="774">
        <f t="shared" si="92"/>
        <v>0</v>
      </c>
      <c r="V280" s="774">
        <f t="shared" si="92"/>
        <v>0</v>
      </c>
      <c r="W280" s="774">
        <f t="shared" si="92"/>
        <v>0</v>
      </c>
      <c r="X280" s="774">
        <f t="shared" si="92"/>
        <v>0</v>
      </c>
      <c r="Y280" s="774">
        <f t="shared" si="92"/>
        <v>0</v>
      </c>
      <c r="Z280" s="774">
        <f t="shared" si="92"/>
        <v>0</v>
      </c>
    </row>
    <row r="281" spans="2:26" s="793" customFormat="1" hidden="1" x14ac:dyDescent="0.2"/>
    <row r="282" spans="2:26" s="793" customFormat="1" hidden="1" x14ac:dyDescent="0.2">
      <c r="B282" s="793" t="s">
        <v>442</v>
      </c>
      <c r="F282" s="792">
        <f ca="1">+F157+F303</f>
        <v>0</v>
      </c>
      <c r="G282" s="792">
        <f t="shared" ref="G282:Z282" ca="1" si="93">+G157+G303</f>
        <v>137.04844276144266</v>
      </c>
      <c r="H282" s="792">
        <f t="shared" ca="1" si="93"/>
        <v>102.74768357681528</v>
      </c>
      <c r="I282" s="792">
        <f t="shared" ca="1" si="93"/>
        <v>34.97156891737437</v>
      </c>
      <c r="J282" s="792">
        <f t="shared" ca="1" si="93"/>
        <v>0</v>
      </c>
      <c r="K282" s="792">
        <f t="shared" ca="1" si="93"/>
        <v>0</v>
      </c>
      <c r="L282" s="792">
        <f t="shared" ca="1" si="93"/>
        <v>0</v>
      </c>
      <c r="M282" s="792">
        <f t="shared" ca="1" si="93"/>
        <v>0</v>
      </c>
      <c r="N282" s="792">
        <f t="shared" ca="1" si="93"/>
        <v>0</v>
      </c>
      <c r="O282" s="792">
        <f t="shared" ca="1" si="93"/>
        <v>0</v>
      </c>
      <c r="P282" s="792">
        <f t="shared" ca="1" si="93"/>
        <v>0</v>
      </c>
      <c r="Q282" s="792">
        <f t="shared" ca="1" si="93"/>
        <v>0</v>
      </c>
      <c r="R282" s="792">
        <f t="shared" ca="1" si="93"/>
        <v>0</v>
      </c>
      <c r="S282" s="792">
        <f t="shared" ca="1" si="93"/>
        <v>0</v>
      </c>
      <c r="T282" s="792">
        <f t="shared" ca="1" si="93"/>
        <v>0</v>
      </c>
      <c r="U282" s="792">
        <f t="shared" ca="1" si="93"/>
        <v>0</v>
      </c>
      <c r="V282" s="792">
        <f t="shared" ca="1" si="93"/>
        <v>0</v>
      </c>
      <c r="W282" s="792">
        <f t="shared" ca="1" si="93"/>
        <v>0</v>
      </c>
      <c r="X282" s="792">
        <f t="shared" ca="1" si="93"/>
        <v>0</v>
      </c>
      <c r="Y282" s="792">
        <f t="shared" ca="1" si="93"/>
        <v>0</v>
      </c>
      <c r="Z282" s="792">
        <f t="shared" ca="1" si="93"/>
        <v>0</v>
      </c>
    </row>
    <row r="283" spans="2:26" s="793" customFormat="1" hidden="1" x14ac:dyDescent="0.2">
      <c r="B283" s="793" t="s">
        <v>501</v>
      </c>
      <c r="F283" s="792">
        <f ca="1">-F275+F265-F230+F220-F159+F148+F223+F151+F268</f>
        <v>0</v>
      </c>
      <c r="G283" s="792">
        <f t="shared" ref="G283:Z283" ca="1" si="94">-G275+G265-G230+G220-G159+G148+G223+G151+G268</f>
        <v>0</v>
      </c>
      <c r="H283" s="792">
        <f t="shared" ca="1" si="94"/>
        <v>0</v>
      </c>
      <c r="I283" s="792">
        <f t="shared" ca="1" si="94"/>
        <v>22.236112795499558</v>
      </c>
      <c r="J283" s="792">
        <f t="shared" ca="1" si="94"/>
        <v>20.021624698411777</v>
      </c>
      <c r="K283" s="792">
        <f t="shared" ca="1" si="94"/>
        <v>20.021624698411774</v>
      </c>
      <c r="L283" s="792">
        <f t="shared" ca="1" si="94"/>
        <v>20.02162469841177</v>
      </c>
      <c r="M283" s="792">
        <f t="shared" ca="1" si="94"/>
        <v>20.021624698411774</v>
      </c>
      <c r="N283" s="792">
        <f t="shared" ca="1" si="94"/>
        <v>20.021624698411774</v>
      </c>
      <c r="O283" s="792">
        <f t="shared" ca="1" si="94"/>
        <v>20.021624698411774</v>
      </c>
      <c r="P283" s="792">
        <f t="shared" ca="1" si="94"/>
        <v>269.90769434074241</v>
      </c>
      <c r="Q283" s="792">
        <f t="shared" ca="1" si="94"/>
        <v>20.021624698411774</v>
      </c>
      <c r="R283" s="792">
        <f t="shared" ca="1" si="94"/>
        <v>20.02162469841177</v>
      </c>
      <c r="S283" s="792">
        <f t="shared" ca="1" si="94"/>
        <v>20.021624698411774</v>
      </c>
      <c r="T283" s="792">
        <f t="shared" ca="1" si="94"/>
        <v>20.021624698411774</v>
      </c>
      <c r="U283" s="792">
        <f t="shared" ca="1" si="94"/>
        <v>20.021624698411777</v>
      </c>
      <c r="V283" s="792">
        <f t="shared" ca="1" si="94"/>
        <v>20.021624698411774</v>
      </c>
      <c r="W283" s="792">
        <f t="shared" ca="1" si="94"/>
        <v>20.021624698411774</v>
      </c>
      <c r="X283" s="792">
        <f t="shared" ca="1" si="94"/>
        <v>20.02162469841177</v>
      </c>
      <c r="Y283" s="792">
        <f t="shared" ca="1" si="94"/>
        <v>20.02162469841177</v>
      </c>
      <c r="Z283" s="792">
        <f t="shared" ca="1" si="94"/>
        <v>20.021624698411774</v>
      </c>
    </row>
    <row r="285" spans="2:26" x14ac:dyDescent="0.2">
      <c r="B285" s="36" t="s">
        <v>346</v>
      </c>
      <c r="C285" s="37"/>
      <c r="D285" s="37"/>
      <c r="E285" s="37"/>
      <c r="F285" s="135">
        <f>+F287</f>
        <v>44196</v>
      </c>
      <c r="G285" s="135">
        <f t="shared" ref="G285:Z285" si="95">+G287</f>
        <v>44561</v>
      </c>
      <c r="H285" s="135">
        <f t="shared" si="95"/>
        <v>44926</v>
      </c>
      <c r="I285" s="135">
        <f t="shared" si="95"/>
        <v>45291</v>
      </c>
      <c r="J285" s="135">
        <f t="shared" si="95"/>
        <v>45657</v>
      </c>
      <c r="K285" s="135">
        <f t="shared" si="95"/>
        <v>46022</v>
      </c>
      <c r="L285" s="135">
        <f t="shared" si="95"/>
        <v>46387</v>
      </c>
      <c r="M285" s="135">
        <f t="shared" si="95"/>
        <v>46752</v>
      </c>
      <c r="N285" s="135">
        <f t="shared" si="95"/>
        <v>47118</v>
      </c>
      <c r="O285" s="135">
        <f t="shared" si="95"/>
        <v>47483</v>
      </c>
      <c r="P285" s="135">
        <f t="shared" si="95"/>
        <v>47848</v>
      </c>
      <c r="Q285" s="135">
        <f t="shared" si="95"/>
        <v>48213</v>
      </c>
      <c r="R285" s="135">
        <f t="shared" si="95"/>
        <v>48579</v>
      </c>
      <c r="S285" s="135">
        <f t="shared" si="95"/>
        <v>48944</v>
      </c>
      <c r="T285" s="135">
        <f t="shared" si="95"/>
        <v>49309</v>
      </c>
      <c r="U285" s="135">
        <f t="shared" si="95"/>
        <v>49674</v>
      </c>
      <c r="V285" s="135">
        <f t="shared" si="95"/>
        <v>50040</v>
      </c>
      <c r="W285" s="135">
        <f t="shared" si="95"/>
        <v>50405</v>
      </c>
      <c r="X285" s="135">
        <f t="shared" si="95"/>
        <v>50770</v>
      </c>
      <c r="Y285" s="135">
        <f t="shared" si="95"/>
        <v>51135</v>
      </c>
      <c r="Z285" s="135">
        <f t="shared" si="95"/>
        <v>51501</v>
      </c>
    </row>
    <row r="286" spans="2:26" hidden="1" x14ac:dyDescent="0.2"/>
    <row r="287" spans="2:26" x14ac:dyDescent="0.2">
      <c r="B287" s="147" t="s">
        <v>345</v>
      </c>
      <c r="C287" s="148"/>
      <c r="D287" s="148"/>
      <c r="E287" s="148"/>
      <c r="F287" s="776">
        <f>+F165</f>
        <v>44196</v>
      </c>
      <c r="G287" s="776">
        <f t="shared" ref="G287:Z287" si="96">+G165</f>
        <v>44561</v>
      </c>
      <c r="H287" s="776">
        <f t="shared" si="96"/>
        <v>44926</v>
      </c>
      <c r="I287" s="776">
        <f t="shared" si="96"/>
        <v>45291</v>
      </c>
      <c r="J287" s="776">
        <f t="shared" si="96"/>
        <v>45657</v>
      </c>
      <c r="K287" s="776">
        <f t="shared" si="96"/>
        <v>46022</v>
      </c>
      <c r="L287" s="776">
        <f t="shared" si="96"/>
        <v>46387</v>
      </c>
      <c r="M287" s="776">
        <f t="shared" si="96"/>
        <v>46752</v>
      </c>
      <c r="N287" s="776">
        <f t="shared" si="96"/>
        <v>47118</v>
      </c>
      <c r="O287" s="776">
        <f t="shared" si="96"/>
        <v>47483</v>
      </c>
      <c r="P287" s="776">
        <f t="shared" si="96"/>
        <v>47848</v>
      </c>
      <c r="Q287" s="776">
        <f t="shared" si="96"/>
        <v>48213</v>
      </c>
      <c r="R287" s="776">
        <f t="shared" si="96"/>
        <v>48579</v>
      </c>
      <c r="S287" s="776">
        <f t="shared" si="96"/>
        <v>48944</v>
      </c>
      <c r="T287" s="776">
        <f t="shared" si="96"/>
        <v>49309</v>
      </c>
      <c r="U287" s="776">
        <f t="shared" si="96"/>
        <v>49674</v>
      </c>
      <c r="V287" s="776">
        <f t="shared" si="96"/>
        <v>50040</v>
      </c>
      <c r="W287" s="776">
        <f t="shared" si="96"/>
        <v>50405</v>
      </c>
      <c r="X287" s="776">
        <f t="shared" si="96"/>
        <v>50770</v>
      </c>
      <c r="Y287" s="776">
        <f t="shared" si="96"/>
        <v>51135</v>
      </c>
      <c r="Z287" s="776">
        <f t="shared" si="96"/>
        <v>51501</v>
      </c>
    </row>
    <row r="288" spans="2:26" x14ac:dyDescent="0.2">
      <c r="B288" s="32" t="s">
        <v>61</v>
      </c>
      <c r="D288" s="47">
        <f>+SUM(F288:Z288)</f>
        <v>6.9001510000000001</v>
      </c>
      <c r="E288" s="47"/>
      <c r="F288" s="48">
        <f>+'Phase I Pro Forma'!F285/1000000</f>
        <v>6.9001510000000001</v>
      </c>
      <c r="G288" s="48">
        <f>+'Phase I Pro Forma'!G285/1000000</f>
        <v>0</v>
      </c>
      <c r="H288" s="48">
        <f>+'Phase I Pro Forma'!H285/1000000</f>
        <v>0</v>
      </c>
      <c r="I288" s="48">
        <f>+'Phase I Pro Forma'!I285/1000000</f>
        <v>0</v>
      </c>
      <c r="J288" s="48">
        <f>+'Phase I Pro Forma'!J285/1000000</f>
        <v>0</v>
      </c>
      <c r="K288" s="48">
        <f>+'Phase I Pro Forma'!K285/1000000</f>
        <v>0</v>
      </c>
      <c r="L288" s="48">
        <f>+'Phase I Pro Forma'!L285/1000000</f>
        <v>0</v>
      </c>
      <c r="M288" s="48">
        <f>+'Phase I Pro Forma'!M285/1000000</f>
        <v>0</v>
      </c>
      <c r="N288" s="48">
        <f>+'Phase I Pro Forma'!N285/1000000</f>
        <v>0</v>
      </c>
      <c r="O288" s="48">
        <f>+'Phase I Pro Forma'!O285/1000000</f>
        <v>0</v>
      </c>
      <c r="P288" s="48">
        <f>+'Phase I Pro Forma'!P285/1000000</f>
        <v>0</v>
      </c>
      <c r="Q288" s="48">
        <f>+'Phase I Pro Forma'!Q285/1000000</f>
        <v>0</v>
      </c>
      <c r="R288" s="48">
        <f>+'Phase I Pro Forma'!R285/1000000</f>
        <v>0</v>
      </c>
      <c r="S288" s="48">
        <f>+'Phase I Pro Forma'!S285/1000000</f>
        <v>0</v>
      </c>
      <c r="T288" s="48">
        <f>+'Phase I Pro Forma'!T285/1000000</f>
        <v>0</v>
      </c>
      <c r="U288" s="48">
        <f>+'Phase I Pro Forma'!U285/1000000</f>
        <v>0</v>
      </c>
      <c r="V288" s="48">
        <f>+'Phase I Pro Forma'!V285/1000000</f>
        <v>0</v>
      </c>
      <c r="W288" s="48">
        <f>+'Phase I Pro Forma'!W285/1000000</f>
        <v>0</v>
      </c>
      <c r="X288" s="48">
        <f>+'Phase I Pro Forma'!X285/1000000</f>
        <v>0</v>
      </c>
      <c r="Y288" s="48">
        <f>+'Phase I Pro Forma'!Y285/1000000</f>
        <v>0</v>
      </c>
      <c r="Z288" s="48">
        <f>+'Phase I Pro Forma'!Z285/1000000</f>
        <v>0</v>
      </c>
    </row>
    <row r="289" spans="1:26" x14ac:dyDescent="0.2">
      <c r="B289" s="32" t="s">
        <v>8</v>
      </c>
      <c r="D289" s="47">
        <f t="shared" ref="D289:D294" si="97">+SUM(F289:Z289)</f>
        <v>31.353547897872343</v>
      </c>
      <c r="E289" s="47"/>
      <c r="F289" s="772">
        <f>+'Phase I Pro Forma'!F286/1000000</f>
        <v>31.353547897872343</v>
      </c>
      <c r="G289" s="772">
        <f>+'Phase I Pro Forma'!G286/1000000</f>
        <v>0</v>
      </c>
      <c r="H289" s="772">
        <f>+'Phase I Pro Forma'!H286/1000000</f>
        <v>0</v>
      </c>
      <c r="I289" s="772">
        <f>+'Phase I Pro Forma'!I286/1000000</f>
        <v>0</v>
      </c>
      <c r="J289" s="772">
        <f>+'Phase I Pro Forma'!J286/1000000</f>
        <v>0</v>
      </c>
      <c r="K289" s="772">
        <f>+'Phase I Pro Forma'!K286/1000000</f>
        <v>0</v>
      </c>
      <c r="L289" s="772">
        <f>+'Phase I Pro Forma'!L286/1000000</f>
        <v>0</v>
      </c>
      <c r="M289" s="772">
        <f>+'Phase I Pro Forma'!M286/1000000</f>
        <v>0</v>
      </c>
      <c r="N289" s="772">
        <f>+'Phase I Pro Forma'!N286/1000000</f>
        <v>0</v>
      </c>
      <c r="O289" s="772">
        <f>+'Phase I Pro Forma'!O286/1000000</f>
        <v>0</v>
      </c>
      <c r="P289" s="772">
        <f>+'Phase I Pro Forma'!P286/1000000</f>
        <v>0</v>
      </c>
      <c r="Q289" s="772">
        <f>+'Phase I Pro Forma'!Q286/1000000</f>
        <v>0</v>
      </c>
      <c r="R289" s="772">
        <f>+'Phase I Pro Forma'!R286/1000000</f>
        <v>0</v>
      </c>
      <c r="S289" s="772">
        <f>+'Phase I Pro Forma'!S286/1000000</f>
        <v>0</v>
      </c>
      <c r="T289" s="772">
        <f>+'Phase I Pro Forma'!T286/1000000</f>
        <v>0</v>
      </c>
      <c r="U289" s="772">
        <f>+'Phase I Pro Forma'!U286/1000000</f>
        <v>0</v>
      </c>
      <c r="V289" s="772">
        <f>+'Phase I Pro Forma'!V286/1000000</f>
        <v>0</v>
      </c>
      <c r="W289" s="772">
        <f>+'Phase I Pro Forma'!W286/1000000</f>
        <v>0</v>
      </c>
      <c r="X289" s="772">
        <f>+'Phase I Pro Forma'!X286/1000000</f>
        <v>0</v>
      </c>
      <c r="Y289" s="772">
        <f>+'Phase I Pro Forma'!Y286/1000000</f>
        <v>0</v>
      </c>
      <c r="Z289" s="772">
        <f>+'Phase I Pro Forma'!Z286/1000000</f>
        <v>0</v>
      </c>
    </row>
    <row r="290" spans="1:26" x14ac:dyDescent="0.2">
      <c r="B290" s="32" t="s">
        <v>57</v>
      </c>
      <c r="D290" s="47">
        <f t="shared" ca="1" si="97"/>
        <v>297.66345666999996</v>
      </c>
      <c r="E290" s="47"/>
      <c r="F290" s="772">
        <f>+'Phase I Pro Forma'!F287/1000000</f>
        <v>0.16</v>
      </c>
      <c r="G290" s="772">
        <f ca="1">+'Phase I Pro Forma'!G287/1000000</f>
        <v>148.75172833499997</v>
      </c>
      <c r="H290" s="772">
        <f ca="1">+'Phase I Pro Forma'!H287/1000000</f>
        <v>148.75172833499997</v>
      </c>
      <c r="I290" s="772">
        <f>+'Phase I Pro Forma'!I287/1000000</f>
        <v>0</v>
      </c>
      <c r="J290" s="772">
        <f>+'Phase I Pro Forma'!J287/1000000</f>
        <v>0</v>
      </c>
      <c r="K290" s="772">
        <f>+'Phase I Pro Forma'!K287/1000000</f>
        <v>0</v>
      </c>
      <c r="L290" s="772">
        <f>+'Phase I Pro Forma'!L287/1000000</f>
        <v>0</v>
      </c>
      <c r="M290" s="772">
        <f>+'Phase I Pro Forma'!M287/1000000</f>
        <v>0</v>
      </c>
      <c r="N290" s="772">
        <f>+'Phase I Pro Forma'!N287/1000000</f>
        <v>0</v>
      </c>
      <c r="O290" s="772">
        <f>+'Phase I Pro Forma'!O287/1000000</f>
        <v>0</v>
      </c>
      <c r="P290" s="772">
        <f>+'Phase I Pro Forma'!P287/1000000</f>
        <v>0</v>
      </c>
      <c r="Q290" s="772">
        <f>+'Phase I Pro Forma'!Q287/1000000</f>
        <v>0</v>
      </c>
      <c r="R290" s="772">
        <f>+'Phase I Pro Forma'!R287/1000000</f>
        <v>0</v>
      </c>
      <c r="S290" s="772">
        <f>+'Phase I Pro Forma'!S287/1000000</f>
        <v>0</v>
      </c>
      <c r="T290" s="772">
        <f>+'Phase I Pro Forma'!T287/1000000</f>
        <v>0</v>
      </c>
      <c r="U290" s="772">
        <f>+'Phase I Pro Forma'!U287/1000000</f>
        <v>0</v>
      </c>
      <c r="V290" s="772">
        <f>+'Phase I Pro Forma'!V287/1000000</f>
        <v>0</v>
      </c>
      <c r="W290" s="772">
        <f>+'Phase I Pro Forma'!W287/1000000</f>
        <v>0</v>
      </c>
      <c r="X290" s="772">
        <f>+'Phase I Pro Forma'!X287/1000000</f>
        <v>0</v>
      </c>
      <c r="Y290" s="772">
        <f>+'Phase I Pro Forma'!Y287/1000000</f>
        <v>0</v>
      </c>
      <c r="Z290" s="772">
        <f>+'Phase I Pro Forma'!Z287/1000000</f>
        <v>0</v>
      </c>
    </row>
    <row r="291" spans="1:26" x14ac:dyDescent="0.2">
      <c r="B291" s="32" t="s">
        <v>58</v>
      </c>
      <c r="D291" s="47">
        <f t="shared" ca="1" si="97"/>
        <v>23.373365864354209</v>
      </c>
      <c r="E291" s="47"/>
      <c r="F291" s="772">
        <f ca="1">+'Phase I Pro Forma'!F288/1000000</f>
        <v>13.091415721346911</v>
      </c>
      <c r="G291" s="772">
        <f ca="1">+'Phase I Pro Forma'!G288/1000000</f>
        <v>5.1409750715036502</v>
      </c>
      <c r="H291" s="772">
        <f ca="1">+'Phase I Pro Forma'!H288/1000000</f>
        <v>5.1409750715036502</v>
      </c>
      <c r="I291" s="772">
        <f>+'Phase I Pro Forma'!I288/1000000</f>
        <v>0</v>
      </c>
      <c r="J291" s="772">
        <f>+'Phase I Pro Forma'!J288/1000000</f>
        <v>0</v>
      </c>
      <c r="K291" s="772">
        <f>+'Phase I Pro Forma'!K288/1000000</f>
        <v>0</v>
      </c>
      <c r="L291" s="772">
        <f>+'Phase I Pro Forma'!L288/1000000</f>
        <v>0</v>
      </c>
      <c r="M291" s="772">
        <f>+'Phase I Pro Forma'!M288/1000000</f>
        <v>0</v>
      </c>
      <c r="N291" s="772">
        <f>+'Phase I Pro Forma'!N288/1000000</f>
        <v>0</v>
      </c>
      <c r="O291" s="772">
        <f>+'Phase I Pro Forma'!O288/1000000</f>
        <v>0</v>
      </c>
      <c r="P291" s="772">
        <f>+'Phase I Pro Forma'!P288/1000000</f>
        <v>0</v>
      </c>
      <c r="Q291" s="772">
        <f>+'Phase I Pro Forma'!Q288/1000000</f>
        <v>0</v>
      </c>
      <c r="R291" s="772">
        <f>+'Phase I Pro Forma'!R288/1000000</f>
        <v>0</v>
      </c>
      <c r="S291" s="772">
        <f>+'Phase I Pro Forma'!S288/1000000</f>
        <v>0</v>
      </c>
      <c r="T291" s="772">
        <f>+'Phase I Pro Forma'!T288/1000000</f>
        <v>0</v>
      </c>
      <c r="U291" s="772">
        <f>+'Phase I Pro Forma'!U288/1000000</f>
        <v>0</v>
      </c>
      <c r="V291" s="772">
        <f>+'Phase I Pro Forma'!V288/1000000</f>
        <v>0</v>
      </c>
      <c r="W291" s="772">
        <f>+'Phase I Pro Forma'!W288/1000000</f>
        <v>0</v>
      </c>
      <c r="X291" s="772">
        <f>+'Phase I Pro Forma'!X288/1000000</f>
        <v>0</v>
      </c>
      <c r="Y291" s="772">
        <f>+'Phase I Pro Forma'!Y288/1000000</f>
        <v>0</v>
      </c>
      <c r="Z291" s="772">
        <f>+'Phase I Pro Forma'!Z288/1000000</f>
        <v>0</v>
      </c>
    </row>
    <row r="292" spans="1:26" x14ac:dyDescent="0.2">
      <c r="B292" s="32" t="s">
        <v>80</v>
      </c>
      <c r="D292" s="47">
        <f t="shared" ca="1" si="97"/>
        <v>28.165752645130748</v>
      </c>
      <c r="E292" s="47"/>
      <c r="F292" s="772">
        <f>+'Phase I Pro Forma'!F289/1000000</f>
        <v>0</v>
      </c>
      <c r="G292" s="772">
        <f ca="1">+'Phase I Pro Forma'!G289/1000000</f>
        <v>14.082876322565374</v>
      </c>
      <c r="H292" s="772">
        <f ca="1">+'Phase I Pro Forma'!H289/1000000</f>
        <v>14.082876322565374</v>
      </c>
      <c r="I292" s="772">
        <f>+'Phase I Pro Forma'!I289/1000000</f>
        <v>0</v>
      </c>
      <c r="J292" s="772">
        <f>+'Phase I Pro Forma'!J289/1000000</f>
        <v>0</v>
      </c>
      <c r="K292" s="772">
        <f>+'Phase I Pro Forma'!K289/1000000</f>
        <v>0</v>
      </c>
      <c r="L292" s="772">
        <f>+'Phase I Pro Forma'!L289/1000000</f>
        <v>0</v>
      </c>
      <c r="M292" s="772">
        <f>+'Phase I Pro Forma'!M289/1000000</f>
        <v>0</v>
      </c>
      <c r="N292" s="772">
        <f>+'Phase I Pro Forma'!N289/1000000</f>
        <v>0</v>
      </c>
      <c r="O292" s="772">
        <f>+'Phase I Pro Forma'!O289/1000000</f>
        <v>0</v>
      </c>
      <c r="P292" s="772">
        <f>+'Phase I Pro Forma'!P289/1000000</f>
        <v>0</v>
      </c>
      <c r="Q292" s="772">
        <f>+'Phase I Pro Forma'!Q289/1000000</f>
        <v>0</v>
      </c>
      <c r="R292" s="772">
        <f>+'Phase I Pro Forma'!R289/1000000</f>
        <v>0</v>
      </c>
      <c r="S292" s="772">
        <f>+'Phase I Pro Forma'!S289/1000000</f>
        <v>0</v>
      </c>
      <c r="T292" s="772">
        <f>+'Phase I Pro Forma'!T289/1000000</f>
        <v>0</v>
      </c>
      <c r="U292" s="772">
        <f>+'Phase I Pro Forma'!U289/1000000</f>
        <v>0</v>
      </c>
      <c r="V292" s="772">
        <f>+'Phase I Pro Forma'!V289/1000000</f>
        <v>0</v>
      </c>
      <c r="W292" s="772">
        <f>+'Phase I Pro Forma'!W289/1000000</f>
        <v>0</v>
      </c>
      <c r="X292" s="772">
        <f>+'Phase I Pro Forma'!X289/1000000</f>
        <v>0</v>
      </c>
      <c r="Y292" s="772">
        <f>+'Phase I Pro Forma'!Y289/1000000</f>
        <v>0</v>
      </c>
      <c r="Z292" s="772">
        <f>+'Phase I Pro Forma'!Z289/1000000</f>
        <v>0</v>
      </c>
    </row>
    <row r="293" spans="1:26" x14ac:dyDescent="0.2">
      <c r="B293" s="32" t="s">
        <v>83</v>
      </c>
      <c r="D293" s="47">
        <f t="shared" ca="1" si="97"/>
        <v>0.76432310105370782</v>
      </c>
      <c r="E293" s="47"/>
      <c r="F293" s="772">
        <f>+'Phase I Pro Forma'!F290/1000000</f>
        <v>0</v>
      </c>
      <c r="G293" s="772">
        <f ca="1">+'Phase I Pro Forma'!G290/1000000</f>
        <v>0.38216155052685391</v>
      </c>
      <c r="H293" s="772">
        <f ca="1">+'Phase I Pro Forma'!H290/1000000</f>
        <v>0.38216155052685391</v>
      </c>
      <c r="I293" s="772">
        <f>+'Phase I Pro Forma'!I290/1000000</f>
        <v>0</v>
      </c>
      <c r="J293" s="772">
        <f>+'Phase I Pro Forma'!J290/1000000</f>
        <v>0</v>
      </c>
      <c r="K293" s="772">
        <f>+'Phase I Pro Forma'!K290/1000000</f>
        <v>0</v>
      </c>
      <c r="L293" s="772">
        <f>+'Phase I Pro Forma'!L290/1000000</f>
        <v>0</v>
      </c>
      <c r="M293" s="772">
        <f>+'Phase I Pro Forma'!M290/1000000</f>
        <v>0</v>
      </c>
      <c r="N293" s="772">
        <f>+'Phase I Pro Forma'!N290/1000000</f>
        <v>0</v>
      </c>
      <c r="O293" s="772">
        <f>+'Phase I Pro Forma'!O290/1000000</f>
        <v>0</v>
      </c>
      <c r="P293" s="772">
        <f>+'Phase I Pro Forma'!P290/1000000</f>
        <v>0</v>
      </c>
      <c r="Q293" s="772">
        <f>+'Phase I Pro Forma'!Q290/1000000</f>
        <v>0</v>
      </c>
      <c r="R293" s="772">
        <f>+'Phase I Pro Forma'!R290/1000000</f>
        <v>0</v>
      </c>
      <c r="S293" s="772">
        <f>+'Phase I Pro Forma'!S290/1000000</f>
        <v>0</v>
      </c>
      <c r="T293" s="772">
        <f>+'Phase I Pro Forma'!T290/1000000</f>
        <v>0</v>
      </c>
      <c r="U293" s="772">
        <f>+'Phase I Pro Forma'!U290/1000000</f>
        <v>0</v>
      </c>
      <c r="V293" s="772">
        <f>+'Phase I Pro Forma'!V290/1000000</f>
        <v>0</v>
      </c>
      <c r="W293" s="772">
        <f>+'Phase I Pro Forma'!W290/1000000</f>
        <v>0</v>
      </c>
      <c r="X293" s="772">
        <f>+'Phase I Pro Forma'!X290/1000000</f>
        <v>0</v>
      </c>
      <c r="Y293" s="772">
        <f>+'Phase I Pro Forma'!Y290/1000000</f>
        <v>0</v>
      </c>
      <c r="Z293" s="772">
        <f>+'Phase I Pro Forma'!Z290/1000000</f>
        <v>0</v>
      </c>
    </row>
    <row r="294" spans="1:26" x14ac:dyDescent="0.2">
      <c r="B294" s="32" t="s">
        <v>60</v>
      </c>
      <c r="D294" s="47">
        <f t="shared" ca="1" si="97"/>
        <v>11.439613385352329</v>
      </c>
      <c r="E294" s="47"/>
      <c r="F294" s="772">
        <f ca="1">+'Phase I Pro Forma'!F291/1000000</f>
        <v>0</v>
      </c>
      <c r="G294" s="772">
        <f ca="1">+'Phase I Pro Forma'!G291/1000000</f>
        <v>2.8599033463380823</v>
      </c>
      <c r="H294" s="772">
        <f ca="1">+'Phase I Pro Forma'!H291/1000000</f>
        <v>2.8599033463380823</v>
      </c>
      <c r="I294" s="772">
        <f ca="1">+'Phase I Pro Forma'!I291/1000000</f>
        <v>2.8599033463380823</v>
      </c>
      <c r="J294" s="772">
        <f ca="1">+'Phase I Pro Forma'!J291/1000000</f>
        <v>2.8599033463380823</v>
      </c>
      <c r="K294" s="772">
        <f>+'Phase I Pro Forma'!K291/1000000</f>
        <v>0</v>
      </c>
      <c r="L294" s="772">
        <f>+'Phase I Pro Forma'!L291/1000000</f>
        <v>0</v>
      </c>
      <c r="M294" s="772">
        <f>+'Phase I Pro Forma'!M291/1000000</f>
        <v>0</v>
      </c>
      <c r="N294" s="772">
        <f>+'Phase I Pro Forma'!N291/1000000</f>
        <v>0</v>
      </c>
      <c r="O294" s="772">
        <f>+'Phase I Pro Forma'!O291/1000000</f>
        <v>0</v>
      </c>
      <c r="P294" s="772">
        <f>+'Phase I Pro Forma'!P291/1000000</f>
        <v>0</v>
      </c>
      <c r="Q294" s="772">
        <f>+'Phase I Pro Forma'!Q291/1000000</f>
        <v>0</v>
      </c>
      <c r="R294" s="772">
        <f>+'Phase I Pro Forma'!R291/1000000</f>
        <v>0</v>
      </c>
      <c r="S294" s="772">
        <f>+'Phase I Pro Forma'!S291/1000000</f>
        <v>0</v>
      </c>
      <c r="T294" s="772">
        <f>+'Phase I Pro Forma'!T291/1000000</f>
        <v>0</v>
      </c>
      <c r="U294" s="772">
        <f>+'Phase I Pro Forma'!U291/1000000</f>
        <v>0</v>
      </c>
      <c r="V294" s="772">
        <f>+'Phase I Pro Forma'!V291/1000000</f>
        <v>0</v>
      </c>
      <c r="W294" s="772">
        <f>+'Phase I Pro Forma'!W291/1000000</f>
        <v>0</v>
      </c>
      <c r="X294" s="772">
        <f>+'Phase I Pro Forma'!X291/1000000</f>
        <v>0</v>
      </c>
      <c r="Y294" s="772">
        <f>+'Phase I Pro Forma'!Y291/1000000</f>
        <v>0</v>
      </c>
      <c r="Z294" s="772">
        <f>+'Phase I Pro Forma'!Z291/1000000</f>
        <v>0</v>
      </c>
    </row>
    <row r="295" spans="1:26" x14ac:dyDescent="0.2">
      <c r="B295" s="137" t="s">
        <v>20</v>
      </c>
      <c r="C295" s="137"/>
      <c r="D295" s="138">
        <f ca="1">+SUM(F295:Z295)</f>
        <v>399.66021056376326</v>
      </c>
      <c r="E295" s="138"/>
      <c r="F295" s="774">
        <f ca="1">+SUM(F288:F294)</f>
        <v>51.505114619219249</v>
      </c>
      <c r="G295" s="774">
        <f t="shared" ref="G295:Z295" ca="1" si="98">+SUM(G288:G294)</f>
        <v>171.21764462593393</v>
      </c>
      <c r="H295" s="774">
        <f t="shared" ca="1" si="98"/>
        <v>171.21764462593393</v>
      </c>
      <c r="I295" s="774">
        <f t="shared" ca="1" si="98"/>
        <v>2.8599033463380823</v>
      </c>
      <c r="J295" s="774">
        <f t="shared" ca="1" si="98"/>
        <v>2.8599033463380823</v>
      </c>
      <c r="K295" s="774">
        <f t="shared" si="98"/>
        <v>0</v>
      </c>
      <c r="L295" s="774">
        <f t="shared" si="98"/>
        <v>0</v>
      </c>
      <c r="M295" s="774">
        <f t="shared" si="98"/>
        <v>0</v>
      </c>
      <c r="N295" s="774">
        <f t="shared" si="98"/>
        <v>0</v>
      </c>
      <c r="O295" s="774">
        <f t="shared" si="98"/>
        <v>0</v>
      </c>
      <c r="P295" s="774">
        <f t="shared" si="98"/>
        <v>0</v>
      </c>
      <c r="Q295" s="774">
        <f t="shared" si="98"/>
        <v>0</v>
      </c>
      <c r="R295" s="774">
        <f t="shared" si="98"/>
        <v>0</v>
      </c>
      <c r="S295" s="774">
        <f t="shared" si="98"/>
        <v>0</v>
      </c>
      <c r="T295" s="774">
        <f t="shared" si="98"/>
        <v>0</v>
      </c>
      <c r="U295" s="774">
        <f t="shared" si="98"/>
        <v>0</v>
      </c>
      <c r="V295" s="774">
        <f t="shared" si="98"/>
        <v>0</v>
      </c>
      <c r="W295" s="774">
        <f t="shared" si="98"/>
        <v>0</v>
      </c>
      <c r="X295" s="774">
        <f t="shared" si="98"/>
        <v>0</v>
      </c>
      <c r="Y295" s="774">
        <f t="shared" si="98"/>
        <v>0</v>
      </c>
      <c r="Z295" s="774">
        <f t="shared" si="98"/>
        <v>0</v>
      </c>
    </row>
    <row r="296" spans="1:26" ht="5" customHeight="1" x14ac:dyDescent="0.2"/>
    <row r="297" spans="1:26" x14ac:dyDescent="0.2">
      <c r="B297" s="147" t="s">
        <v>347</v>
      </c>
      <c r="F297" s="776">
        <f>+F285</f>
        <v>44196</v>
      </c>
      <c r="G297" s="776">
        <f t="shared" ref="G297:Z297" si="99">+G285</f>
        <v>44561</v>
      </c>
      <c r="H297" s="776">
        <f t="shared" si="99"/>
        <v>44926</v>
      </c>
      <c r="I297" s="776">
        <f t="shared" si="99"/>
        <v>45291</v>
      </c>
      <c r="J297" s="776">
        <f t="shared" si="99"/>
        <v>45657</v>
      </c>
      <c r="K297" s="776">
        <f t="shared" si="99"/>
        <v>46022</v>
      </c>
      <c r="L297" s="776">
        <f t="shared" si="99"/>
        <v>46387</v>
      </c>
      <c r="M297" s="776">
        <f t="shared" si="99"/>
        <v>46752</v>
      </c>
      <c r="N297" s="776">
        <f t="shared" si="99"/>
        <v>47118</v>
      </c>
      <c r="O297" s="776">
        <f t="shared" si="99"/>
        <v>47483</v>
      </c>
      <c r="P297" s="776">
        <f t="shared" si="99"/>
        <v>47848</v>
      </c>
      <c r="Q297" s="776">
        <f t="shared" si="99"/>
        <v>48213</v>
      </c>
      <c r="R297" s="776">
        <f t="shared" si="99"/>
        <v>48579</v>
      </c>
      <c r="S297" s="776">
        <f t="shared" si="99"/>
        <v>48944</v>
      </c>
      <c r="T297" s="776">
        <f t="shared" si="99"/>
        <v>49309</v>
      </c>
      <c r="U297" s="776">
        <f t="shared" si="99"/>
        <v>49674</v>
      </c>
      <c r="V297" s="776">
        <f t="shared" si="99"/>
        <v>50040</v>
      </c>
      <c r="W297" s="776">
        <f t="shared" si="99"/>
        <v>50405</v>
      </c>
      <c r="X297" s="776">
        <f t="shared" si="99"/>
        <v>50770</v>
      </c>
      <c r="Y297" s="776">
        <f t="shared" si="99"/>
        <v>51135</v>
      </c>
      <c r="Z297" s="776">
        <f t="shared" si="99"/>
        <v>51501</v>
      </c>
    </row>
    <row r="298" spans="1:26" x14ac:dyDescent="0.2">
      <c r="A298" s="107"/>
      <c r="B298" s="32" t="s">
        <v>29</v>
      </c>
      <c r="D298" s="47">
        <f t="shared" ref="D298:D307" ca="1" si="100">+SUM(F298:Z298)</f>
        <v>64.165219326269209</v>
      </c>
      <c r="E298" s="47"/>
      <c r="F298" s="48">
        <f ca="1">+'Phase I Pro Forma'!F295/1000000</f>
        <v>51.505114619219256</v>
      </c>
      <c r="G298" s="48">
        <f ca="1">+'Phase I Pro Forma'!G295/1000000</f>
        <v>12.660104707049952</v>
      </c>
      <c r="H298" s="48">
        <f ca="1">+'Phase I Pro Forma'!H295/1000000</f>
        <v>0</v>
      </c>
      <c r="I298" s="48">
        <f ca="1">+'Phase I Pro Forma'!I295/1000000</f>
        <v>0</v>
      </c>
      <c r="J298" s="48">
        <f ca="1">+'Phase I Pro Forma'!J295/1000000</f>
        <v>0</v>
      </c>
      <c r="K298" s="48">
        <f ca="1">+'Phase I Pro Forma'!K295/1000000</f>
        <v>0</v>
      </c>
      <c r="L298" s="48">
        <f ca="1">+'Phase I Pro Forma'!L295/1000000</f>
        <v>0</v>
      </c>
      <c r="M298" s="48">
        <f ca="1">+'Phase I Pro Forma'!M295/1000000</f>
        <v>0</v>
      </c>
      <c r="N298" s="48">
        <f ca="1">+'Phase I Pro Forma'!N295/1000000</f>
        <v>0</v>
      </c>
      <c r="O298" s="48">
        <f ca="1">+'Phase I Pro Forma'!O295/1000000</f>
        <v>0</v>
      </c>
      <c r="P298" s="48">
        <f ca="1">+'Phase I Pro Forma'!P295/1000000</f>
        <v>0</v>
      </c>
      <c r="Q298" s="48">
        <f ca="1">+'Phase I Pro Forma'!Q295/1000000</f>
        <v>0</v>
      </c>
      <c r="R298" s="48">
        <f ca="1">+'Phase I Pro Forma'!R295/1000000</f>
        <v>0</v>
      </c>
      <c r="S298" s="48">
        <f ca="1">+'Phase I Pro Forma'!S295/1000000</f>
        <v>0</v>
      </c>
      <c r="T298" s="48">
        <f ca="1">+'Phase I Pro Forma'!T295/1000000</f>
        <v>0</v>
      </c>
      <c r="U298" s="48">
        <f ca="1">+'Phase I Pro Forma'!U295/1000000</f>
        <v>0</v>
      </c>
      <c r="V298" s="48">
        <f ca="1">+'Phase I Pro Forma'!V295/1000000</f>
        <v>0</v>
      </c>
      <c r="W298" s="48">
        <f ca="1">+'Phase I Pro Forma'!W295/1000000</f>
        <v>0</v>
      </c>
      <c r="X298" s="48">
        <f ca="1">+'Phase I Pro Forma'!X295/1000000</f>
        <v>0</v>
      </c>
      <c r="Y298" s="48">
        <f ca="1">+'Phase I Pro Forma'!Y295/1000000</f>
        <v>0</v>
      </c>
      <c r="Z298" s="48">
        <f ca="1">+'Phase I Pro Forma'!Z295/1000000</f>
        <v>0</v>
      </c>
    </row>
    <row r="299" spans="1:26" hidden="1" x14ac:dyDescent="0.2">
      <c r="B299" s="32" t="s">
        <v>326</v>
      </c>
      <c r="D299" s="47">
        <f t="shared" ca="1" si="100"/>
        <v>0</v>
      </c>
      <c r="E299" s="47"/>
      <c r="F299" s="772">
        <f ca="1">+'Phase I Pro Forma'!F296/1000000</f>
        <v>0</v>
      </c>
      <c r="G299" s="772">
        <f ca="1">+'Phase I Pro Forma'!G296/1000000</f>
        <v>0</v>
      </c>
      <c r="H299" s="772">
        <f ca="1">+'Phase I Pro Forma'!H296/1000000</f>
        <v>0</v>
      </c>
      <c r="I299" s="772">
        <f ca="1">+'Phase I Pro Forma'!I296/1000000</f>
        <v>0</v>
      </c>
      <c r="J299" s="772">
        <f ca="1">+'Phase I Pro Forma'!J296/1000000</f>
        <v>0</v>
      </c>
      <c r="K299" s="772">
        <f ca="1">+'Phase I Pro Forma'!K296/1000000</f>
        <v>0</v>
      </c>
      <c r="L299" s="772">
        <f ca="1">+'Phase I Pro Forma'!L296/1000000</f>
        <v>0</v>
      </c>
      <c r="M299" s="772">
        <f ca="1">+'Phase I Pro Forma'!M296/1000000</f>
        <v>0</v>
      </c>
      <c r="N299" s="772">
        <f ca="1">+'Phase I Pro Forma'!N296/1000000</f>
        <v>0</v>
      </c>
      <c r="O299" s="772">
        <f ca="1">+'Phase I Pro Forma'!O296/1000000</f>
        <v>0</v>
      </c>
      <c r="P299" s="772">
        <f ca="1">+'Phase I Pro Forma'!P296/1000000</f>
        <v>0</v>
      </c>
      <c r="Q299" s="772">
        <f ca="1">+'Phase I Pro Forma'!Q296/1000000</f>
        <v>0</v>
      </c>
      <c r="R299" s="772">
        <f ca="1">+'Phase I Pro Forma'!R296/1000000</f>
        <v>0</v>
      </c>
      <c r="S299" s="772">
        <f ca="1">+'Phase I Pro Forma'!S296/1000000</f>
        <v>0</v>
      </c>
      <c r="T299" s="772">
        <f ca="1">+'Phase I Pro Forma'!T296/1000000</f>
        <v>0</v>
      </c>
      <c r="U299" s="772">
        <f ca="1">+'Phase I Pro Forma'!U296/1000000</f>
        <v>0</v>
      </c>
      <c r="V299" s="772">
        <f ca="1">+'Phase I Pro Forma'!V296/1000000</f>
        <v>0</v>
      </c>
      <c r="W299" s="772">
        <f ca="1">+'Phase I Pro Forma'!W296/1000000</f>
        <v>0</v>
      </c>
      <c r="X299" s="772">
        <f ca="1">+'Phase I Pro Forma'!X296/1000000</f>
        <v>0</v>
      </c>
      <c r="Y299" s="772">
        <f ca="1">+'Phase I Pro Forma'!Y296/1000000</f>
        <v>0</v>
      </c>
      <c r="Z299" s="772">
        <f ca="1">+'Phase I Pro Forma'!Z296/1000000</f>
        <v>0</v>
      </c>
    </row>
    <row r="300" spans="1:26" x14ac:dyDescent="0.2">
      <c r="B300" s="32" t="s">
        <v>99</v>
      </c>
      <c r="D300" s="47">
        <f t="shared" ca="1" si="100"/>
        <v>12.714766389964083</v>
      </c>
      <c r="E300" s="47"/>
      <c r="F300" s="772">
        <f ca="1">+'Phase I Pro Forma'!F297/1000000</f>
        <v>0</v>
      </c>
      <c r="G300" s="772">
        <f ca="1">+'Phase I Pro Forma'!G297/1000000</f>
        <v>12.714766389964083</v>
      </c>
      <c r="H300" s="772">
        <f ca="1">+'Phase I Pro Forma'!H297/1000000</f>
        <v>0</v>
      </c>
      <c r="I300" s="772">
        <f ca="1">+'Phase I Pro Forma'!I297/1000000</f>
        <v>0</v>
      </c>
      <c r="J300" s="772">
        <f ca="1">+'Phase I Pro Forma'!J297/1000000</f>
        <v>0</v>
      </c>
      <c r="K300" s="772">
        <f ca="1">+'Phase I Pro Forma'!K297/1000000</f>
        <v>0</v>
      </c>
      <c r="L300" s="772">
        <f ca="1">+'Phase I Pro Forma'!L297/1000000</f>
        <v>0</v>
      </c>
      <c r="M300" s="772">
        <f ca="1">+'Phase I Pro Forma'!M297/1000000</f>
        <v>0</v>
      </c>
      <c r="N300" s="772">
        <f ca="1">+'Phase I Pro Forma'!N297/1000000</f>
        <v>0</v>
      </c>
      <c r="O300" s="772">
        <f ca="1">+'Phase I Pro Forma'!O297/1000000</f>
        <v>0</v>
      </c>
      <c r="P300" s="772">
        <f ca="1">+'Phase I Pro Forma'!P297/1000000</f>
        <v>0</v>
      </c>
      <c r="Q300" s="772">
        <f ca="1">+'Phase I Pro Forma'!Q297/1000000</f>
        <v>0</v>
      </c>
      <c r="R300" s="772">
        <f ca="1">+'Phase I Pro Forma'!R297/1000000</f>
        <v>0</v>
      </c>
      <c r="S300" s="772">
        <f ca="1">+'Phase I Pro Forma'!S297/1000000</f>
        <v>0</v>
      </c>
      <c r="T300" s="772">
        <f ca="1">+'Phase I Pro Forma'!T297/1000000</f>
        <v>0</v>
      </c>
      <c r="U300" s="772">
        <f ca="1">+'Phase I Pro Forma'!U297/1000000</f>
        <v>0</v>
      </c>
      <c r="V300" s="772">
        <f ca="1">+'Phase I Pro Forma'!V297/1000000</f>
        <v>0</v>
      </c>
      <c r="W300" s="772">
        <f ca="1">+'Phase I Pro Forma'!W297/1000000</f>
        <v>0</v>
      </c>
      <c r="X300" s="772">
        <f ca="1">+'Phase I Pro Forma'!X297/1000000</f>
        <v>0</v>
      </c>
      <c r="Y300" s="772">
        <f ca="1">+'Phase I Pro Forma'!Y297/1000000</f>
        <v>0</v>
      </c>
      <c r="Z300" s="772">
        <f ca="1">+'Phase I Pro Forma'!Z297/1000000</f>
        <v>0</v>
      </c>
    </row>
    <row r="301" spans="1:26" x14ac:dyDescent="0.2">
      <c r="B301" s="32" t="s">
        <v>100</v>
      </c>
      <c r="D301" s="47">
        <f t="shared" ca="1" si="100"/>
        <v>5.5380000000000003</v>
      </c>
      <c r="E301" s="47"/>
      <c r="F301" s="772">
        <f ca="1">+'Phase I Pro Forma'!F298/1000000</f>
        <v>0</v>
      </c>
      <c r="G301" s="772">
        <f ca="1">+'Phase I Pro Forma'!G298/1000000</f>
        <v>5.5380000000000003</v>
      </c>
      <c r="H301" s="772">
        <f ca="1">+'Phase I Pro Forma'!H298/1000000</f>
        <v>0</v>
      </c>
      <c r="I301" s="772">
        <f ca="1">+'Phase I Pro Forma'!I298/1000000</f>
        <v>0</v>
      </c>
      <c r="J301" s="772">
        <f ca="1">+'Phase I Pro Forma'!J298/1000000</f>
        <v>0</v>
      </c>
      <c r="K301" s="772">
        <f ca="1">+'Phase I Pro Forma'!K298/1000000</f>
        <v>0</v>
      </c>
      <c r="L301" s="772">
        <f ca="1">+'Phase I Pro Forma'!L298/1000000</f>
        <v>0</v>
      </c>
      <c r="M301" s="772">
        <f ca="1">+'Phase I Pro Forma'!M298/1000000</f>
        <v>0</v>
      </c>
      <c r="N301" s="772">
        <f ca="1">+'Phase I Pro Forma'!N298/1000000</f>
        <v>0</v>
      </c>
      <c r="O301" s="772">
        <f ca="1">+'Phase I Pro Forma'!O298/1000000</f>
        <v>0</v>
      </c>
      <c r="P301" s="772">
        <f ca="1">+'Phase I Pro Forma'!P298/1000000</f>
        <v>0</v>
      </c>
      <c r="Q301" s="772">
        <f ca="1">+'Phase I Pro Forma'!Q298/1000000</f>
        <v>0</v>
      </c>
      <c r="R301" s="772">
        <f ca="1">+'Phase I Pro Forma'!R298/1000000</f>
        <v>0</v>
      </c>
      <c r="S301" s="772">
        <f ca="1">+'Phase I Pro Forma'!S298/1000000</f>
        <v>0</v>
      </c>
      <c r="T301" s="772">
        <f ca="1">+'Phase I Pro Forma'!T298/1000000</f>
        <v>0</v>
      </c>
      <c r="U301" s="772">
        <f ca="1">+'Phase I Pro Forma'!U298/1000000</f>
        <v>0</v>
      </c>
      <c r="V301" s="772">
        <f ca="1">+'Phase I Pro Forma'!V298/1000000</f>
        <v>0</v>
      </c>
      <c r="W301" s="772">
        <f ca="1">+'Phase I Pro Forma'!W298/1000000</f>
        <v>0</v>
      </c>
      <c r="X301" s="772">
        <f ca="1">+'Phase I Pro Forma'!X298/1000000</f>
        <v>0</v>
      </c>
      <c r="Y301" s="772">
        <f ca="1">+'Phase I Pro Forma'!Y298/1000000</f>
        <v>0</v>
      </c>
      <c r="Z301" s="772">
        <f ca="1">+'Phase I Pro Forma'!Z298/1000000</f>
        <v>0</v>
      </c>
    </row>
    <row r="302" spans="1:26" x14ac:dyDescent="0.2">
      <c r="B302" s="32" t="s">
        <v>613</v>
      </c>
      <c r="D302" s="47">
        <f t="shared" ca="1" si="100"/>
        <v>3.2563307674772362</v>
      </c>
      <c r="E302" s="47"/>
      <c r="F302" s="772">
        <f ca="1">+'Phase I Pro Forma'!F299/1000000</f>
        <v>0</v>
      </c>
      <c r="G302" s="772">
        <f ca="1">+'Phase I Pro Forma'!G299/1000000</f>
        <v>3.2563307674772362</v>
      </c>
      <c r="H302" s="772">
        <f ca="1">+'Phase I Pro Forma'!H299/1000000</f>
        <v>0</v>
      </c>
      <c r="I302" s="772">
        <f ca="1">+'Phase I Pro Forma'!I299/1000000</f>
        <v>0</v>
      </c>
      <c r="J302" s="772">
        <f ca="1">+'Phase I Pro Forma'!J299/1000000</f>
        <v>0</v>
      </c>
      <c r="K302" s="772">
        <f ca="1">+'Phase I Pro Forma'!K299/1000000</f>
        <v>0</v>
      </c>
      <c r="L302" s="772">
        <f ca="1">+'Phase I Pro Forma'!L299/1000000</f>
        <v>0</v>
      </c>
      <c r="M302" s="772">
        <f ca="1">+'Phase I Pro Forma'!M299/1000000</f>
        <v>0</v>
      </c>
      <c r="N302" s="772">
        <f ca="1">+'Phase I Pro Forma'!N299/1000000</f>
        <v>0</v>
      </c>
      <c r="O302" s="772">
        <f ca="1">+'Phase I Pro Forma'!O299/1000000</f>
        <v>0</v>
      </c>
      <c r="P302" s="772">
        <f ca="1">+'Phase I Pro Forma'!P299/1000000</f>
        <v>0</v>
      </c>
      <c r="Q302" s="772">
        <f ca="1">+'Phase I Pro Forma'!Q299/1000000</f>
        <v>0</v>
      </c>
      <c r="R302" s="772">
        <f ca="1">+'Phase I Pro Forma'!R299/1000000</f>
        <v>0</v>
      </c>
      <c r="S302" s="772">
        <f ca="1">+'Phase I Pro Forma'!S299/1000000</f>
        <v>0</v>
      </c>
      <c r="T302" s="772">
        <f ca="1">+'Phase I Pro Forma'!T299/1000000</f>
        <v>0</v>
      </c>
      <c r="U302" s="772">
        <f ca="1">+'Phase I Pro Forma'!U299/1000000</f>
        <v>0</v>
      </c>
      <c r="V302" s="772">
        <f ca="1">+'Phase I Pro Forma'!V299/1000000</f>
        <v>0</v>
      </c>
      <c r="W302" s="772">
        <f ca="1">+'Phase I Pro Forma'!W299/1000000</f>
        <v>0</v>
      </c>
      <c r="X302" s="772">
        <f ca="1">+'Phase I Pro Forma'!X299/1000000</f>
        <v>0</v>
      </c>
      <c r="Y302" s="772">
        <f ca="1">+'Phase I Pro Forma'!Y299/1000000</f>
        <v>0</v>
      </c>
      <c r="Z302" s="772">
        <f ca="1">+'Phase I Pro Forma'!Z299/1000000</f>
        <v>0</v>
      </c>
    </row>
    <row r="303" spans="1:26" x14ac:dyDescent="0.2">
      <c r="A303" s="107"/>
      <c r="B303" s="32" t="s">
        <v>330</v>
      </c>
      <c r="D303" s="47">
        <f t="shared" ca="1" si="100"/>
        <v>239.79612633825792</v>
      </c>
      <c r="E303" s="47"/>
      <c r="F303" s="772">
        <f ca="1">+'Phase I Pro Forma'!F300/1000000</f>
        <v>0</v>
      </c>
      <c r="G303" s="772">
        <f ca="1">+'Phase I Pro Forma'!G300/1000000</f>
        <v>137.04844276144266</v>
      </c>
      <c r="H303" s="772">
        <f ca="1">+'Phase I Pro Forma'!H300/1000000</f>
        <v>102.74768357681528</v>
      </c>
      <c r="I303" s="772">
        <f ca="1">+'Phase I Pro Forma'!I300/1000000</f>
        <v>0</v>
      </c>
      <c r="J303" s="772">
        <f ca="1">+'Phase I Pro Forma'!J300/1000000</f>
        <v>0</v>
      </c>
      <c r="K303" s="772">
        <f ca="1">+'Phase I Pro Forma'!K300/1000000</f>
        <v>0</v>
      </c>
      <c r="L303" s="772">
        <f ca="1">+'Phase I Pro Forma'!L300/1000000</f>
        <v>0</v>
      </c>
      <c r="M303" s="772">
        <f ca="1">+'Phase I Pro Forma'!M300/1000000</f>
        <v>0</v>
      </c>
      <c r="N303" s="772">
        <f ca="1">+'Phase I Pro Forma'!N300/1000000</f>
        <v>0</v>
      </c>
      <c r="O303" s="772">
        <f ca="1">+'Phase I Pro Forma'!O300/1000000</f>
        <v>0</v>
      </c>
      <c r="P303" s="772">
        <f ca="1">+'Phase I Pro Forma'!P300/1000000</f>
        <v>0</v>
      </c>
      <c r="Q303" s="772">
        <f ca="1">+'Phase I Pro Forma'!Q300/1000000</f>
        <v>0</v>
      </c>
      <c r="R303" s="772">
        <f ca="1">+'Phase I Pro Forma'!R300/1000000</f>
        <v>0</v>
      </c>
      <c r="S303" s="772">
        <f ca="1">+'Phase I Pro Forma'!S300/1000000</f>
        <v>0</v>
      </c>
      <c r="T303" s="772">
        <f ca="1">+'Phase I Pro Forma'!T300/1000000</f>
        <v>0</v>
      </c>
      <c r="U303" s="772">
        <f ca="1">+'Phase I Pro Forma'!U300/1000000</f>
        <v>0</v>
      </c>
      <c r="V303" s="772">
        <f ca="1">+'Phase I Pro Forma'!V300/1000000</f>
        <v>0</v>
      </c>
      <c r="W303" s="772">
        <f ca="1">+'Phase I Pro Forma'!W300/1000000</f>
        <v>0</v>
      </c>
      <c r="X303" s="772">
        <f ca="1">+'Phase I Pro Forma'!X300/1000000</f>
        <v>0</v>
      </c>
      <c r="Y303" s="772">
        <f ca="1">+'Phase I Pro Forma'!Y300/1000000</f>
        <v>0</v>
      </c>
      <c r="Z303" s="772">
        <f ca="1">+'Phase I Pro Forma'!Z300/1000000</f>
        <v>0</v>
      </c>
    </row>
    <row r="304" spans="1:26" x14ac:dyDescent="0.2">
      <c r="A304" s="107"/>
      <c r="B304" s="32" t="s">
        <v>98</v>
      </c>
      <c r="D304" s="47">
        <f t="shared" ca="1" si="100"/>
        <v>74.189767741794824</v>
      </c>
      <c r="E304" s="47"/>
      <c r="F304" s="772">
        <f ca="1">+'Phase I Pro Forma'!F301/1000000</f>
        <v>0</v>
      </c>
      <c r="G304" s="772">
        <f ca="1">+'Phase I Pro Forma'!G301/1000000</f>
        <v>0</v>
      </c>
      <c r="H304" s="772">
        <f ca="1">+'Phase I Pro Forma'!H301/1000000</f>
        <v>68.469961049118666</v>
      </c>
      <c r="I304" s="772">
        <f ca="1">+'Phase I Pro Forma'!I301/1000000</f>
        <v>2.8599033463380823</v>
      </c>
      <c r="J304" s="772">
        <f ca="1">+'Phase I Pro Forma'!J301/1000000</f>
        <v>2.8599033463380783</v>
      </c>
      <c r="K304" s="772">
        <f ca="1">+'Phase I Pro Forma'!K301/1000000</f>
        <v>0</v>
      </c>
      <c r="L304" s="772">
        <f ca="1">+'Phase I Pro Forma'!L301/1000000</f>
        <v>0</v>
      </c>
      <c r="M304" s="772">
        <f ca="1">+'Phase I Pro Forma'!M301/1000000</f>
        <v>0</v>
      </c>
      <c r="N304" s="772">
        <f ca="1">+'Phase I Pro Forma'!N301/1000000</f>
        <v>0</v>
      </c>
      <c r="O304" s="772">
        <f ca="1">+'Phase I Pro Forma'!O301/1000000</f>
        <v>0</v>
      </c>
      <c r="P304" s="772">
        <f ca="1">+'Phase I Pro Forma'!P301/1000000</f>
        <v>0</v>
      </c>
      <c r="Q304" s="772">
        <f ca="1">+'Phase I Pro Forma'!Q301/1000000</f>
        <v>0</v>
      </c>
      <c r="R304" s="772">
        <f ca="1">+'Phase I Pro Forma'!R301/1000000</f>
        <v>0</v>
      </c>
      <c r="S304" s="772">
        <f ca="1">+'Phase I Pro Forma'!S301/1000000</f>
        <v>0</v>
      </c>
      <c r="T304" s="772">
        <f ca="1">+'Phase I Pro Forma'!T301/1000000</f>
        <v>0</v>
      </c>
      <c r="U304" s="772">
        <f ca="1">+'Phase I Pro Forma'!U301/1000000</f>
        <v>0</v>
      </c>
      <c r="V304" s="772">
        <f ca="1">+'Phase I Pro Forma'!V301/1000000</f>
        <v>0</v>
      </c>
      <c r="W304" s="772">
        <f ca="1">+'Phase I Pro Forma'!W301/1000000</f>
        <v>0</v>
      </c>
      <c r="X304" s="772">
        <f ca="1">+'Phase I Pro Forma'!X301/1000000</f>
        <v>0</v>
      </c>
      <c r="Y304" s="772">
        <f ca="1">+'Phase I Pro Forma'!Y301/1000000</f>
        <v>0</v>
      </c>
      <c r="Z304" s="772">
        <f ca="1">+'Phase I Pro Forma'!Z301/1000000</f>
        <v>0</v>
      </c>
    </row>
    <row r="305" spans="2:26" x14ac:dyDescent="0.2">
      <c r="B305" s="137" t="s">
        <v>377</v>
      </c>
      <c r="C305" s="137"/>
      <c r="D305" s="138">
        <f t="shared" ca="1" si="100"/>
        <v>399.66021056376326</v>
      </c>
      <c r="E305" s="138"/>
      <c r="F305" s="774">
        <f t="shared" ref="F305:Z305" ca="1" si="101">+SUM(F298:F304)</f>
        <v>51.505114619219256</v>
      </c>
      <c r="G305" s="774">
        <f t="shared" ca="1" si="101"/>
        <v>171.21764462593393</v>
      </c>
      <c r="H305" s="774">
        <f t="shared" ca="1" si="101"/>
        <v>171.21764462593393</v>
      </c>
      <c r="I305" s="774">
        <f t="shared" ca="1" si="101"/>
        <v>2.8599033463380823</v>
      </c>
      <c r="J305" s="774">
        <f t="shared" ca="1" si="101"/>
        <v>2.8599033463380783</v>
      </c>
      <c r="K305" s="774">
        <f t="shared" ca="1" si="101"/>
        <v>0</v>
      </c>
      <c r="L305" s="774">
        <f t="shared" ca="1" si="101"/>
        <v>0</v>
      </c>
      <c r="M305" s="774">
        <f t="shared" ca="1" si="101"/>
        <v>0</v>
      </c>
      <c r="N305" s="774">
        <f t="shared" ca="1" si="101"/>
        <v>0</v>
      </c>
      <c r="O305" s="774">
        <f t="shared" ca="1" si="101"/>
        <v>0</v>
      </c>
      <c r="P305" s="774">
        <f t="shared" ca="1" si="101"/>
        <v>0</v>
      </c>
      <c r="Q305" s="774">
        <f t="shared" ca="1" si="101"/>
        <v>0</v>
      </c>
      <c r="R305" s="774">
        <f t="shared" ca="1" si="101"/>
        <v>0</v>
      </c>
      <c r="S305" s="774">
        <f t="shared" ca="1" si="101"/>
        <v>0</v>
      </c>
      <c r="T305" s="774">
        <f t="shared" ca="1" si="101"/>
        <v>0</v>
      </c>
      <c r="U305" s="774">
        <f t="shared" ca="1" si="101"/>
        <v>0</v>
      </c>
      <c r="V305" s="774">
        <f t="shared" ca="1" si="101"/>
        <v>0</v>
      </c>
      <c r="W305" s="774">
        <f t="shared" ca="1" si="101"/>
        <v>0</v>
      </c>
      <c r="X305" s="774">
        <f t="shared" ca="1" si="101"/>
        <v>0</v>
      </c>
      <c r="Y305" s="774">
        <f t="shared" ca="1" si="101"/>
        <v>0</v>
      </c>
      <c r="Z305" s="774">
        <f t="shared" ca="1" si="101"/>
        <v>0</v>
      </c>
    </row>
    <row r="306" spans="2:26" ht="5" customHeight="1" x14ac:dyDescent="0.2"/>
    <row r="307" spans="2:26" hidden="1" outlineLevel="1" x14ac:dyDescent="0.2">
      <c r="B307" s="788" t="s">
        <v>437</v>
      </c>
      <c r="C307" s="793"/>
      <c r="D307" s="803">
        <f t="shared" ca="1" si="100"/>
        <v>95.698864899236142</v>
      </c>
      <c r="E307" s="793"/>
      <c r="F307" s="789">
        <f ca="1">+SUM(F299:F302,F304)</f>
        <v>0</v>
      </c>
      <c r="G307" s="789">
        <f t="shared" ref="G307:Z307" ca="1" si="102">+SUM(G299:G302,G304)</f>
        <v>21.509097157441321</v>
      </c>
      <c r="H307" s="789">
        <f t="shared" ca="1" si="102"/>
        <v>68.469961049118666</v>
      </c>
      <c r="I307" s="789">
        <f t="shared" ca="1" si="102"/>
        <v>2.8599033463380823</v>
      </c>
      <c r="J307" s="789">
        <f t="shared" ca="1" si="102"/>
        <v>2.8599033463380783</v>
      </c>
      <c r="K307" s="789">
        <f t="shared" ca="1" si="102"/>
        <v>0</v>
      </c>
      <c r="L307" s="789">
        <f t="shared" ca="1" si="102"/>
        <v>0</v>
      </c>
      <c r="M307" s="789">
        <f t="shared" ca="1" si="102"/>
        <v>0</v>
      </c>
      <c r="N307" s="789">
        <f t="shared" ca="1" si="102"/>
        <v>0</v>
      </c>
      <c r="O307" s="789">
        <f t="shared" ca="1" si="102"/>
        <v>0</v>
      </c>
      <c r="P307" s="789">
        <f t="shared" ca="1" si="102"/>
        <v>0</v>
      </c>
      <c r="Q307" s="789">
        <f t="shared" ca="1" si="102"/>
        <v>0</v>
      </c>
      <c r="R307" s="789">
        <f t="shared" ca="1" si="102"/>
        <v>0</v>
      </c>
      <c r="S307" s="789">
        <f t="shared" ca="1" si="102"/>
        <v>0</v>
      </c>
      <c r="T307" s="789">
        <f t="shared" ca="1" si="102"/>
        <v>0</v>
      </c>
      <c r="U307" s="789">
        <f t="shared" ca="1" si="102"/>
        <v>0</v>
      </c>
      <c r="V307" s="789">
        <f t="shared" ca="1" si="102"/>
        <v>0</v>
      </c>
      <c r="W307" s="789">
        <f t="shared" ca="1" si="102"/>
        <v>0</v>
      </c>
      <c r="X307" s="789">
        <f t="shared" ca="1" si="102"/>
        <v>0</v>
      </c>
      <c r="Y307" s="789">
        <f t="shared" ca="1" si="102"/>
        <v>0</v>
      </c>
      <c r="Z307" s="789">
        <f t="shared" ca="1" si="102"/>
        <v>0</v>
      </c>
    </row>
    <row r="308" spans="2:26" hidden="1" outlineLevel="1" x14ac:dyDescent="0.2">
      <c r="B308" s="793"/>
      <c r="C308" s="793"/>
      <c r="D308" s="793"/>
      <c r="E308" s="793"/>
      <c r="F308" s="793"/>
      <c r="G308" s="793"/>
      <c r="H308" s="793"/>
      <c r="I308" s="793"/>
      <c r="J308" s="793"/>
      <c r="K308" s="793"/>
      <c r="L308" s="793"/>
      <c r="M308" s="793"/>
      <c r="N308" s="793"/>
      <c r="O308" s="793"/>
      <c r="P308" s="793"/>
      <c r="Q308" s="793"/>
      <c r="R308" s="793"/>
      <c r="S308" s="793"/>
      <c r="T308" s="793"/>
      <c r="U308" s="793"/>
      <c r="V308" s="793"/>
      <c r="W308" s="793"/>
      <c r="X308" s="793"/>
      <c r="Y308" s="793"/>
      <c r="Z308" s="793"/>
    </row>
    <row r="309" spans="2:26" collapsed="1" x14ac:dyDescent="0.2">
      <c r="B309" s="147" t="s">
        <v>348</v>
      </c>
    </row>
    <row r="310" spans="2:26" x14ac:dyDescent="0.2">
      <c r="B310" s="32" t="s">
        <v>349</v>
      </c>
      <c r="D310" s="47">
        <f ca="1">+SUM(F310:Z310)</f>
        <v>-64.165219326269209</v>
      </c>
      <c r="E310" s="47"/>
      <c r="F310" s="48">
        <f t="shared" ref="F310:Z310" ca="1" si="103">-F298</f>
        <v>-51.505114619219256</v>
      </c>
      <c r="G310" s="48">
        <f t="shared" ca="1" si="103"/>
        <v>-12.660104707049952</v>
      </c>
      <c r="H310" s="48">
        <f t="shared" ca="1" si="103"/>
        <v>0</v>
      </c>
      <c r="I310" s="48">
        <f t="shared" ca="1" si="103"/>
        <v>0</v>
      </c>
      <c r="J310" s="48">
        <f t="shared" ca="1" si="103"/>
        <v>0</v>
      </c>
      <c r="K310" s="48">
        <f t="shared" ca="1" si="103"/>
        <v>0</v>
      </c>
      <c r="L310" s="48">
        <f t="shared" ca="1" si="103"/>
        <v>0</v>
      </c>
      <c r="M310" s="48">
        <f t="shared" ca="1" si="103"/>
        <v>0</v>
      </c>
      <c r="N310" s="48">
        <f t="shared" ca="1" si="103"/>
        <v>0</v>
      </c>
      <c r="O310" s="48">
        <f t="shared" ca="1" si="103"/>
        <v>0</v>
      </c>
      <c r="P310" s="48">
        <f t="shared" ca="1" si="103"/>
        <v>0</v>
      </c>
      <c r="Q310" s="48">
        <f t="shared" ca="1" si="103"/>
        <v>0</v>
      </c>
      <c r="R310" s="48">
        <f t="shared" ca="1" si="103"/>
        <v>0</v>
      </c>
      <c r="S310" s="48">
        <f t="shared" ca="1" si="103"/>
        <v>0</v>
      </c>
      <c r="T310" s="48">
        <f t="shared" ca="1" si="103"/>
        <v>0</v>
      </c>
      <c r="U310" s="48">
        <f t="shared" ca="1" si="103"/>
        <v>0</v>
      </c>
      <c r="V310" s="48">
        <f t="shared" ca="1" si="103"/>
        <v>0</v>
      </c>
      <c r="W310" s="48">
        <f t="shared" ca="1" si="103"/>
        <v>0</v>
      </c>
      <c r="X310" s="48">
        <f t="shared" ca="1" si="103"/>
        <v>0</v>
      </c>
      <c r="Y310" s="48">
        <f t="shared" ca="1" si="103"/>
        <v>0</v>
      </c>
      <c r="Z310" s="48">
        <f t="shared" ca="1" si="103"/>
        <v>0</v>
      </c>
    </row>
    <row r="311" spans="2:26" x14ac:dyDescent="0.2">
      <c r="B311" s="32" t="s">
        <v>350</v>
      </c>
      <c r="D311" s="47">
        <f t="shared" ref="D311" ca="1" si="104">+SUM(F311:Z311)</f>
        <v>286.19662142739486</v>
      </c>
      <c r="E311" s="47"/>
      <c r="F311" s="772">
        <f ca="1">+F280</f>
        <v>0</v>
      </c>
      <c r="G311" s="772">
        <f t="shared" ref="G311:Z311" ca="1" si="105">+G280</f>
        <v>0</v>
      </c>
      <c r="H311" s="772">
        <f t="shared" ca="1" si="105"/>
        <v>0</v>
      </c>
      <c r="I311" s="772">
        <f t="shared" ca="1" si="105"/>
        <v>24.891988041406083</v>
      </c>
      <c r="J311" s="772">
        <f t="shared" ca="1" si="105"/>
        <v>5.2781322857078523</v>
      </c>
      <c r="K311" s="772">
        <f t="shared" ca="1" si="105"/>
        <v>5.8965986043395855</v>
      </c>
      <c r="L311" s="772">
        <f t="shared" ca="1" si="105"/>
        <v>7.6781267557921398</v>
      </c>
      <c r="M311" s="772">
        <f t="shared" ca="1" si="105"/>
        <v>8.0047529827835167</v>
      </c>
      <c r="N311" s="772">
        <f t="shared" ca="1" si="105"/>
        <v>8.4493152071530115</v>
      </c>
      <c r="O311" s="772">
        <f t="shared" ca="1" si="105"/>
        <v>8.905274030542099</v>
      </c>
      <c r="P311" s="772">
        <f t="shared" ca="1" si="105"/>
        <v>217.09243351967058</v>
      </c>
      <c r="Q311" s="772">
        <f t="shared" si="105"/>
        <v>0</v>
      </c>
      <c r="R311" s="772">
        <f t="shared" si="105"/>
        <v>0</v>
      </c>
      <c r="S311" s="772">
        <f t="shared" si="105"/>
        <v>0</v>
      </c>
      <c r="T311" s="772">
        <f t="shared" si="105"/>
        <v>0</v>
      </c>
      <c r="U311" s="772">
        <f t="shared" si="105"/>
        <v>0</v>
      </c>
      <c r="V311" s="772">
        <f t="shared" si="105"/>
        <v>0</v>
      </c>
      <c r="W311" s="772">
        <f t="shared" si="105"/>
        <v>0</v>
      </c>
      <c r="X311" s="772">
        <f t="shared" si="105"/>
        <v>0</v>
      </c>
      <c r="Y311" s="772">
        <f t="shared" si="105"/>
        <v>0</v>
      </c>
      <c r="Z311" s="772">
        <f t="shared" si="105"/>
        <v>0</v>
      </c>
    </row>
    <row r="312" spans="2:26" x14ac:dyDescent="0.2">
      <c r="B312" s="137" t="s">
        <v>351</v>
      </c>
      <c r="C312" s="137"/>
      <c r="D312" s="138">
        <f ca="1">+SUM(F312:Z312)</f>
        <v>222.03140210112565</v>
      </c>
      <c r="E312" s="138"/>
      <c r="F312" s="774">
        <f ca="1">+SUM(F310:F311)</f>
        <v>-51.505114619219256</v>
      </c>
      <c r="G312" s="774">
        <f t="shared" ref="G312:Z312" ca="1" si="106">+SUM(G310:G311)</f>
        <v>-12.660104707049952</v>
      </c>
      <c r="H312" s="774">
        <f t="shared" ca="1" si="106"/>
        <v>0</v>
      </c>
      <c r="I312" s="774">
        <f t="shared" ca="1" si="106"/>
        <v>24.891988041406083</v>
      </c>
      <c r="J312" s="774">
        <f t="shared" ca="1" si="106"/>
        <v>5.2781322857078523</v>
      </c>
      <c r="K312" s="774">
        <f t="shared" ca="1" si="106"/>
        <v>5.8965986043395855</v>
      </c>
      <c r="L312" s="774">
        <f t="shared" ca="1" si="106"/>
        <v>7.6781267557921398</v>
      </c>
      <c r="M312" s="774">
        <f t="shared" ca="1" si="106"/>
        <v>8.0047529827835167</v>
      </c>
      <c r="N312" s="774">
        <f t="shared" ca="1" si="106"/>
        <v>8.4493152071530115</v>
      </c>
      <c r="O312" s="774">
        <f t="shared" ca="1" si="106"/>
        <v>8.905274030542099</v>
      </c>
      <c r="P312" s="774">
        <f t="shared" ca="1" si="106"/>
        <v>217.09243351967058</v>
      </c>
      <c r="Q312" s="774">
        <f t="shared" ca="1" si="106"/>
        <v>0</v>
      </c>
      <c r="R312" s="774">
        <f t="shared" ca="1" si="106"/>
        <v>0</v>
      </c>
      <c r="S312" s="774">
        <f t="shared" ca="1" si="106"/>
        <v>0</v>
      </c>
      <c r="T312" s="774">
        <f t="shared" ca="1" si="106"/>
        <v>0</v>
      </c>
      <c r="U312" s="774">
        <f t="shared" ca="1" si="106"/>
        <v>0</v>
      </c>
      <c r="V312" s="774">
        <f t="shared" ca="1" si="106"/>
        <v>0</v>
      </c>
      <c r="W312" s="774">
        <f t="shared" ca="1" si="106"/>
        <v>0</v>
      </c>
      <c r="X312" s="774">
        <f t="shared" ca="1" si="106"/>
        <v>0</v>
      </c>
      <c r="Y312" s="774">
        <f t="shared" ca="1" si="106"/>
        <v>0</v>
      </c>
      <c r="Z312" s="774">
        <f t="shared" ca="1" si="106"/>
        <v>0</v>
      </c>
    </row>
    <row r="314" spans="2:26" x14ac:dyDescent="0.2">
      <c r="B314" s="188" t="s">
        <v>355</v>
      </c>
      <c r="C314" s="189">
        <f ca="1">+IRR(F312:Z312)</f>
        <v>0.20213049168602204</v>
      </c>
      <c r="I314" s="41"/>
    </row>
    <row r="315" spans="2:26" x14ac:dyDescent="0.2">
      <c r="B315" s="140" t="s">
        <v>353</v>
      </c>
      <c r="C315" s="775">
        <f ca="1">+SUM(F312:Z312)</f>
        <v>222.03140210112565</v>
      </c>
    </row>
    <row r="316" spans="2:26" x14ac:dyDescent="0.2">
      <c r="B316" s="192" t="s">
        <v>354</v>
      </c>
      <c r="C316" s="193">
        <f ca="1">+D311/-D310</f>
        <v>4.4603076936764419</v>
      </c>
    </row>
    <row r="318" spans="2:26" x14ac:dyDescent="0.2">
      <c r="B318" s="36" t="s">
        <v>391</v>
      </c>
      <c r="C318" s="37"/>
      <c r="D318" s="37"/>
      <c r="E318" s="37"/>
      <c r="F318" s="135">
        <f>+F285</f>
        <v>44196</v>
      </c>
      <c r="G318" s="135">
        <f t="shared" ref="G318:Z318" si="107">+G285</f>
        <v>44561</v>
      </c>
      <c r="H318" s="135">
        <f t="shared" si="107"/>
        <v>44926</v>
      </c>
      <c r="I318" s="135">
        <f t="shared" si="107"/>
        <v>45291</v>
      </c>
      <c r="J318" s="135">
        <f t="shared" si="107"/>
        <v>45657</v>
      </c>
      <c r="K318" s="135">
        <f t="shared" si="107"/>
        <v>46022</v>
      </c>
      <c r="L318" s="135">
        <f t="shared" si="107"/>
        <v>46387</v>
      </c>
      <c r="M318" s="135">
        <f t="shared" si="107"/>
        <v>46752</v>
      </c>
      <c r="N318" s="135">
        <f t="shared" si="107"/>
        <v>47118</v>
      </c>
      <c r="O318" s="135">
        <f t="shared" si="107"/>
        <v>47483</v>
      </c>
      <c r="P318" s="135">
        <f t="shared" si="107"/>
        <v>47848</v>
      </c>
      <c r="Q318" s="135">
        <f t="shared" si="107"/>
        <v>48213</v>
      </c>
      <c r="R318" s="135">
        <f t="shared" si="107"/>
        <v>48579</v>
      </c>
      <c r="S318" s="135">
        <f t="shared" si="107"/>
        <v>48944</v>
      </c>
      <c r="T318" s="135">
        <f t="shared" si="107"/>
        <v>49309</v>
      </c>
      <c r="U318" s="135">
        <f t="shared" si="107"/>
        <v>49674</v>
      </c>
      <c r="V318" s="135">
        <f t="shared" si="107"/>
        <v>50040</v>
      </c>
      <c r="W318" s="135">
        <f t="shared" si="107"/>
        <v>50405</v>
      </c>
      <c r="X318" s="135">
        <f t="shared" si="107"/>
        <v>50770</v>
      </c>
      <c r="Y318" s="135">
        <f t="shared" si="107"/>
        <v>51135</v>
      </c>
      <c r="Z318" s="135">
        <f t="shared" si="107"/>
        <v>51501</v>
      </c>
    </row>
    <row r="319" spans="2:26" hidden="1" x14ac:dyDescent="0.2"/>
    <row r="320" spans="2:26" hidden="1" x14ac:dyDescent="0.2">
      <c r="B320" s="147" t="s">
        <v>248</v>
      </c>
      <c r="F320" s="776">
        <f>+F$297</f>
        <v>44196</v>
      </c>
      <c r="G320" s="776">
        <f t="shared" ref="G320:Z320" si="108">+G$297</f>
        <v>44561</v>
      </c>
      <c r="H320" s="776">
        <f t="shared" si="108"/>
        <v>44926</v>
      </c>
      <c r="I320" s="776">
        <f t="shared" si="108"/>
        <v>45291</v>
      </c>
      <c r="J320" s="776">
        <f t="shared" si="108"/>
        <v>45657</v>
      </c>
      <c r="K320" s="776">
        <f t="shared" si="108"/>
        <v>46022</v>
      </c>
      <c r="L320" s="776">
        <f t="shared" si="108"/>
        <v>46387</v>
      </c>
      <c r="M320" s="776">
        <f t="shared" si="108"/>
        <v>46752</v>
      </c>
      <c r="N320" s="776">
        <f t="shared" si="108"/>
        <v>47118</v>
      </c>
      <c r="O320" s="776">
        <f t="shared" si="108"/>
        <v>47483</v>
      </c>
      <c r="P320" s="776">
        <f t="shared" si="108"/>
        <v>47848</v>
      </c>
      <c r="Q320" s="776">
        <f t="shared" si="108"/>
        <v>48213</v>
      </c>
      <c r="R320" s="776">
        <f t="shared" si="108"/>
        <v>48579</v>
      </c>
      <c r="S320" s="776">
        <f t="shared" si="108"/>
        <v>48944</v>
      </c>
      <c r="T320" s="776">
        <f t="shared" si="108"/>
        <v>49309</v>
      </c>
      <c r="U320" s="776">
        <f t="shared" si="108"/>
        <v>49674</v>
      </c>
      <c r="V320" s="776">
        <f t="shared" si="108"/>
        <v>50040</v>
      </c>
      <c r="W320" s="776">
        <f t="shared" si="108"/>
        <v>50405</v>
      </c>
      <c r="X320" s="776">
        <f t="shared" si="108"/>
        <v>50770</v>
      </c>
      <c r="Y320" s="776">
        <f t="shared" si="108"/>
        <v>51135</v>
      </c>
      <c r="Z320" s="776">
        <f t="shared" si="108"/>
        <v>51501</v>
      </c>
    </row>
    <row r="321" spans="2:26" hidden="1" x14ac:dyDescent="0.2">
      <c r="B321" s="32" t="s">
        <v>767</v>
      </c>
      <c r="C321"/>
      <c r="D321"/>
      <c r="E321"/>
      <c r="F321" s="48">
        <f ca="1">+'Phase I Pro Forma'!F318/1000000</f>
        <v>0</v>
      </c>
      <c r="G321" s="48">
        <f ca="1">+'Phase I Pro Forma'!G318/1000000</f>
        <v>0</v>
      </c>
      <c r="H321" s="48">
        <f ca="1">+'Phase I Pro Forma'!H318/1000000</f>
        <v>0</v>
      </c>
      <c r="I321" s="48">
        <f ca="1">+'Phase I Pro Forma'!I318/1000000</f>
        <v>9.9789803531097405</v>
      </c>
      <c r="J321" s="48">
        <f ca="1">+'Phase I Pro Forma'!J318/1000000</f>
        <v>20.15004849162224</v>
      </c>
      <c r="K321" s="48">
        <f ca="1">+'Phase I Pro Forma'!K318/1000000</f>
        <v>20.415119392887934</v>
      </c>
      <c r="L321" s="48">
        <f ca="1">+'Phase I Pro Forma'!L318/1000000</f>
        <v>22.04666644948281</v>
      </c>
      <c r="M321" s="48">
        <f ca="1">+'Phase I Pro Forma'!M318/1000000</f>
        <v>22.260230976380008</v>
      </c>
      <c r="N321" s="48">
        <f ca="1">+'Phase I Pro Forma'!N318/1000000</f>
        <v>22.548752869660749</v>
      </c>
      <c r="O321" s="48">
        <f ca="1">+'Phase I Pro Forma'!O318/1000000</f>
        <v>22.845550555339308</v>
      </c>
      <c r="P321" s="48">
        <f ca="1">+'Phase I Pro Forma'!P318/1000000</f>
        <v>23.082611017095001</v>
      </c>
      <c r="Q321" s="48">
        <f ca="1">+'Phase I Pro Forma'!Q318/1000000</f>
        <v>24.891005347919737</v>
      </c>
      <c r="R321" s="48">
        <f ca="1">+'Phase I Pro Forma'!R318/1000000</f>
        <v>25.214102952101879</v>
      </c>
      <c r="S321" s="48">
        <f ca="1">+'Phase I Pro Forma'!S318/1000000</f>
        <v>25.476863540305128</v>
      </c>
      <c r="T321" s="48">
        <f ca="1">+'Phase I Pro Forma'!T318/1000000</f>
        <v>25.818794874822487</v>
      </c>
      <c r="U321" s="48">
        <f ca="1">+'Phase I Pro Forma'!U318/1000000</f>
        <v>26.170556360362994</v>
      </c>
      <c r="V321" s="48">
        <f ca="1">+'Phase I Pro Forma'!V318/1000000</f>
        <v>28.104693832800677</v>
      </c>
      <c r="W321" s="48">
        <f ca="1">+'Phase I Pro Forma'!W318/1000000</f>
        <v>28.476983085985729</v>
      </c>
      <c r="X321" s="48">
        <f ca="1">+'Phase I Pro Forma'!X318/1000000</f>
        <v>28.8599870436441</v>
      </c>
      <c r="Y321" s="48">
        <f ca="1">+'Phase I Pro Forma'!Y318/1000000</f>
        <v>29.181586702613728</v>
      </c>
      <c r="Z321" s="48">
        <f ca="1">+'Phase I Pro Forma'!Z318/1000000</f>
        <v>29.58696634349489</v>
      </c>
    </row>
    <row r="322" spans="2:26" hidden="1" x14ac:dyDescent="0.2">
      <c r="B322" s="32" t="s">
        <v>768</v>
      </c>
      <c r="C322"/>
      <c r="D322"/>
      <c r="E322"/>
      <c r="F322" s="772">
        <f ca="1">+'Phase I Pro Forma'!F319/1000000</f>
        <v>0</v>
      </c>
      <c r="G322" s="772">
        <f ca="1">+'Phase I Pro Forma'!G319/1000000</f>
        <v>0</v>
      </c>
      <c r="H322" s="772">
        <f ca="1">+'Phase I Pro Forma'!H319/1000000</f>
        <v>0</v>
      </c>
      <c r="I322" s="772">
        <f ca="1">+'Phase I Pro Forma'!I319/1000000</f>
        <v>2.1775515664158847</v>
      </c>
      <c r="J322" s="772">
        <f ca="1">+'Phase I Pro Forma'!J319/1000000</f>
        <v>5.1497084924861101</v>
      </c>
      <c r="K322" s="772">
        <f ca="1">+'Phase I Pro Forma'!K319/1000000</f>
        <v>5.5031039098521459</v>
      </c>
      <c r="L322" s="772">
        <f ca="1">+'Phase I Pro Forma'!L319/1000000</f>
        <v>5.6530850047086956</v>
      </c>
      <c r="M322" s="772">
        <f ca="1">+'Phase I Pro Forma'!M319/1000000</f>
        <v>5.7661467048028729</v>
      </c>
      <c r="N322" s="772">
        <f ca="1">+'Phase I Pro Forma'!N319/1000000</f>
        <v>5.9221870358916266</v>
      </c>
      <c r="O322" s="772">
        <f ca="1">+'Phase I Pro Forma'!O319/1000000</f>
        <v>6.081348173602156</v>
      </c>
      <c r="P322" s="772">
        <f ca="1">+'Phase I Pro Forma'!P319/1000000</f>
        <v>6.2029751370741986</v>
      </c>
      <c r="Q322" s="772">
        <f ca="1">+'Phase I Pro Forma'!Q319/1000000</f>
        <v>6.3685663847482363</v>
      </c>
      <c r="R322" s="772">
        <f ca="1">+'Phase I Pro Forma'!R319/1000000</f>
        <v>6.5374694573757441</v>
      </c>
      <c r="S322" s="772">
        <f ca="1">+'Phase I Pro Forma'!S319/1000000</f>
        <v>6.6682188465232626</v>
      </c>
      <c r="T322" s="772">
        <f ca="1">+'Phase I Pro Forma'!T319/1000000</f>
        <v>6.843945603284932</v>
      </c>
      <c r="U322" s="772">
        <f ca="1">+'Phase I Pro Forma'!U319/1000000</f>
        <v>7.0231868951818308</v>
      </c>
      <c r="V322" s="772">
        <f ca="1">+'Phase I Pro Forma'!V319/1000000</f>
        <v>7.1636506330854672</v>
      </c>
      <c r="W322" s="772">
        <f ca="1">+'Phase I Pro Forma'!W319/1000000</f>
        <v>7.3501332731749995</v>
      </c>
      <c r="X322" s="772">
        <f ca="1">+'Phase I Pro Forma'!X319/1000000</f>
        <v>7.540345566066331</v>
      </c>
      <c r="Y322" s="772">
        <f ca="1">+'Phase I Pro Forma'!Y319/1000000</f>
        <v>7.6911524773876572</v>
      </c>
      <c r="Z322" s="772">
        <f ca="1">+'Phase I Pro Forma'!Z319/1000000</f>
        <v>7.8890493469117935</v>
      </c>
    </row>
    <row r="323" spans="2:26" hidden="1" x14ac:dyDescent="0.2">
      <c r="B323" s="32" t="s">
        <v>769</v>
      </c>
      <c r="C323"/>
      <c r="D323"/>
      <c r="E323"/>
      <c r="F323" s="772">
        <f ca="1">+'Phase I Pro Forma'!F320/1000000</f>
        <v>0</v>
      </c>
      <c r="G323" s="772">
        <f ca="1">+'Phase I Pro Forma'!G320/1000000</f>
        <v>0</v>
      </c>
      <c r="H323" s="772">
        <f ca="1">+'Phase I Pro Forma'!H320/1000000</f>
        <v>0</v>
      </c>
      <c r="I323" s="772">
        <f ca="1">+'Phase I Pro Forma'!I320/1000000</f>
        <v>5.6399999999999986E-12</v>
      </c>
      <c r="J323" s="772">
        <f ca="1">+'Phase I Pro Forma'!J320/1000000</f>
        <v>1.1279999999999999E-11</v>
      </c>
      <c r="K323" s="772">
        <f ca="1">+'Phase I Pro Forma'!K320/1000000</f>
        <v>1.1279999999999997E-11</v>
      </c>
      <c r="L323" s="772">
        <f ca="1">+'Phase I Pro Forma'!L320/1000000</f>
        <v>1.2407999999999998E-11</v>
      </c>
      <c r="M323" s="772">
        <f ca="1">+'Phase I Pro Forma'!M320/1000000</f>
        <v>1.2408000000000001E-11</v>
      </c>
      <c r="N323" s="772">
        <f ca="1">+'Phase I Pro Forma'!N320/1000000</f>
        <v>1.2407999999999996E-11</v>
      </c>
      <c r="O323" s="772">
        <f ca="1">+'Phase I Pro Forma'!O320/1000000</f>
        <v>1.2407999999999996E-11</v>
      </c>
      <c r="P323" s="772">
        <f ca="1">+'Phase I Pro Forma'!P320/1000000</f>
        <v>1.2407999999999996E-11</v>
      </c>
      <c r="Q323" s="772">
        <f ca="1">+'Phase I Pro Forma'!Q320/1000000</f>
        <v>1.3648800000000003E-11</v>
      </c>
      <c r="R323" s="772">
        <f ca="1">+'Phase I Pro Forma'!R320/1000000</f>
        <v>1.36488E-11</v>
      </c>
      <c r="S323" s="772">
        <f ca="1">+'Phase I Pro Forma'!S320/1000000</f>
        <v>1.36488E-11</v>
      </c>
      <c r="T323" s="772">
        <f ca="1">+'Phase I Pro Forma'!T320/1000000</f>
        <v>1.3648800000000005E-11</v>
      </c>
      <c r="U323" s="772">
        <f ca="1">+'Phase I Pro Forma'!U320/1000000</f>
        <v>1.3648800000000005E-11</v>
      </c>
      <c r="V323" s="772">
        <f ca="1">+'Phase I Pro Forma'!V320/1000000</f>
        <v>1.5013680000000003E-11</v>
      </c>
      <c r="W323" s="772">
        <f ca="1">+'Phase I Pro Forma'!W320/1000000</f>
        <v>1.5013680000000003E-11</v>
      </c>
      <c r="X323" s="772">
        <f ca="1">+'Phase I Pro Forma'!X320/1000000</f>
        <v>1.5013680000000006E-11</v>
      </c>
      <c r="Y323" s="772">
        <f ca="1">+'Phase I Pro Forma'!Y320/1000000</f>
        <v>1.5013680000000003E-11</v>
      </c>
      <c r="Z323" s="772">
        <f ca="1">+'Phase I Pro Forma'!Z320/1000000</f>
        <v>1.5013680000000003E-11</v>
      </c>
    </row>
    <row r="324" spans="2:26" hidden="1" x14ac:dyDescent="0.2">
      <c r="B324" s="137" t="s">
        <v>248</v>
      </c>
      <c r="C324" s="137"/>
      <c r="D324" s="138"/>
      <c r="E324" s="138"/>
      <c r="F324" s="774">
        <f t="shared" ref="F324:Z324" ca="1" si="109">+SUM(F321:F323)</f>
        <v>0</v>
      </c>
      <c r="G324" s="774">
        <f t="shared" ca="1" si="109"/>
        <v>0</v>
      </c>
      <c r="H324" s="774">
        <f t="shared" ca="1" si="109"/>
        <v>0</v>
      </c>
      <c r="I324" s="774">
        <f t="shared" ca="1" si="109"/>
        <v>12.156531919531265</v>
      </c>
      <c r="J324" s="774">
        <f t="shared" ca="1" si="109"/>
        <v>25.299756984119629</v>
      </c>
      <c r="K324" s="774">
        <f t="shared" ca="1" si="109"/>
        <v>25.918223302751361</v>
      </c>
      <c r="L324" s="774">
        <f t="shared" ca="1" si="109"/>
        <v>27.699751454203916</v>
      </c>
      <c r="M324" s="774">
        <f t="shared" ca="1" si="109"/>
        <v>28.026377681195289</v>
      </c>
      <c r="N324" s="774">
        <f t="shared" ca="1" si="109"/>
        <v>28.470939905564787</v>
      </c>
      <c r="O324" s="774">
        <f t="shared" ca="1" si="109"/>
        <v>28.926898728953873</v>
      </c>
      <c r="P324" s="774">
        <f t="shared" ca="1" si="109"/>
        <v>29.285586154181608</v>
      </c>
      <c r="Q324" s="774">
        <f t="shared" ca="1" si="109"/>
        <v>31.259571732681621</v>
      </c>
      <c r="R324" s="774">
        <f t="shared" ca="1" si="109"/>
        <v>31.751572409491274</v>
      </c>
      <c r="S324" s="774">
        <f t="shared" ca="1" si="109"/>
        <v>32.145082386842041</v>
      </c>
      <c r="T324" s="774">
        <f t="shared" ca="1" si="109"/>
        <v>32.662740478121066</v>
      </c>
      <c r="U324" s="774">
        <f t="shared" ca="1" si="109"/>
        <v>33.193743255558473</v>
      </c>
      <c r="V324" s="774">
        <f t="shared" ca="1" si="109"/>
        <v>35.268344465901158</v>
      </c>
      <c r="W324" s="774">
        <f t="shared" ca="1" si="109"/>
        <v>35.82711635917574</v>
      </c>
      <c r="X324" s="774">
        <f t="shared" ca="1" si="109"/>
        <v>36.400332609725446</v>
      </c>
      <c r="Y324" s="774">
        <f t="shared" ca="1" si="109"/>
        <v>36.872739180016403</v>
      </c>
      <c r="Z324" s="774">
        <f t="shared" ca="1" si="109"/>
        <v>37.476015690421697</v>
      </c>
    </row>
    <row r="325" spans="2:26" ht="5" hidden="1" customHeight="1" x14ac:dyDescent="0.2"/>
    <row r="326" spans="2:26" hidden="1" x14ac:dyDescent="0.2">
      <c r="B326" s="147" t="s">
        <v>149</v>
      </c>
      <c r="F326" s="776">
        <f>+F$297</f>
        <v>44196</v>
      </c>
      <c r="G326" s="776">
        <f t="shared" ref="G326:Z326" si="110">+G$297</f>
        <v>44561</v>
      </c>
      <c r="H326" s="776">
        <f t="shared" si="110"/>
        <v>44926</v>
      </c>
      <c r="I326" s="776">
        <f t="shared" si="110"/>
        <v>45291</v>
      </c>
      <c r="J326" s="776">
        <f t="shared" si="110"/>
        <v>45657</v>
      </c>
      <c r="K326" s="776">
        <f t="shared" si="110"/>
        <v>46022</v>
      </c>
      <c r="L326" s="776">
        <f t="shared" si="110"/>
        <v>46387</v>
      </c>
      <c r="M326" s="776">
        <f t="shared" si="110"/>
        <v>46752</v>
      </c>
      <c r="N326" s="776">
        <f t="shared" si="110"/>
        <v>47118</v>
      </c>
      <c r="O326" s="776">
        <f t="shared" si="110"/>
        <v>47483</v>
      </c>
      <c r="P326" s="776">
        <f t="shared" si="110"/>
        <v>47848</v>
      </c>
      <c r="Q326" s="776">
        <f t="shared" si="110"/>
        <v>48213</v>
      </c>
      <c r="R326" s="776">
        <f t="shared" si="110"/>
        <v>48579</v>
      </c>
      <c r="S326" s="776">
        <f t="shared" si="110"/>
        <v>48944</v>
      </c>
      <c r="T326" s="776">
        <f t="shared" si="110"/>
        <v>49309</v>
      </c>
      <c r="U326" s="776">
        <f t="shared" si="110"/>
        <v>49674</v>
      </c>
      <c r="V326" s="776">
        <f t="shared" si="110"/>
        <v>50040</v>
      </c>
      <c r="W326" s="776">
        <f t="shared" si="110"/>
        <v>50405</v>
      </c>
      <c r="X326" s="776">
        <f t="shared" si="110"/>
        <v>50770</v>
      </c>
      <c r="Y326" s="776">
        <f t="shared" si="110"/>
        <v>51135</v>
      </c>
      <c r="Z326" s="776">
        <f t="shared" si="110"/>
        <v>51501</v>
      </c>
    </row>
    <row r="327" spans="2:26" hidden="1" x14ac:dyDescent="0.2">
      <c r="B327" s="32" t="s">
        <v>336</v>
      </c>
      <c r="C327"/>
      <c r="D327"/>
      <c r="E327"/>
      <c r="F327" s="48">
        <f>+'Phase I Pro Forma'!F324/1000000</f>
        <v>0</v>
      </c>
      <c r="G327" s="48">
        <f>+'Phase I Pro Forma'!G324/1000000</f>
        <v>0</v>
      </c>
      <c r="H327" s="48">
        <f>+'Phase I Pro Forma'!H324/1000000</f>
        <v>0</v>
      </c>
      <c r="I327" s="48">
        <f>+'Phase I Pro Forma'!I324/1000000</f>
        <v>0</v>
      </c>
      <c r="J327" s="48">
        <f>+'Phase I Pro Forma'!J324/1000000</f>
        <v>0</v>
      </c>
      <c r="K327" s="48">
        <f>+'Phase I Pro Forma'!K324/1000000</f>
        <v>0</v>
      </c>
      <c r="L327" s="48">
        <f>+'Phase I Pro Forma'!L324/1000000</f>
        <v>0</v>
      </c>
      <c r="M327" s="48">
        <f>+'Phase I Pro Forma'!M324/1000000</f>
        <v>0</v>
      </c>
      <c r="N327" s="48">
        <f>+'Phase I Pro Forma'!N324/1000000</f>
        <v>0</v>
      </c>
      <c r="O327" s="48">
        <f>+'Phase I Pro Forma'!O324/1000000</f>
        <v>0</v>
      </c>
      <c r="P327" s="48">
        <f ca="1">+'Phase I Pro Forma'!P324/1000000</f>
        <v>467.05565480227688</v>
      </c>
      <c r="Q327" s="48">
        <f>+'Phase I Pro Forma'!Q324/1000000</f>
        <v>0</v>
      </c>
      <c r="R327" s="48">
        <f>+'Phase I Pro Forma'!R324/1000000</f>
        <v>0</v>
      </c>
      <c r="S327" s="48">
        <f>+'Phase I Pro Forma'!S324/1000000</f>
        <v>0</v>
      </c>
      <c r="T327" s="48">
        <f>+'Phase I Pro Forma'!T324/1000000</f>
        <v>0</v>
      </c>
      <c r="U327" s="48">
        <f>+'Phase I Pro Forma'!U324/1000000</f>
        <v>0</v>
      </c>
      <c r="V327" s="48">
        <f>+'Phase I Pro Forma'!V324/1000000</f>
        <v>0</v>
      </c>
      <c r="W327" s="48">
        <f>+'Phase I Pro Forma'!W324/1000000</f>
        <v>0</v>
      </c>
      <c r="X327" s="48">
        <f>+'Phase I Pro Forma'!X324/1000000</f>
        <v>0</v>
      </c>
      <c r="Y327" s="48">
        <f>+'Phase I Pro Forma'!Y324/1000000</f>
        <v>0</v>
      </c>
      <c r="Z327" s="48">
        <f>+'Phase I Pro Forma'!Z324/1000000</f>
        <v>0</v>
      </c>
    </row>
    <row r="328" spans="2:26" hidden="1" x14ac:dyDescent="0.2">
      <c r="B328" s="32" t="s">
        <v>337</v>
      </c>
      <c r="F328" s="772">
        <f>+'Phase I Pro Forma'!F325/1000000</f>
        <v>0</v>
      </c>
      <c r="G328" s="772">
        <f>+'Phase I Pro Forma'!G325/1000000</f>
        <v>0</v>
      </c>
      <c r="H328" s="772">
        <f>+'Phase I Pro Forma'!H325/1000000</f>
        <v>0</v>
      </c>
      <c r="I328" s="772">
        <f>+'Phase I Pro Forma'!I325/1000000</f>
        <v>0</v>
      </c>
      <c r="J328" s="772">
        <f>+'Phase I Pro Forma'!J325/1000000</f>
        <v>0</v>
      </c>
      <c r="K328" s="772">
        <f>+'Phase I Pro Forma'!K325/1000000</f>
        <v>0</v>
      </c>
      <c r="L328" s="772">
        <f>+'Phase I Pro Forma'!L325/1000000</f>
        <v>0</v>
      </c>
      <c r="M328" s="772">
        <f>+'Phase I Pro Forma'!M325/1000000</f>
        <v>0</v>
      </c>
      <c r="N328" s="772">
        <f>+'Phase I Pro Forma'!N325/1000000</f>
        <v>0</v>
      </c>
      <c r="O328" s="772">
        <f>+'Phase I Pro Forma'!O325/1000000</f>
        <v>0</v>
      </c>
      <c r="P328" s="772">
        <f ca="1">+'Phase I Pro Forma'!P325/1000000</f>
        <v>-9.3411130960455377</v>
      </c>
      <c r="Q328" s="772">
        <f>+'Phase I Pro Forma'!Q325/1000000</f>
        <v>0</v>
      </c>
      <c r="R328" s="772">
        <f>+'Phase I Pro Forma'!R325/1000000</f>
        <v>0</v>
      </c>
      <c r="S328" s="772">
        <f>+'Phase I Pro Forma'!S325/1000000</f>
        <v>0</v>
      </c>
      <c r="T328" s="772">
        <f>+'Phase I Pro Forma'!T325/1000000</f>
        <v>0</v>
      </c>
      <c r="U328" s="772">
        <f>+'Phase I Pro Forma'!U325/1000000</f>
        <v>0</v>
      </c>
      <c r="V328" s="772">
        <f>+'Phase I Pro Forma'!V325/1000000</f>
        <v>0</v>
      </c>
      <c r="W328" s="772">
        <f>+'Phase I Pro Forma'!W325/1000000</f>
        <v>0</v>
      </c>
      <c r="X328" s="772">
        <f>+'Phase I Pro Forma'!X325/1000000</f>
        <v>0</v>
      </c>
      <c r="Y328" s="772">
        <f>+'Phase I Pro Forma'!Y325/1000000</f>
        <v>0</v>
      </c>
      <c r="Z328" s="772">
        <f>+'Phase I Pro Forma'!Z325/1000000</f>
        <v>0</v>
      </c>
    </row>
    <row r="329" spans="2:26" hidden="1" x14ac:dyDescent="0.2">
      <c r="B329" s="137" t="s">
        <v>339</v>
      </c>
      <c r="C329" s="137"/>
      <c r="D329" s="138"/>
      <c r="E329" s="138"/>
      <c r="F329" s="774">
        <f>+SUM(F327:F328)</f>
        <v>0</v>
      </c>
      <c r="G329" s="774">
        <f t="shared" ref="G329:Z329" si="111">+SUM(G327:G328)</f>
        <v>0</v>
      </c>
      <c r="H329" s="774">
        <f t="shared" si="111"/>
        <v>0</v>
      </c>
      <c r="I329" s="774">
        <f t="shared" si="111"/>
        <v>0</v>
      </c>
      <c r="J329" s="774">
        <f t="shared" si="111"/>
        <v>0</v>
      </c>
      <c r="K329" s="774">
        <f t="shared" si="111"/>
        <v>0</v>
      </c>
      <c r="L329" s="774">
        <f t="shared" si="111"/>
        <v>0</v>
      </c>
      <c r="M329" s="774">
        <f t="shared" si="111"/>
        <v>0</v>
      </c>
      <c r="N329" s="774">
        <f t="shared" si="111"/>
        <v>0</v>
      </c>
      <c r="O329" s="774">
        <f t="shared" si="111"/>
        <v>0</v>
      </c>
      <c r="P329" s="774">
        <f t="shared" ca="1" si="111"/>
        <v>457.71454170623133</v>
      </c>
      <c r="Q329" s="774">
        <f t="shared" si="111"/>
        <v>0</v>
      </c>
      <c r="R329" s="774">
        <f t="shared" si="111"/>
        <v>0</v>
      </c>
      <c r="S329" s="774">
        <f t="shared" si="111"/>
        <v>0</v>
      </c>
      <c r="T329" s="774">
        <f t="shared" si="111"/>
        <v>0</v>
      </c>
      <c r="U329" s="774">
        <f t="shared" si="111"/>
        <v>0</v>
      </c>
      <c r="V329" s="774">
        <f t="shared" si="111"/>
        <v>0</v>
      </c>
      <c r="W329" s="774">
        <f t="shared" si="111"/>
        <v>0</v>
      </c>
      <c r="X329" s="774">
        <f t="shared" si="111"/>
        <v>0</v>
      </c>
      <c r="Y329" s="774">
        <f t="shared" si="111"/>
        <v>0</v>
      </c>
      <c r="Z329" s="774">
        <f t="shared" si="111"/>
        <v>0</v>
      </c>
    </row>
    <row r="330" spans="2:26" ht="5" hidden="1" customHeight="1" x14ac:dyDescent="0.2"/>
    <row r="331" spans="2:26" x14ac:dyDescent="0.2">
      <c r="B331" s="147" t="s">
        <v>392</v>
      </c>
      <c r="F331" s="776">
        <f t="shared" ref="F331:Z331" si="112">+F$297</f>
        <v>44196</v>
      </c>
      <c r="G331" s="776">
        <f t="shared" si="112"/>
        <v>44561</v>
      </c>
      <c r="H331" s="776">
        <f t="shared" si="112"/>
        <v>44926</v>
      </c>
      <c r="I331" s="776">
        <f t="shared" si="112"/>
        <v>45291</v>
      </c>
      <c r="J331" s="776">
        <f t="shared" si="112"/>
        <v>45657</v>
      </c>
      <c r="K331" s="776">
        <f t="shared" si="112"/>
        <v>46022</v>
      </c>
      <c r="L331" s="776">
        <f t="shared" si="112"/>
        <v>46387</v>
      </c>
      <c r="M331" s="776">
        <f t="shared" si="112"/>
        <v>46752</v>
      </c>
      <c r="N331" s="776">
        <f t="shared" si="112"/>
        <v>47118</v>
      </c>
      <c r="O331" s="776">
        <f t="shared" si="112"/>
        <v>47483</v>
      </c>
      <c r="P331" s="776">
        <f t="shared" si="112"/>
        <v>47848</v>
      </c>
      <c r="Q331" s="776">
        <f t="shared" si="112"/>
        <v>48213</v>
      </c>
      <c r="R331" s="776">
        <f t="shared" si="112"/>
        <v>48579</v>
      </c>
      <c r="S331" s="776">
        <f t="shared" si="112"/>
        <v>48944</v>
      </c>
      <c r="T331" s="776">
        <f t="shared" si="112"/>
        <v>49309</v>
      </c>
      <c r="U331" s="776">
        <f t="shared" si="112"/>
        <v>49674</v>
      </c>
      <c r="V331" s="776">
        <f t="shared" si="112"/>
        <v>50040</v>
      </c>
      <c r="W331" s="776">
        <f t="shared" si="112"/>
        <v>50405</v>
      </c>
      <c r="X331" s="776">
        <f t="shared" si="112"/>
        <v>50770</v>
      </c>
      <c r="Y331" s="776">
        <f t="shared" si="112"/>
        <v>51135</v>
      </c>
      <c r="Z331" s="776">
        <f t="shared" si="112"/>
        <v>51501</v>
      </c>
    </row>
    <row r="332" spans="2:26" x14ac:dyDescent="0.2">
      <c r="B332" s="32" t="s">
        <v>61</v>
      </c>
      <c r="D332" s="47">
        <f>+SUM(F332:Z332)</f>
        <v>6.9001510000000001</v>
      </c>
      <c r="E332" s="47"/>
      <c r="F332" s="48">
        <f>+'Phase I Pro Forma'!F329/1000000</f>
        <v>6.9001510000000001</v>
      </c>
      <c r="G332" s="48">
        <f>+'Phase I Pro Forma'!G329/1000000</f>
        <v>0</v>
      </c>
      <c r="H332" s="48">
        <f>+'Phase I Pro Forma'!H329/1000000</f>
        <v>0</v>
      </c>
      <c r="I332" s="48">
        <f>+'Phase I Pro Forma'!I329/1000000</f>
        <v>0</v>
      </c>
      <c r="J332" s="48">
        <f>+'Phase I Pro Forma'!J329/1000000</f>
        <v>0</v>
      </c>
      <c r="K332" s="48">
        <f>+'Phase I Pro Forma'!K329/1000000</f>
        <v>0</v>
      </c>
      <c r="L332" s="48">
        <f>+'Phase I Pro Forma'!L329/1000000</f>
        <v>0</v>
      </c>
      <c r="M332" s="48">
        <f>+'Phase I Pro Forma'!M329/1000000</f>
        <v>0</v>
      </c>
      <c r="N332" s="48">
        <f>+'Phase I Pro Forma'!N329/1000000</f>
        <v>0</v>
      </c>
      <c r="O332" s="48">
        <f>+'Phase I Pro Forma'!O329/1000000</f>
        <v>0</v>
      </c>
      <c r="P332" s="48">
        <f>+'Phase I Pro Forma'!P329/1000000</f>
        <v>0</v>
      </c>
      <c r="Q332" s="48">
        <f>+'Phase I Pro Forma'!Q329/1000000</f>
        <v>0</v>
      </c>
      <c r="R332" s="48">
        <f>+'Phase I Pro Forma'!R329/1000000</f>
        <v>0</v>
      </c>
      <c r="S332" s="48">
        <f>+'Phase I Pro Forma'!S329/1000000</f>
        <v>0</v>
      </c>
      <c r="T332" s="48">
        <f>+'Phase I Pro Forma'!T329/1000000</f>
        <v>0</v>
      </c>
      <c r="U332" s="48">
        <f>+'Phase I Pro Forma'!U329/1000000</f>
        <v>0</v>
      </c>
      <c r="V332" s="48">
        <f>+'Phase I Pro Forma'!V329/1000000</f>
        <v>0</v>
      </c>
      <c r="W332" s="48">
        <f>+'Phase I Pro Forma'!W329/1000000</f>
        <v>0</v>
      </c>
      <c r="X332" s="48">
        <f>+'Phase I Pro Forma'!X329/1000000</f>
        <v>0</v>
      </c>
      <c r="Y332" s="48">
        <f>+'Phase I Pro Forma'!Y329/1000000</f>
        <v>0</v>
      </c>
      <c r="Z332" s="48">
        <f>+'Phase I Pro Forma'!Z329/1000000</f>
        <v>0</v>
      </c>
    </row>
    <row r="333" spans="2:26" x14ac:dyDescent="0.2">
      <c r="B333" s="32" t="s">
        <v>8</v>
      </c>
      <c r="D333" s="47">
        <f t="shared" ref="D333:D338" si="113">+SUM(F333:Z333)</f>
        <v>31.353547897872343</v>
      </c>
      <c r="E333" s="47"/>
      <c r="F333" s="772">
        <f>+'Phase I Pro Forma'!F330/1000000</f>
        <v>31.353547897872343</v>
      </c>
      <c r="G333" s="772">
        <f>+'Phase I Pro Forma'!G330/1000000</f>
        <v>0</v>
      </c>
      <c r="H333" s="772">
        <f>+'Phase I Pro Forma'!H330/1000000</f>
        <v>0</v>
      </c>
      <c r="I333" s="772">
        <f>+'Phase I Pro Forma'!I330/1000000</f>
        <v>0</v>
      </c>
      <c r="J333" s="772">
        <f>+'Phase I Pro Forma'!J330/1000000</f>
        <v>0</v>
      </c>
      <c r="K333" s="772">
        <f>+'Phase I Pro Forma'!K330/1000000</f>
        <v>0</v>
      </c>
      <c r="L333" s="772">
        <f>+'Phase I Pro Forma'!L330/1000000</f>
        <v>0</v>
      </c>
      <c r="M333" s="772">
        <f>+'Phase I Pro Forma'!M330/1000000</f>
        <v>0</v>
      </c>
      <c r="N333" s="772">
        <f>+'Phase I Pro Forma'!N330/1000000</f>
        <v>0</v>
      </c>
      <c r="O333" s="772">
        <f>+'Phase I Pro Forma'!O330/1000000</f>
        <v>0</v>
      </c>
      <c r="P333" s="772">
        <f>+'Phase I Pro Forma'!P330/1000000</f>
        <v>0</v>
      </c>
      <c r="Q333" s="772">
        <f>+'Phase I Pro Forma'!Q330/1000000</f>
        <v>0</v>
      </c>
      <c r="R333" s="772">
        <f>+'Phase I Pro Forma'!R330/1000000</f>
        <v>0</v>
      </c>
      <c r="S333" s="772">
        <f>+'Phase I Pro Forma'!S330/1000000</f>
        <v>0</v>
      </c>
      <c r="T333" s="772">
        <f>+'Phase I Pro Forma'!T330/1000000</f>
        <v>0</v>
      </c>
      <c r="U333" s="772">
        <f>+'Phase I Pro Forma'!U330/1000000</f>
        <v>0</v>
      </c>
      <c r="V333" s="772">
        <f>+'Phase I Pro Forma'!V330/1000000</f>
        <v>0</v>
      </c>
      <c r="W333" s="772">
        <f>+'Phase I Pro Forma'!W330/1000000</f>
        <v>0</v>
      </c>
      <c r="X333" s="772">
        <f>+'Phase I Pro Forma'!X330/1000000</f>
        <v>0</v>
      </c>
      <c r="Y333" s="772">
        <f>+'Phase I Pro Forma'!Y330/1000000</f>
        <v>0</v>
      </c>
      <c r="Z333" s="772">
        <f>+'Phase I Pro Forma'!Z330/1000000</f>
        <v>0</v>
      </c>
    </row>
    <row r="334" spans="2:26" x14ac:dyDescent="0.2">
      <c r="B334" s="32" t="s">
        <v>57</v>
      </c>
      <c r="D334" s="47">
        <f t="shared" ca="1" si="113"/>
        <v>297.66345666999996</v>
      </c>
      <c r="E334" s="47"/>
      <c r="F334" s="772">
        <f>+'Phase I Pro Forma'!F331/1000000</f>
        <v>0.16</v>
      </c>
      <c r="G334" s="772">
        <f ca="1">+'Phase I Pro Forma'!G331/1000000</f>
        <v>148.75172833499997</v>
      </c>
      <c r="H334" s="772">
        <f ca="1">+'Phase I Pro Forma'!H331/1000000</f>
        <v>148.75172833499997</v>
      </c>
      <c r="I334" s="772">
        <f>+'Phase I Pro Forma'!I331/1000000</f>
        <v>0</v>
      </c>
      <c r="J334" s="772">
        <f>+'Phase I Pro Forma'!J331/1000000</f>
        <v>0</v>
      </c>
      <c r="K334" s="772">
        <f>+'Phase I Pro Forma'!K331/1000000</f>
        <v>0</v>
      </c>
      <c r="L334" s="772">
        <f>+'Phase I Pro Forma'!L331/1000000</f>
        <v>0</v>
      </c>
      <c r="M334" s="772">
        <f>+'Phase I Pro Forma'!M331/1000000</f>
        <v>0</v>
      </c>
      <c r="N334" s="772">
        <f>+'Phase I Pro Forma'!N331/1000000</f>
        <v>0</v>
      </c>
      <c r="O334" s="772">
        <f>+'Phase I Pro Forma'!O331/1000000</f>
        <v>0</v>
      </c>
      <c r="P334" s="772">
        <f>+'Phase I Pro Forma'!P331/1000000</f>
        <v>0</v>
      </c>
      <c r="Q334" s="772">
        <f>+'Phase I Pro Forma'!Q331/1000000</f>
        <v>0</v>
      </c>
      <c r="R334" s="772">
        <f>+'Phase I Pro Forma'!R331/1000000</f>
        <v>0</v>
      </c>
      <c r="S334" s="772">
        <f>+'Phase I Pro Forma'!S331/1000000</f>
        <v>0</v>
      </c>
      <c r="T334" s="772">
        <f>+'Phase I Pro Forma'!T331/1000000</f>
        <v>0</v>
      </c>
      <c r="U334" s="772">
        <f>+'Phase I Pro Forma'!U331/1000000</f>
        <v>0</v>
      </c>
      <c r="V334" s="772">
        <f>+'Phase I Pro Forma'!V331/1000000</f>
        <v>0</v>
      </c>
      <c r="W334" s="772">
        <f>+'Phase I Pro Forma'!W331/1000000</f>
        <v>0</v>
      </c>
      <c r="X334" s="772">
        <f>+'Phase I Pro Forma'!X331/1000000</f>
        <v>0</v>
      </c>
      <c r="Y334" s="772">
        <f>+'Phase I Pro Forma'!Y331/1000000</f>
        <v>0</v>
      </c>
      <c r="Z334" s="772">
        <f>+'Phase I Pro Forma'!Z331/1000000</f>
        <v>0</v>
      </c>
    </row>
    <row r="335" spans="2:26" x14ac:dyDescent="0.2">
      <c r="B335" s="32" t="s">
        <v>58</v>
      </c>
      <c r="D335" s="47">
        <f t="shared" ca="1" si="113"/>
        <v>23.373365864354209</v>
      </c>
      <c r="E335" s="47"/>
      <c r="F335" s="772">
        <f ca="1">+'Phase I Pro Forma'!F332/1000000</f>
        <v>13.091415721346911</v>
      </c>
      <c r="G335" s="772">
        <f ca="1">+'Phase I Pro Forma'!G332/1000000</f>
        <v>5.1409750715036502</v>
      </c>
      <c r="H335" s="772">
        <f ca="1">+'Phase I Pro Forma'!H332/1000000</f>
        <v>5.1409750715036502</v>
      </c>
      <c r="I335" s="772">
        <f>+'Phase I Pro Forma'!I332/1000000</f>
        <v>0</v>
      </c>
      <c r="J335" s="772">
        <f>+'Phase I Pro Forma'!J332/1000000</f>
        <v>0</v>
      </c>
      <c r="K335" s="772">
        <f>+'Phase I Pro Forma'!K332/1000000</f>
        <v>0</v>
      </c>
      <c r="L335" s="772">
        <f>+'Phase I Pro Forma'!L332/1000000</f>
        <v>0</v>
      </c>
      <c r="M335" s="772">
        <f>+'Phase I Pro Forma'!M332/1000000</f>
        <v>0</v>
      </c>
      <c r="N335" s="772">
        <f>+'Phase I Pro Forma'!N332/1000000</f>
        <v>0</v>
      </c>
      <c r="O335" s="772">
        <f>+'Phase I Pro Forma'!O332/1000000</f>
        <v>0</v>
      </c>
      <c r="P335" s="772">
        <f>+'Phase I Pro Forma'!P332/1000000</f>
        <v>0</v>
      </c>
      <c r="Q335" s="772">
        <f>+'Phase I Pro Forma'!Q332/1000000</f>
        <v>0</v>
      </c>
      <c r="R335" s="772">
        <f>+'Phase I Pro Forma'!R332/1000000</f>
        <v>0</v>
      </c>
      <c r="S335" s="772">
        <f>+'Phase I Pro Forma'!S332/1000000</f>
        <v>0</v>
      </c>
      <c r="T335" s="772">
        <f>+'Phase I Pro Forma'!T332/1000000</f>
        <v>0</v>
      </c>
      <c r="U335" s="772">
        <f>+'Phase I Pro Forma'!U332/1000000</f>
        <v>0</v>
      </c>
      <c r="V335" s="772">
        <f>+'Phase I Pro Forma'!V332/1000000</f>
        <v>0</v>
      </c>
      <c r="W335" s="772">
        <f>+'Phase I Pro Forma'!W332/1000000</f>
        <v>0</v>
      </c>
      <c r="X335" s="772">
        <f>+'Phase I Pro Forma'!X332/1000000</f>
        <v>0</v>
      </c>
      <c r="Y335" s="772">
        <f>+'Phase I Pro Forma'!Y332/1000000</f>
        <v>0</v>
      </c>
      <c r="Z335" s="772">
        <f>+'Phase I Pro Forma'!Z332/1000000</f>
        <v>0</v>
      </c>
    </row>
    <row r="336" spans="2:26" hidden="1" x14ac:dyDescent="0.2">
      <c r="B336" s="32" t="s">
        <v>80</v>
      </c>
      <c r="D336" s="47">
        <f t="shared" si="113"/>
        <v>0</v>
      </c>
      <c r="E336" s="47"/>
      <c r="F336" s="772">
        <f>+'Phase I Pro Forma'!F333/1000000</f>
        <v>0</v>
      </c>
      <c r="G336" s="772">
        <f>+'Phase I Pro Forma'!G333/1000000</f>
        <v>0</v>
      </c>
      <c r="H336" s="772">
        <f>+'Phase I Pro Forma'!H333/1000000</f>
        <v>0</v>
      </c>
      <c r="I336" s="772">
        <f>+'Phase I Pro Forma'!I333/1000000</f>
        <v>0</v>
      </c>
      <c r="J336" s="772">
        <f>+'Phase I Pro Forma'!J333/1000000</f>
        <v>0</v>
      </c>
      <c r="K336" s="772">
        <f>+'Phase I Pro Forma'!K333/1000000</f>
        <v>0</v>
      </c>
      <c r="L336" s="772">
        <f>+'Phase I Pro Forma'!L333/1000000</f>
        <v>0</v>
      </c>
      <c r="M336" s="772">
        <f>+'Phase I Pro Forma'!M333/1000000</f>
        <v>0</v>
      </c>
      <c r="N336" s="772">
        <f>+'Phase I Pro Forma'!N333/1000000</f>
        <v>0</v>
      </c>
      <c r="O336" s="772">
        <f>+'Phase I Pro Forma'!O333/1000000</f>
        <v>0</v>
      </c>
      <c r="P336" s="772">
        <f>+'Phase I Pro Forma'!P333/1000000</f>
        <v>0</v>
      </c>
      <c r="Q336" s="772">
        <f>+'Phase I Pro Forma'!Q333/1000000</f>
        <v>0</v>
      </c>
      <c r="R336" s="772">
        <f>+'Phase I Pro Forma'!R333/1000000</f>
        <v>0</v>
      </c>
      <c r="S336" s="772">
        <f>+'Phase I Pro Forma'!S333/1000000</f>
        <v>0</v>
      </c>
      <c r="T336" s="772">
        <f>+'Phase I Pro Forma'!T333/1000000</f>
        <v>0</v>
      </c>
      <c r="U336" s="772">
        <f>+'Phase I Pro Forma'!U333/1000000</f>
        <v>0</v>
      </c>
      <c r="V336" s="772">
        <f>+'Phase I Pro Forma'!V333/1000000</f>
        <v>0</v>
      </c>
      <c r="W336" s="772">
        <f>+'Phase I Pro Forma'!W333/1000000</f>
        <v>0</v>
      </c>
      <c r="X336" s="772">
        <f>+'Phase I Pro Forma'!X333/1000000</f>
        <v>0</v>
      </c>
      <c r="Y336" s="772">
        <f>+'Phase I Pro Forma'!Y333/1000000</f>
        <v>0</v>
      </c>
      <c r="Z336" s="772">
        <f>+'Phase I Pro Forma'!Z333/1000000</f>
        <v>0</v>
      </c>
    </row>
    <row r="337" spans="2:26" x14ac:dyDescent="0.2">
      <c r="B337" s="32" t="s">
        <v>83</v>
      </c>
      <c r="D337" s="47">
        <f t="shared" ca="1" si="113"/>
        <v>0.76432310105370782</v>
      </c>
      <c r="E337" s="47"/>
      <c r="F337" s="772">
        <f>+'Phase I Pro Forma'!F334/1000000</f>
        <v>0</v>
      </c>
      <c r="G337" s="772">
        <f ca="1">+'Phase I Pro Forma'!G334/1000000</f>
        <v>0.38216155052685391</v>
      </c>
      <c r="H337" s="772">
        <f ca="1">+'Phase I Pro Forma'!H334/1000000</f>
        <v>0.38216155052685391</v>
      </c>
      <c r="I337" s="772">
        <f>+'Phase I Pro Forma'!I334/1000000</f>
        <v>0</v>
      </c>
      <c r="J337" s="772">
        <f>+'Phase I Pro Forma'!J334/1000000</f>
        <v>0</v>
      </c>
      <c r="K337" s="772">
        <f>+'Phase I Pro Forma'!K334/1000000</f>
        <v>0</v>
      </c>
      <c r="L337" s="772">
        <f>+'Phase I Pro Forma'!L334/1000000</f>
        <v>0</v>
      </c>
      <c r="M337" s="772">
        <f>+'Phase I Pro Forma'!M334/1000000</f>
        <v>0</v>
      </c>
      <c r="N337" s="772">
        <f>+'Phase I Pro Forma'!N334/1000000</f>
        <v>0</v>
      </c>
      <c r="O337" s="772">
        <f>+'Phase I Pro Forma'!O334/1000000</f>
        <v>0</v>
      </c>
      <c r="P337" s="772">
        <f>+'Phase I Pro Forma'!P334/1000000</f>
        <v>0</v>
      </c>
      <c r="Q337" s="772">
        <f>+'Phase I Pro Forma'!Q334/1000000</f>
        <v>0</v>
      </c>
      <c r="R337" s="772">
        <f>+'Phase I Pro Forma'!R334/1000000</f>
        <v>0</v>
      </c>
      <c r="S337" s="772">
        <f>+'Phase I Pro Forma'!S334/1000000</f>
        <v>0</v>
      </c>
      <c r="T337" s="772">
        <f>+'Phase I Pro Forma'!T334/1000000</f>
        <v>0</v>
      </c>
      <c r="U337" s="772">
        <f>+'Phase I Pro Forma'!U334/1000000</f>
        <v>0</v>
      </c>
      <c r="V337" s="772">
        <f>+'Phase I Pro Forma'!V334/1000000</f>
        <v>0</v>
      </c>
      <c r="W337" s="772">
        <f>+'Phase I Pro Forma'!W334/1000000</f>
        <v>0</v>
      </c>
      <c r="X337" s="772">
        <f>+'Phase I Pro Forma'!X334/1000000</f>
        <v>0</v>
      </c>
      <c r="Y337" s="772">
        <f>+'Phase I Pro Forma'!Y334/1000000</f>
        <v>0</v>
      </c>
      <c r="Z337" s="772">
        <f>+'Phase I Pro Forma'!Z334/1000000</f>
        <v>0</v>
      </c>
    </row>
    <row r="338" spans="2:26" x14ac:dyDescent="0.2">
      <c r="B338" s="32" t="s">
        <v>60</v>
      </c>
      <c r="D338" s="47">
        <f t="shared" ca="1" si="113"/>
        <v>11.439613385352329</v>
      </c>
      <c r="E338" s="47"/>
      <c r="F338" s="772">
        <f ca="1">+'Phase I Pro Forma'!F335/1000000</f>
        <v>0</v>
      </c>
      <c r="G338" s="772">
        <f ca="1">+'Phase I Pro Forma'!G335/1000000</f>
        <v>2.8599033463380823</v>
      </c>
      <c r="H338" s="772">
        <f ca="1">+'Phase I Pro Forma'!H335/1000000</f>
        <v>2.8599033463380823</v>
      </c>
      <c r="I338" s="772">
        <f ca="1">+'Phase I Pro Forma'!I335/1000000</f>
        <v>2.8599033463380823</v>
      </c>
      <c r="J338" s="772">
        <f ca="1">+'Phase I Pro Forma'!J335/1000000</f>
        <v>2.8599033463380823</v>
      </c>
      <c r="K338" s="772">
        <f>+'Phase I Pro Forma'!K335/1000000</f>
        <v>0</v>
      </c>
      <c r="L338" s="772">
        <f>+'Phase I Pro Forma'!L335/1000000</f>
        <v>0</v>
      </c>
      <c r="M338" s="772">
        <f>+'Phase I Pro Forma'!M335/1000000</f>
        <v>0</v>
      </c>
      <c r="N338" s="772">
        <f>+'Phase I Pro Forma'!N335/1000000</f>
        <v>0</v>
      </c>
      <c r="O338" s="772">
        <f>+'Phase I Pro Forma'!O335/1000000</f>
        <v>0</v>
      </c>
      <c r="P338" s="772">
        <f>+'Phase I Pro Forma'!P335/1000000</f>
        <v>0</v>
      </c>
      <c r="Q338" s="772">
        <f>+'Phase I Pro Forma'!Q335/1000000</f>
        <v>0</v>
      </c>
      <c r="R338" s="772">
        <f>+'Phase I Pro Forma'!R335/1000000</f>
        <v>0</v>
      </c>
      <c r="S338" s="772">
        <f>+'Phase I Pro Forma'!S335/1000000</f>
        <v>0</v>
      </c>
      <c r="T338" s="772">
        <f>+'Phase I Pro Forma'!T335/1000000</f>
        <v>0</v>
      </c>
      <c r="U338" s="772">
        <f>+'Phase I Pro Forma'!U335/1000000</f>
        <v>0</v>
      </c>
      <c r="V338" s="772">
        <f>+'Phase I Pro Forma'!V335/1000000</f>
        <v>0</v>
      </c>
      <c r="W338" s="772">
        <f>+'Phase I Pro Forma'!W335/1000000</f>
        <v>0</v>
      </c>
      <c r="X338" s="772">
        <f>+'Phase I Pro Forma'!X335/1000000</f>
        <v>0</v>
      </c>
      <c r="Y338" s="772">
        <f>+'Phase I Pro Forma'!Y335/1000000</f>
        <v>0</v>
      </c>
      <c r="Z338" s="772">
        <f>+'Phase I Pro Forma'!Z335/1000000</f>
        <v>0</v>
      </c>
    </row>
    <row r="339" spans="2:26" x14ac:dyDescent="0.2">
      <c r="B339" s="137" t="s">
        <v>20</v>
      </c>
      <c r="C339" s="137"/>
      <c r="D339" s="138">
        <f ca="1">+SUM(F339:Z339)</f>
        <v>371.49445791863252</v>
      </c>
      <c r="E339" s="138"/>
      <c r="F339" s="774">
        <f ca="1">+SUM(F332:F338)</f>
        <v>51.505114619219249</v>
      </c>
      <c r="G339" s="774">
        <f t="shared" ref="G339:Z339" ca="1" si="114">+SUM(G332:G338)</f>
        <v>157.13476830336856</v>
      </c>
      <c r="H339" s="774">
        <f t="shared" ca="1" si="114"/>
        <v>157.13476830336856</v>
      </c>
      <c r="I339" s="774">
        <f t="shared" ca="1" si="114"/>
        <v>2.8599033463380823</v>
      </c>
      <c r="J339" s="774">
        <f t="shared" ca="1" si="114"/>
        <v>2.8599033463380823</v>
      </c>
      <c r="K339" s="774">
        <f t="shared" si="114"/>
        <v>0</v>
      </c>
      <c r="L339" s="774">
        <f t="shared" si="114"/>
        <v>0</v>
      </c>
      <c r="M339" s="774">
        <f t="shared" si="114"/>
        <v>0</v>
      </c>
      <c r="N339" s="774">
        <f t="shared" si="114"/>
        <v>0</v>
      </c>
      <c r="O339" s="774">
        <f t="shared" si="114"/>
        <v>0</v>
      </c>
      <c r="P339" s="774">
        <f t="shared" si="114"/>
        <v>0</v>
      </c>
      <c r="Q339" s="774">
        <f t="shared" si="114"/>
        <v>0</v>
      </c>
      <c r="R339" s="774">
        <f t="shared" si="114"/>
        <v>0</v>
      </c>
      <c r="S339" s="774">
        <f t="shared" si="114"/>
        <v>0</v>
      </c>
      <c r="T339" s="774">
        <f t="shared" si="114"/>
        <v>0</v>
      </c>
      <c r="U339" s="774">
        <f t="shared" si="114"/>
        <v>0</v>
      </c>
      <c r="V339" s="774">
        <f t="shared" si="114"/>
        <v>0</v>
      </c>
      <c r="W339" s="774">
        <f t="shared" si="114"/>
        <v>0</v>
      </c>
      <c r="X339" s="774">
        <f t="shared" si="114"/>
        <v>0</v>
      </c>
      <c r="Y339" s="774">
        <f t="shared" si="114"/>
        <v>0</v>
      </c>
      <c r="Z339" s="774">
        <f t="shared" si="114"/>
        <v>0</v>
      </c>
    </row>
    <row r="340" spans="2:26" ht="5" customHeight="1" x14ac:dyDescent="0.2"/>
    <row r="341" spans="2:26" x14ac:dyDescent="0.2">
      <c r="B341" s="147" t="s">
        <v>347</v>
      </c>
      <c r="F341" s="776">
        <f>+F318</f>
        <v>44196</v>
      </c>
      <c r="G341" s="776">
        <f t="shared" ref="G341:Z341" si="115">+G318</f>
        <v>44561</v>
      </c>
      <c r="H341" s="776">
        <f t="shared" si="115"/>
        <v>44926</v>
      </c>
      <c r="I341" s="776">
        <f t="shared" si="115"/>
        <v>45291</v>
      </c>
      <c r="J341" s="776">
        <f t="shared" si="115"/>
        <v>45657</v>
      </c>
      <c r="K341" s="776">
        <f t="shared" si="115"/>
        <v>46022</v>
      </c>
      <c r="L341" s="776">
        <f t="shared" si="115"/>
        <v>46387</v>
      </c>
      <c r="M341" s="776">
        <f t="shared" si="115"/>
        <v>46752</v>
      </c>
      <c r="N341" s="776">
        <f t="shared" si="115"/>
        <v>47118</v>
      </c>
      <c r="O341" s="776">
        <f t="shared" si="115"/>
        <v>47483</v>
      </c>
      <c r="P341" s="776">
        <f t="shared" si="115"/>
        <v>47848</v>
      </c>
      <c r="Q341" s="776">
        <f t="shared" si="115"/>
        <v>48213</v>
      </c>
      <c r="R341" s="776">
        <f t="shared" si="115"/>
        <v>48579</v>
      </c>
      <c r="S341" s="776">
        <f t="shared" si="115"/>
        <v>48944</v>
      </c>
      <c r="T341" s="776">
        <f t="shared" si="115"/>
        <v>49309</v>
      </c>
      <c r="U341" s="776">
        <f t="shared" si="115"/>
        <v>49674</v>
      </c>
      <c r="V341" s="776">
        <f t="shared" si="115"/>
        <v>50040</v>
      </c>
      <c r="W341" s="776">
        <f t="shared" si="115"/>
        <v>50405</v>
      </c>
      <c r="X341" s="776">
        <f t="shared" si="115"/>
        <v>50770</v>
      </c>
      <c r="Y341" s="776">
        <f t="shared" si="115"/>
        <v>51135</v>
      </c>
      <c r="Z341" s="776">
        <f t="shared" si="115"/>
        <v>51501</v>
      </c>
    </row>
    <row r="342" spans="2:26" x14ac:dyDescent="0.2">
      <c r="B342" s="32" t="s">
        <v>29</v>
      </c>
      <c r="D342" s="47">
        <f ca="1">+D339-SUM(D299:D302,D304)</f>
        <v>275.79559301939639</v>
      </c>
      <c r="E342" s="47"/>
      <c r="F342" s="48">
        <f ca="1">+'Phase I Pro Forma'!F339/1000000</f>
        <v>51.505114619219256</v>
      </c>
      <c r="G342" s="48">
        <f ca="1">+'Phase I Pro Forma'!G339/1000000</f>
        <v>157.13476830336856</v>
      </c>
      <c r="H342" s="48">
        <f ca="1">+'Phase I Pro Forma'!H339/1000000</f>
        <v>67.155710096808619</v>
      </c>
      <c r="I342" s="48">
        <f ca="1">+'Phase I Pro Forma'!I339/1000000</f>
        <v>0</v>
      </c>
      <c r="J342" s="48">
        <f ca="1">+'Phase I Pro Forma'!J339/1000000</f>
        <v>0</v>
      </c>
      <c r="K342" s="48">
        <f ca="1">+'Phase I Pro Forma'!K339/1000000</f>
        <v>0</v>
      </c>
      <c r="L342" s="48">
        <f ca="1">+'Phase I Pro Forma'!L339/1000000</f>
        <v>0</v>
      </c>
      <c r="M342" s="48">
        <f ca="1">+'Phase I Pro Forma'!M339/1000000</f>
        <v>0</v>
      </c>
      <c r="N342" s="48">
        <f ca="1">+'Phase I Pro Forma'!N339/1000000</f>
        <v>0</v>
      </c>
      <c r="O342" s="48">
        <f ca="1">+'Phase I Pro Forma'!O339/1000000</f>
        <v>0</v>
      </c>
      <c r="P342" s="48">
        <f ca="1">+'Phase I Pro Forma'!P339/1000000</f>
        <v>0</v>
      </c>
      <c r="Q342" s="48">
        <f ca="1">+'Phase I Pro Forma'!Q339/1000000</f>
        <v>0</v>
      </c>
      <c r="R342" s="48">
        <f ca="1">+'Phase I Pro Forma'!R339/1000000</f>
        <v>0</v>
      </c>
      <c r="S342" s="48">
        <f ca="1">+'Phase I Pro Forma'!S339/1000000</f>
        <v>0</v>
      </c>
      <c r="T342" s="48">
        <f ca="1">+'Phase I Pro Forma'!T339/1000000</f>
        <v>0</v>
      </c>
      <c r="U342" s="48">
        <f ca="1">+'Phase I Pro Forma'!U339/1000000</f>
        <v>0</v>
      </c>
      <c r="V342" s="48">
        <f ca="1">+'Phase I Pro Forma'!V339/1000000</f>
        <v>0</v>
      </c>
      <c r="W342" s="48">
        <f ca="1">+'Phase I Pro Forma'!W339/1000000</f>
        <v>0</v>
      </c>
      <c r="X342" s="48">
        <f ca="1">+'Phase I Pro Forma'!X339/1000000</f>
        <v>0</v>
      </c>
      <c r="Y342" s="48">
        <f ca="1">+'Phase I Pro Forma'!Y339/1000000</f>
        <v>0</v>
      </c>
      <c r="Z342" s="48">
        <f ca="1">+'Phase I Pro Forma'!Z339/1000000</f>
        <v>0</v>
      </c>
    </row>
    <row r="343" spans="2:26" hidden="1" x14ac:dyDescent="0.2">
      <c r="B343" s="32" t="s">
        <v>326</v>
      </c>
      <c r="D343" s="47">
        <f t="shared" ref="D343:D349" ca="1" si="116">+SUM(F343:Z343)</f>
        <v>0</v>
      </c>
      <c r="E343" s="47"/>
      <c r="F343" s="772">
        <f ca="1">+'Phase I Pro Forma'!F340/1000000</f>
        <v>0</v>
      </c>
      <c r="G343" s="772">
        <f ca="1">+'Phase I Pro Forma'!G340/1000000</f>
        <v>0</v>
      </c>
      <c r="H343" s="772">
        <f ca="1">+'Phase I Pro Forma'!H340/1000000</f>
        <v>0</v>
      </c>
      <c r="I343" s="772">
        <f ca="1">+'Phase I Pro Forma'!I340/1000000</f>
        <v>0</v>
      </c>
      <c r="J343" s="772">
        <f ca="1">+'Phase I Pro Forma'!J340/1000000</f>
        <v>0</v>
      </c>
      <c r="K343" s="772">
        <f ca="1">+'Phase I Pro Forma'!K340/1000000</f>
        <v>0</v>
      </c>
      <c r="L343" s="772">
        <f ca="1">+'Phase I Pro Forma'!L340/1000000</f>
        <v>0</v>
      </c>
      <c r="M343" s="772">
        <f ca="1">+'Phase I Pro Forma'!M340/1000000</f>
        <v>0</v>
      </c>
      <c r="N343" s="772">
        <f ca="1">+'Phase I Pro Forma'!N340/1000000</f>
        <v>0</v>
      </c>
      <c r="O343" s="772">
        <f ca="1">+'Phase I Pro Forma'!O340/1000000</f>
        <v>0</v>
      </c>
      <c r="P343" s="772">
        <f ca="1">+'Phase I Pro Forma'!P340/1000000</f>
        <v>0</v>
      </c>
      <c r="Q343" s="772">
        <f ca="1">+'Phase I Pro Forma'!Q340/1000000</f>
        <v>0</v>
      </c>
      <c r="R343" s="772">
        <f ca="1">+'Phase I Pro Forma'!R340/1000000</f>
        <v>0</v>
      </c>
      <c r="S343" s="772">
        <f ca="1">+'Phase I Pro Forma'!S340/1000000</f>
        <v>0</v>
      </c>
      <c r="T343" s="772">
        <f ca="1">+'Phase I Pro Forma'!T340/1000000</f>
        <v>0</v>
      </c>
      <c r="U343" s="772">
        <f ca="1">+'Phase I Pro Forma'!U340/1000000</f>
        <v>0</v>
      </c>
      <c r="V343" s="772">
        <f ca="1">+'Phase I Pro Forma'!V340/1000000</f>
        <v>0</v>
      </c>
      <c r="W343" s="772">
        <f ca="1">+'Phase I Pro Forma'!W340/1000000</f>
        <v>0</v>
      </c>
      <c r="X343" s="772">
        <f ca="1">+'Phase I Pro Forma'!X340/1000000</f>
        <v>0</v>
      </c>
      <c r="Y343" s="772">
        <f ca="1">+'Phase I Pro Forma'!Y340/1000000</f>
        <v>0</v>
      </c>
      <c r="Z343" s="772">
        <f ca="1">+'Phase I Pro Forma'!Z340/1000000</f>
        <v>0</v>
      </c>
    </row>
    <row r="344" spans="2:26" x14ac:dyDescent="0.2">
      <c r="B344" s="32" t="s">
        <v>99</v>
      </c>
      <c r="D344" s="47">
        <f t="shared" ca="1" si="116"/>
        <v>12.714766389964083</v>
      </c>
      <c r="E344" s="47"/>
      <c r="F344" s="772">
        <f ca="1">+'Phase I Pro Forma'!F341/1000000</f>
        <v>0</v>
      </c>
      <c r="G344" s="772">
        <f ca="1">+'Phase I Pro Forma'!G341/1000000</f>
        <v>0</v>
      </c>
      <c r="H344" s="772">
        <f ca="1">+'Phase I Pro Forma'!H341/1000000</f>
        <v>12.714766389964083</v>
      </c>
      <c r="I344" s="772">
        <f ca="1">+'Phase I Pro Forma'!I341/1000000</f>
        <v>0</v>
      </c>
      <c r="J344" s="772">
        <f ca="1">+'Phase I Pro Forma'!J341/1000000</f>
        <v>0</v>
      </c>
      <c r="K344" s="772">
        <f ca="1">+'Phase I Pro Forma'!K341/1000000</f>
        <v>0</v>
      </c>
      <c r="L344" s="772">
        <f ca="1">+'Phase I Pro Forma'!L341/1000000</f>
        <v>0</v>
      </c>
      <c r="M344" s="772">
        <f ca="1">+'Phase I Pro Forma'!M341/1000000</f>
        <v>0</v>
      </c>
      <c r="N344" s="772">
        <f ca="1">+'Phase I Pro Forma'!N341/1000000</f>
        <v>0</v>
      </c>
      <c r="O344" s="772">
        <f ca="1">+'Phase I Pro Forma'!O341/1000000</f>
        <v>0</v>
      </c>
      <c r="P344" s="772">
        <f ca="1">+'Phase I Pro Forma'!P341/1000000</f>
        <v>0</v>
      </c>
      <c r="Q344" s="772">
        <f ca="1">+'Phase I Pro Forma'!Q341/1000000</f>
        <v>0</v>
      </c>
      <c r="R344" s="772">
        <f ca="1">+'Phase I Pro Forma'!R341/1000000</f>
        <v>0</v>
      </c>
      <c r="S344" s="772">
        <f ca="1">+'Phase I Pro Forma'!S341/1000000</f>
        <v>0</v>
      </c>
      <c r="T344" s="772">
        <f ca="1">+'Phase I Pro Forma'!T341/1000000</f>
        <v>0</v>
      </c>
      <c r="U344" s="772">
        <f ca="1">+'Phase I Pro Forma'!U341/1000000</f>
        <v>0</v>
      </c>
      <c r="V344" s="772">
        <f ca="1">+'Phase I Pro Forma'!V341/1000000</f>
        <v>0</v>
      </c>
      <c r="W344" s="772">
        <f ca="1">+'Phase I Pro Forma'!W341/1000000</f>
        <v>0</v>
      </c>
      <c r="X344" s="772">
        <f ca="1">+'Phase I Pro Forma'!X341/1000000</f>
        <v>0</v>
      </c>
      <c r="Y344" s="772">
        <f ca="1">+'Phase I Pro Forma'!Y341/1000000</f>
        <v>0</v>
      </c>
      <c r="Z344" s="772">
        <f ca="1">+'Phase I Pro Forma'!Z341/1000000</f>
        <v>0</v>
      </c>
    </row>
    <row r="345" spans="2:26" x14ac:dyDescent="0.2">
      <c r="B345" s="32" t="s">
        <v>100</v>
      </c>
      <c r="D345" s="47">
        <f t="shared" ca="1" si="116"/>
        <v>5.5380000000000003</v>
      </c>
      <c r="E345" s="47"/>
      <c r="F345" s="772">
        <f ca="1">+'Phase I Pro Forma'!F342/1000000</f>
        <v>0</v>
      </c>
      <c r="G345" s="772">
        <f ca="1">+'Phase I Pro Forma'!G342/1000000</f>
        <v>0</v>
      </c>
      <c r="H345" s="772">
        <f ca="1">+'Phase I Pro Forma'!H342/1000000</f>
        <v>5.5380000000000003</v>
      </c>
      <c r="I345" s="772">
        <f ca="1">+'Phase I Pro Forma'!I342/1000000</f>
        <v>0</v>
      </c>
      <c r="J345" s="772">
        <f ca="1">+'Phase I Pro Forma'!J342/1000000</f>
        <v>0</v>
      </c>
      <c r="K345" s="772">
        <f ca="1">+'Phase I Pro Forma'!K342/1000000</f>
        <v>0</v>
      </c>
      <c r="L345" s="772">
        <f ca="1">+'Phase I Pro Forma'!L342/1000000</f>
        <v>0</v>
      </c>
      <c r="M345" s="772">
        <f ca="1">+'Phase I Pro Forma'!M342/1000000</f>
        <v>0</v>
      </c>
      <c r="N345" s="772">
        <f ca="1">+'Phase I Pro Forma'!N342/1000000</f>
        <v>0</v>
      </c>
      <c r="O345" s="772">
        <f ca="1">+'Phase I Pro Forma'!O342/1000000</f>
        <v>0</v>
      </c>
      <c r="P345" s="772">
        <f ca="1">+'Phase I Pro Forma'!P342/1000000</f>
        <v>0</v>
      </c>
      <c r="Q345" s="772">
        <f ca="1">+'Phase I Pro Forma'!Q342/1000000</f>
        <v>0</v>
      </c>
      <c r="R345" s="772">
        <f ca="1">+'Phase I Pro Forma'!R342/1000000</f>
        <v>0</v>
      </c>
      <c r="S345" s="772">
        <f ca="1">+'Phase I Pro Forma'!S342/1000000</f>
        <v>0</v>
      </c>
      <c r="T345" s="772">
        <f ca="1">+'Phase I Pro Forma'!T342/1000000</f>
        <v>0</v>
      </c>
      <c r="U345" s="772">
        <f ca="1">+'Phase I Pro Forma'!U342/1000000</f>
        <v>0</v>
      </c>
      <c r="V345" s="772">
        <f ca="1">+'Phase I Pro Forma'!V342/1000000</f>
        <v>0</v>
      </c>
      <c r="W345" s="772">
        <f ca="1">+'Phase I Pro Forma'!W342/1000000</f>
        <v>0</v>
      </c>
      <c r="X345" s="772">
        <f ca="1">+'Phase I Pro Forma'!X342/1000000</f>
        <v>0</v>
      </c>
      <c r="Y345" s="772">
        <f ca="1">+'Phase I Pro Forma'!Y342/1000000</f>
        <v>0</v>
      </c>
      <c r="Z345" s="772">
        <f ca="1">+'Phase I Pro Forma'!Z342/1000000</f>
        <v>0</v>
      </c>
    </row>
    <row r="346" spans="2:26" x14ac:dyDescent="0.2">
      <c r="B346" s="32" t="s">
        <v>613</v>
      </c>
      <c r="D346" s="47">
        <f t="shared" ref="D346" ca="1" si="117">+SUM(F346:Z346)</f>
        <v>3.2563307674772362</v>
      </c>
      <c r="E346" s="47"/>
      <c r="F346" s="772">
        <f ca="1">+'Phase I Pro Forma'!F343/1000000</f>
        <v>0</v>
      </c>
      <c r="G346" s="772">
        <f ca="1">+'Phase I Pro Forma'!G343/1000000</f>
        <v>0</v>
      </c>
      <c r="H346" s="772">
        <f ca="1">+'Phase I Pro Forma'!H343/1000000</f>
        <v>3.2563307674772362</v>
      </c>
      <c r="I346" s="772">
        <f ca="1">+'Phase I Pro Forma'!I343/1000000</f>
        <v>0</v>
      </c>
      <c r="J346" s="772">
        <f ca="1">+'Phase I Pro Forma'!J343/1000000</f>
        <v>0</v>
      </c>
      <c r="K346" s="772">
        <f ca="1">+'Phase I Pro Forma'!K343/1000000</f>
        <v>0</v>
      </c>
      <c r="L346" s="772">
        <f ca="1">+'Phase I Pro Forma'!L343/1000000</f>
        <v>0</v>
      </c>
      <c r="M346" s="772">
        <f ca="1">+'Phase I Pro Forma'!M343/1000000</f>
        <v>0</v>
      </c>
      <c r="N346" s="772">
        <f ca="1">+'Phase I Pro Forma'!N343/1000000</f>
        <v>0</v>
      </c>
      <c r="O346" s="772">
        <f ca="1">+'Phase I Pro Forma'!O343/1000000</f>
        <v>0</v>
      </c>
      <c r="P346" s="772">
        <f ca="1">+'Phase I Pro Forma'!P343/1000000</f>
        <v>0</v>
      </c>
      <c r="Q346" s="772">
        <f ca="1">+'Phase I Pro Forma'!Q343/1000000</f>
        <v>0</v>
      </c>
      <c r="R346" s="772">
        <f ca="1">+'Phase I Pro Forma'!R343/1000000</f>
        <v>0</v>
      </c>
      <c r="S346" s="772">
        <f ca="1">+'Phase I Pro Forma'!S343/1000000</f>
        <v>0</v>
      </c>
      <c r="T346" s="772">
        <f ca="1">+'Phase I Pro Forma'!T343/1000000</f>
        <v>0</v>
      </c>
      <c r="U346" s="772">
        <f ca="1">+'Phase I Pro Forma'!U343/1000000</f>
        <v>0</v>
      </c>
      <c r="V346" s="772">
        <f ca="1">+'Phase I Pro Forma'!V343/1000000</f>
        <v>0</v>
      </c>
      <c r="W346" s="772">
        <f ca="1">+'Phase I Pro Forma'!W343/1000000</f>
        <v>0</v>
      </c>
      <c r="X346" s="772">
        <f ca="1">+'Phase I Pro Forma'!X343/1000000</f>
        <v>0</v>
      </c>
      <c r="Y346" s="772">
        <f ca="1">+'Phase I Pro Forma'!Y343/1000000</f>
        <v>0</v>
      </c>
      <c r="Z346" s="772">
        <f ca="1">+'Phase I Pro Forma'!Z343/1000000</f>
        <v>0</v>
      </c>
    </row>
    <row r="347" spans="2:26" hidden="1" x14ac:dyDescent="0.2">
      <c r="B347" s="32" t="s">
        <v>330</v>
      </c>
      <c r="D347" s="47">
        <f t="shared" si="116"/>
        <v>0</v>
      </c>
      <c r="E347" s="47"/>
      <c r="F347" s="772">
        <f>+'Phase I Pro Forma'!F344/1000000</f>
        <v>0</v>
      </c>
      <c r="G347" s="772">
        <f>+'Phase I Pro Forma'!G344/1000000</f>
        <v>0</v>
      </c>
      <c r="H347" s="772">
        <f>+'Phase I Pro Forma'!H344/1000000</f>
        <v>0</v>
      </c>
      <c r="I347" s="772">
        <f>+'Phase I Pro Forma'!I344/1000000</f>
        <v>0</v>
      </c>
      <c r="J347" s="772">
        <f>+'Phase I Pro Forma'!J344/1000000</f>
        <v>0</v>
      </c>
      <c r="K347" s="772">
        <f>+'Phase I Pro Forma'!K344/1000000</f>
        <v>0</v>
      </c>
      <c r="L347" s="772">
        <f>+'Phase I Pro Forma'!L344/1000000</f>
        <v>0</v>
      </c>
      <c r="M347" s="772">
        <f>+'Phase I Pro Forma'!M344/1000000</f>
        <v>0</v>
      </c>
      <c r="N347" s="772">
        <f>+'Phase I Pro Forma'!N344/1000000</f>
        <v>0</v>
      </c>
      <c r="O347" s="772">
        <f>+'Phase I Pro Forma'!O344/1000000</f>
        <v>0</v>
      </c>
      <c r="P347" s="772">
        <f>+'Phase I Pro Forma'!P344/1000000</f>
        <v>0</v>
      </c>
      <c r="Q347" s="772">
        <f>+'Phase I Pro Forma'!Q344/1000000</f>
        <v>0</v>
      </c>
      <c r="R347" s="772">
        <f>+'Phase I Pro Forma'!R344/1000000</f>
        <v>0</v>
      </c>
      <c r="S347" s="772">
        <f>+'Phase I Pro Forma'!S344/1000000</f>
        <v>0</v>
      </c>
      <c r="T347" s="772">
        <f>+'Phase I Pro Forma'!T344/1000000</f>
        <v>0</v>
      </c>
      <c r="U347" s="772">
        <f>+'Phase I Pro Forma'!U344/1000000</f>
        <v>0</v>
      </c>
      <c r="V347" s="772">
        <f>+'Phase I Pro Forma'!V344/1000000</f>
        <v>0</v>
      </c>
      <c r="W347" s="772">
        <f>+'Phase I Pro Forma'!W344/1000000</f>
        <v>0</v>
      </c>
      <c r="X347" s="772">
        <f>+'Phase I Pro Forma'!X344/1000000</f>
        <v>0</v>
      </c>
      <c r="Y347" s="772">
        <f>+'Phase I Pro Forma'!Y344/1000000</f>
        <v>0</v>
      </c>
      <c r="Z347" s="772">
        <f>+'Phase I Pro Forma'!Z344/1000000</f>
        <v>0</v>
      </c>
    </row>
    <row r="348" spans="2:26" x14ac:dyDescent="0.2">
      <c r="B348" s="32" t="s">
        <v>98</v>
      </c>
      <c r="D348" s="47">
        <f t="shared" ca="1" si="116"/>
        <v>74.18976774179481</v>
      </c>
      <c r="E348" s="47"/>
      <c r="F348" s="772">
        <f ca="1">+'Phase I Pro Forma'!F345/1000000</f>
        <v>0</v>
      </c>
      <c r="G348" s="772">
        <f ca="1">+'Phase I Pro Forma'!G345/1000000</f>
        <v>0</v>
      </c>
      <c r="H348" s="772">
        <f ca="1">+'Phase I Pro Forma'!H345/1000000</f>
        <v>68.469961049118638</v>
      </c>
      <c r="I348" s="772">
        <f ca="1">+'Phase I Pro Forma'!I345/1000000</f>
        <v>2.8599033463380823</v>
      </c>
      <c r="J348" s="772">
        <f ca="1">+'Phase I Pro Forma'!J345/1000000</f>
        <v>2.8599033463380823</v>
      </c>
      <c r="K348" s="772">
        <f ca="1">+'Phase I Pro Forma'!K345/1000000</f>
        <v>0</v>
      </c>
      <c r="L348" s="772">
        <f ca="1">+'Phase I Pro Forma'!L345/1000000</f>
        <v>0</v>
      </c>
      <c r="M348" s="772">
        <f ca="1">+'Phase I Pro Forma'!M345/1000000</f>
        <v>0</v>
      </c>
      <c r="N348" s="772">
        <f ca="1">+'Phase I Pro Forma'!N345/1000000</f>
        <v>0</v>
      </c>
      <c r="O348" s="772">
        <f ca="1">+'Phase I Pro Forma'!O345/1000000</f>
        <v>0</v>
      </c>
      <c r="P348" s="772">
        <f ca="1">+'Phase I Pro Forma'!P345/1000000</f>
        <v>0</v>
      </c>
      <c r="Q348" s="772">
        <f ca="1">+'Phase I Pro Forma'!Q345/1000000</f>
        <v>0</v>
      </c>
      <c r="R348" s="772">
        <f ca="1">+'Phase I Pro Forma'!R345/1000000</f>
        <v>0</v>
      </c>
      <c r="S348" s="772">
        <f ca="1">+'Phase I Pro Forma'!S345/1000000</f>
        <v>0</v>
      </c>
      <c r="T348" s="772">
        <f ca="1">+'Phase I Pro Forma'!T345/1000000</f>
        <v>0</v>
      </c>
      <c r="U348" s="772">
        <f ca="1">+'Phase I Pro Forma'!U345/1000000</f>
        <v>0</v>
      </c>
      <c r="V348" s="772">
        <f ca="1">+'Phase I Pro Forma'!V345/1000000</f>
        <v>0</v>
      </c>
      <c r="W348" s="772">
        <f ca="1">+'Phase I Pro Forma'!W345/1000000</f>
        <v>0</v>
      </c>
      <c r="X348" s="772">
        <f ca="1">+'Phase I Pro Forma'!X345/1000000</f>
        <v>0</v>
      </c>
      <c r="Y348" s="772">
        <f ca="1">+'Phase I Pro Forma'!Y345/1000000</f>
        <v>0</v>
      </c>
      <c r="Z348" s="772">
        <f ca="1">+'Phase I Pro Forma'!Z345/1000000</f>
        <v>0</v>
      </c>
    </row>
    <row r="349" spans="2:26" x14ac:dyDescent="0.2">
      <c r="B349" s="137" t="s">
        <v>377</v>
      </c>
      <c r="C349" s="137"/>
      <c r="D349" s="138">
        <f t="shared" ca="1" si="116"/>
        <v>371.49445791863252</v>
      </c>
      <c r="E349" s="138"/>
      <c r="F349" s="774">
        <f t="shared" ref="F349:Z349" ca="1" si="118">+SUM(F342:F348)</f>
        <v>51.505114619219256</v>
      </c>
      <c r="G349" s="774">
        <f t="shared" ca="1" si="118"/>
        <v>157.13476830336856</v>
      </c>
      <c r="H349" s="774">
        <f t="shared" ca="1" si="118"/>
        <v>157.13476830336856</v>
      </c>
      <c r="I349" s="774">
        <f t="shared" ca="1" si="118"/>
        <v>2.8599033463380823</v>
      </c>
      <c r="J349" s="774">
        <f t="shared" ca="1" si="118"/>
        <v>2.8599033463380823</v>
      </c>
      <c r="K349" s="774">
        <f t="shared" ca="1" si="118"/>
        <v>0</v>
      </c>
      <c r="L349" s="774">
        <f t="shared" ca="1" si="118"/>
        <v>0</v>
      </c>
      <c r="M349" s="774">
        <f t="shared" ca="1" si="118"/>
        <v>0</v>
      </c>
      <c r="N349" s="774">
        <f t="shared" ca="1" si="118"/>
        <v>0</v>
      </c>
      <c r="O349" s="774">
        <f t="shared" ca="1" si="118"/>
        <v>0</v>
      </c>
      <c r="P349" s="774">
        <f t="shared" ca="1" si="118"/>
        <v>0</v>
      </c>
      <c r="Q349" s="774">
        <f t="shared" ca="1" si="118"/>
        <v>0</v>
      </c>
      <c r="R349" s="774">
        <f t="shared" ca="1" si="118"/>
        <v>0</v>
      </c>
      <c r="S349" s="774">
        <f t="shared" ca="1" si="118"/>
        <v>0</v>
      </c>
      <c r="T349" s="774">
        <f t="shared" ca="1" si="118"/>
        <v>0</v>
      </c>
      <c r="U349" s="774">
        <f t="shared" ca="1" si="118"/>
        <v>0</v>
      </c>
      <c r="V349" s="774">
        <f t="shared" ca="1" si="118"/>
        <v>0</v>
      </c>
      <c r="W349" s="774">
        <f t="shared" ca="1" si="118"/>
        <v>0</v>
      </c>
      <c r="X349" s="774">
        <f t="shared" ca="1" si="118"/>
        <v>0</v>
      </c>
      <c r="Y349" s="774">
        <f t="shared" ca="1" si="118"/>
        <v>0</v>
      </c>
      <c r="Z349" s="774">
        <f t="shared" ca="1" si="118"/>
        <v>0</v>
      </c>
    </row>
    <row r="350" spans="2:26" ht="5" customHeight="1" x14ac:dyDescent="0.2"/>
    <row r="351" spans="2:26" x14ac:dyDescent="0.2">
      <c r="B351" s="147" t="s">
        <v>348</v>
      </c>
    </row>
    <row r="352" spans="2:26" x14ac:dyDescent="0.2">
      <c r="B352" s="32" t="s">
        <v>349</v>
      </c>
      <c r="D352" s="47">
        <f ca="1">+SUM(F352:Z352)</f>
        <v>-275.79559301939645</v>
      </c>
      <c r="E352" s="47"/>
      <c r="F352" s="48">
        <f ca="1">-F342</f>
        <v>-51.505114619219256</v>
      </c>
      <c r="G352" s="48">
        <f t="shared" ref="G352:Z352" ca="1" si="119">-G342</f>
        <v>-157.13476830336856</v>
      </c>
      <c r="H352" s="48">
        <f t="shared" ca="1" si="119"/>
        <v>-67.155710096808619</v>
      </c>
      <c r="I352" s="48">
        <f t="shared" ca="1" si="119"/>
        <v>0</v>
      </c>
      <c r="J352" s="48">
        <f t="shared" ca="1" si="119"/>
        <v>0</v>
      </c>
      <c r="K352" s="48">
        <f t="shared" ca="1" si="119"/>
        <v>0</v>
      </c>
      <c r="L352" s="48">
        <f t="shared" ca="1" si="119"/>
        <v>0</v>
      </c>
      <c r="M352" s="48">
        <f t="shared" ca="1" si="119"/>
        <v>0</v>
      </c>
      <c r="N352" s="48">
        <f t="shared" ca="1" si="119"/>
        <v>0</v>
      </c>
      <c r="O352" s="48">
        <f t="shared" ca="1" si="119"/>
        <v>0</v>
      </c>
      <c r="P352" s="48">
        <f t="shared" ca="1" si="119"/>
        <v>0</v>
      </c>
      <c r="Q352" s="48">
        <f t="shared" ca="1" si="119"/>
        <v>0</v>
      </c>
      <c r="R352" s="48">
        <f t="shared" ca="1" si="119"/>
        <v>0</v>
      </c>
      <c r="S352" s="48">
        <f t="shared" ca="1" si="119"/>
        <v>0</v>
      </c>
      <c r="T352" s="48">
        <f t="shared" ca="1" si="119"/>
        <v>0</v>
      </c>
      <c r="U352" s="48">
        <f t="shared" ca="1" si="119"/>
        <v>0</v>
      </c>
      <c r="V352" s="48">
        <f t="shared" ca="1" si="119"/>
        <v>0</v>
      </c>
      <c r="W352" s="48">
        <f t="shared" ca="1" si="119"/>
        <v>0</v>
      </c>
      <c r="X352" s="48">
        <f t="shared" ca="1" si="119"/>
        <v>0</v>
      </c>
      <c r="Y352" s="48">
        <f t="shared" ca="1" si="119"/>
        <v>0</v>
      </c>
      <c r="Z352" s="48">
        <f t="shared" ca="1" si="119"/>
        <v>0</v>
      </c>
    </row>
    <row r="353" spans="2:26" x14ac:dyDescent="0.2">
      <c r="B353" s="32" t="s">
        <v>350</v>
      </c>
      <c r="D353" s="47">
        <f t="shared" ref="D353" ca="1" si="120">+SUM(F353:Z353)</f>
        <v>663.49860783673307</v>
      </c>
      <c r="E353" s="47"/>
      <c r="F353" s="772">
        <f ca="1">+'Phase I Pro Forma'!F350/1000000</f>
        <v>0</v>
      </c>
      <c r="G353" s="772">
        <f ca="1">+'Phase I Pro Forma'!G350/1000000</f>
        <v>0</v>
      </c>
      <c r="H353" s="772">
        <f ca="1">+'Phase I Pro Forma'!H350/1000000</f>
        <v>0</v>
      </c>
      <c r="I353" s="772">
        <f ca="1">+'Phase I Pro Forma'!I350/1000000</f>
        <v>12.156531919531263</v>
      </c>
      <c r="J353" s="772">
        <f ca="1">+'Phase I Pro Forma'!J350/1000000</f>
        <v>25.299756984119632</v>
      </c>
      <c r="K353" s="772">
        <f ca="1">+'Phase I Pro Forma'!K350/1000000</f>
        <v>25.918223302751361</v>
      </c>
      <c r="L353" s="772">
        <f ca="1">+'Phase I Pro Forma'!L350/1000000</f>
        <v>27.699751454203916</v>
      </c>
      <c r="M353" s="772">
        <f ca="1">+'Phase I Pro Forma'!M350/1000000</f>
        <v>28.026377681195292</v>
      </c>
      <c r="N353" s="772">
        <f ca="1">+'Phase I Pro Forma'!N350/1000000</f>
        <v>28.470939905564784</v>
      </c>
      <c r="O353" s="772">
        <f ca="1">+'Phase I Pro Forma'!O350/1000000</f>
        <v>28.926898728953873</v>
      </c>
      <c r="P353" s="772">
        <f ca="1">+'Phase I Pro Forma'!P350/1000000</f>
        <v>487.00012786041287</v>
      </c>
      <c r="Q353" s="772">
        <f>+'Phase I Pro Forma'!Q350/1000000</f>
        <v>0</v>
      </c>
      <c r="R353" s="772">
        <f>+'Phase I Pro Forma'!R350/1000000</f>
        <v>0</v>
      </c>
      <c r="S353" s="772">
        <f>+'Phase I Pro Forma'!S350/1000000</f>
        <v>0</v>
      </c>
      <c r="T353" s="772">
        <f>+'Phase I Pro Forma'!T350/1000000</f>
        <v>0</v>
      </c>
      <c r="U353" s="772">
        <f>+'Phase I Pro Forma'!U350/1000000</f>
        <v>0</v>
      </c>
      <c r="V353" s="772">
        <f>+'Phase I Pro Forma'!V350/1000000</f>
        <v>0</v>
      </c>
      <c r="W353" s="772">
        <f>+'Phase I Pro Forma'!W350/1000000</f>
        <v>0</v>
      </c>
      <c r="X353" s="772">
        <f>+'Phase I Pro Forma'!X350/1000000</f>
        <v>0</v>
      </c>
      <c r="Y353" s="772">
        <f>+'Phase I Pro Forma'!Y350/1000000</f>
        <v>0</v>
      </c>
      <c r="Z353" s="772">
        <f>+'Phase I Pro Forma'!Z350/1000000</f>
        <v>0</v>
      </c>
    </row>
    <row r="354" spans="2:26" x14ac:dyDescent="0.2">
      <c r="B354" s="137" t="s">
        <v>351</v>
      </c>
      <c r="C354" s="137"/>
      <c r="D354" s="138">
        <f ca="1">+SUM(F354:Z354)</f>
        <v>387.70301481733657</v>
      </c>
      <c r="E354" s="138"/>
      <c r="F354" s="774">
        <f ca="1">+SUM(F352:F353)</f>
        <v>-51.505114619219256</v>
      </c>
      <c r="G354" s="774">
        <f t="shared" ref="G354:Z354" ca="1" si="121">+SUM(G352:G353)</f>
        <v>-157.13476830336856</v>
      </c>
      <c r="H354" s="774">
        <f t="shared" ca="1" si="121"/>
        <v>-67.155710096808619</v>
      </c>
      <c r="I354" s="774">
        <f t="shared" ca="1" si="121"/>
        <v>12.156531919531263</v>
      </c>
      <c r="J354" s="774">
        <f t="shared" ca="1" si="121"/>
        <v>25.299756984119632</v>
      </c>
      <c r="K354" s="774">
        <f t="shared" ca="1" si="121"/>
        <v>25.918223302751361</v>
      </c>
      <c r="L354" s="774">
        <f t="shared" ca="1" si="121"/>
        <v>27.699751454203916</v>
      </c>
      <c r="M354" s="774">
        <f t="shared" ca="1" si="121"/>
        <v>28.026377681195292</v>
      </c>
      <c r="N354" s="774">
        <f t="shared" ca="1" si="121"/>
        <v>28.470939905564784</v>
      </c>
      <c r="O354" s="774">
        <f t="shared" ca="1" si="121"/>
        <v>28.926898728953873</v>
      </c>
      <c r="P354" s="774">
        <f t="shared" ca="1" si="121"/>
        <v>487.00012786041287</v>
      </c>
      <c r="Q354" s="774">
        <f t="shared" ca="1" si="121"/>
        <v>0</v>
      </c>
      <c r="R354" s="774">
        <f t="shared" ca="1" si="121"/>
        <v>0</v>
      </c>
      <c r="S354" s="774">
        <f t="shared" ca="1" si="121"/>
        <v>0</v>
      </c>
      <c r="T354" s="774">
        <f t="shared" ca="1" si="121"/>
        <v>0</v>
      </c>
      <c r="U354" s="774">
        <f t="shared" ca="1" si="121"/>
        <v>0</v>
      </c>
      <c r="V354" s="774">
        <f t="shared" ca="1" si="121"/>
        <v>0</v>
      </c>
      <c r="W354" s="774">
        <f t="shared" ca="1" si="121"/>
        <v>0</v>
      </c>
      <c r="X354" s="774">
        <f t="shared" ca="1" si="121"/>
        <v>0</v>
      </c>
      <c r="Y354" s="774">
        <f t="shared" ca="1" si="121"/>
        <v>0</v>
      </c>
      <c r="Z354" s="774">
        <f t="shared" ca="1" si="121"/>
        <v>0</v>
      </c>
    </row>
    <row r="356" spans="2:26" x14ac:dyDescent="0.2">
      <c r="B356" s="188" t="s">
        <v>393</v>
      </c>
      <c r="C356" s="189">
        <f ca="1">+IRR(F354:Z354)</f>
        <v>0.11972108472418364</v>
      </c>
    </row>
    <row r="357" spans="2:26" x14ac:dyDescent="0.2">
      <c r="B357" s="140" t="s">
        <v>353</v>
      </c>
      <c r="C357" s="141">
        <f ca="1">+SUM(F354:Z354)</f>
        <v>387.70301481733657</v>
      </c>
    </row>
    <row r="358" spans="2:26" x14ac:dyDescent="0.2">
      <c r="B358" s="192" t="s">
        <v>354</v>
      </c>
      <c r="C358" s="193">
        <f ca="1">+D353/-D352</f>
        <v>2.4057621826831359</v>
      </c>
    </row>
    <row r="360" spans="2:26" s="793" customFormat="1" hidden="1" x14ac:dyDescent="0.2">
      <c r="B360" s="806" t="s">
        <v>411</v>
      </c>
      <c r="C360" s="807"/>
      <c r="D360" s="807"/>
      <c r="E360" s="807"/>
      <c r="F360" s="808">
        <f>+F341</f>
        <v>44196</v>
      </c>
      <c r="G360" s="808">
        <f t="shared" ref="G360:Z360" si="122">+G341</f>
        <v>44561</v>
      </c>
      <c r="H360" s="808">
        <f t="shared" si="122"/>
        <v>44926</v>
      </c>
      <c r="I360" s="808">
        <f t="shared" si="122"/>
        <v>45291</v>
      </c>
      <c r="J360" s="808">
        <f t="shared" si="122"/>
        <v>45657</v>
      </c>
      <c r="K360" s="808">
        <f t="shared" si="122"/>
        <v>46022</v>
      </c>
      <c r="L360" s="808">
        <f t="shared" si="122"/>
        <v>46387</v>
      </c>
      <c r="M360" s="808">
        <f t="shared" si="122"/>
        <v>46752</v>
      </c>
      <c r="N360" s="808">
        <f t="shared" si="122"/>
        <v>47118</v>
      </c>
      <c r="O360" s="808">
        <f t="shared" si="122"/>
        <v>47483</v>
      </c>
      <c r="P360" s="808">
        <f t="shared" si="122"/>
        <v>47848</v>
      </c>
      <c r="Q360" s="808">
        <f t="shared" si="122"/>
        <v>48213</v>
      </c>
      <c r="R360" s="808">
        <f t="shared" si="122"/>
        <v>48579</v>
      </c>
      <c r="S360" s="808">
        <f t="shared" si="122"/>
        <v>48944</v>
      </c>
      <c r="T360" s="808">
        <f t="shared" si="122"/>
        <v>49309</v>
      </c>
      <c r="U360" s="808">
        <f t="shared" si="122"/>
        <v>49674</v>
      </c>
      <c r="V360" s="808">
        <f t="shared" si="122"/>
        <v>50040</v>
      </c>
      <c r="W360" s="808">
        <f t="shared" si="122"/>
        <v>50405</v>
      </c>
      <c r="X360" s="808">
        <f t="shared" si="122"/>
        <v>50770</v>
      </c>
      <c r="Y360" s="808">
        <f t="shared" si="122"/>
        <v>51135</v>
      </c>
      <c r="Z360" s="808">
        <f t="shared" si="122"/>
        <v>51501</v>
      </c>
    </row>
    <row r="361" spans="2:26" s="793" customFormat="1" hidden="1" x14ac:dyDescent="0.2">
      <c r="B361" s="809"/>
    </row>
    <row r="362" spans="2:26" s="793" customFormat="1" hidden="1" x14ac:dyDescent="0.2">
      <c r="B362" s="810" t="s">
        <v>407</v>
      </c>
      <c r="F362" s="810">
        <v>0</v>
      </c>
      <c r="G362" s="810">
        <f>+F362+1</f>
        <v>1</v>
      </c>
      <c r="H362" s="810">
        <f t="shared" ref="H362:Z362" si="123">+G362+1</f>
        <v>2</v>
      </c>
      <c r="I362" s="810">
        <f t="shared" si="123"/>
        <v>3</v>
      </c>
      <c r="J362" s="810">
        <f t="shared" si="123"/>
        <v>4</v>
      </c>
      <c r="K362" s="810">
        <f t="shared" si="123"/>
        <v>5</v>
      </c>
      <c r="L362" s="810">
        <f t="shared" si="123"/>
        <v>6</v>
      </c>
      <c r="M362" s="810">
        <f t="shared" si="123"/>
        <v>7</v>
      </c>
      <c r="N362" s="810">
        <f t="shared" si="123"/>
        <v>8</v>
      </c>
      <c r="O362" s="810">
        <f t="shared" si="123"/>
        <v>9</v>
      </c>
      <c r="P362" s="810">
        <f t="shared" si="123"/>
        <v>10</v>
      </c>
      <c r="Q362" s="810">
        <f t="shared" si="123"/>
        <v>11</v>
      </c>
      <c r="R362" s="810">
        <f t="shared" si="123"/>
        <v>12</v>
      </c>
      <c r="S362" s="810">
        <f t="shared" si="123"/>
        <v>13</v>
      </c>
      <c r="T362" s="810">
        <f t="shared" si="123"/>
        <v>14</v>
      </c>
      <c r="U362" s="810">
        <f t="shared" si="123"/>
        <v>15</v>
      </c>
      <c r="V362" s="810">
        <f t="shared" si="123"/>
        <v>16</v>
      </c>
      <c r="W362" s="810">
        <f t="shared" si="123"/>
        <v>17</v>
      </c>
      <c r="X362" s="810">
        <f t="shared" si="123"/>
        <v>18</v>
      </c>
      <c r="Y362" s="810">
        <f t="shared" si="123"/>
        <v>19</v>
      </c>
      <c r="Z362" s="810">
        <f t="shared" si="123"/>
        <v>20</v>
      </c>
    </row>
    <row r="363" spans="2:26" s="793" customFormat="1" hidden="1" x14ac:dyDescent="0.2">
      <c r="B363" s="788" t="s">
        <v>398</v>
      </c>
      <c r="D363" s="803"/>
      <c r="E363" s="803"/>
      <c r="F363" s="792">
        <f ca="1">+'Phase I Pro Forma'!F360/1000000</f>
        <v>-51.505114619219256</v>
      </c>
      <c r="G363" s="792">
        <f ca="1">+'Phase I Pro Forma'!G360/1000000</f>
        <v>-157.13476830336856</v>
      </c>
      <c r="H363" s="792">
        <f ca="1">+'Phase I Pro Forma'!H360/1000000</f>
        <v>-67.155710096808619</v>
      </c>
      <c r="I363" s="792">
        <f ca="1">+'Phase I Pro Forma'!I360/1000000</f>
        <v>0</v>
      </c>
      <c r="J363" s="792">
        <f ca="1">+'Phase I Pro Forma'!J360/1000000</f>
        <v>0</v>
      </c>
      <c r="K363" s="792">
        <f ca="1">+'Phase I Pro Forma'!K360/1000000</f>
        <v>0</v>
      </c>
      <c r="L363" s="792">
        <f ca="1">+'Phase I Pro Forma'!L360/1000000</f>
        <v>0</v>
      </c>
      <c r="M363" s="792">
        <f ca="1">+'Phase I Pro Forma'!M360/1000000</f>
        <v>0</v>
      </c>
      <c r="N363" s="792">
        <f ca="1">+'Phase I Pro Forma'!N360/1000000</f>
        <v>0</v>
      </c>
      <c r="O363" s="792">
        <f ca="1">+'Phase I Pro Forma'!O360/1000000</f>
        <v>0</v>
      </c>
      <c r="P363" s="792">
        <f ca="1">+'Phase I Pro Forma'!P360/1000000</f>
        <v>0</v>
      </c>
      <c r="Q363" s="792">
        <f ca="1">+'Phase I Pro Forma'!Q360/1000000</f>
        <v>0</v>
      </c>
      <c r="R363" s="792">
        <f ca="1">+'Phase I Pro Forma'!R360/1000000</f>
        <v>0</v>
      </c>
      <c r="S363" s="792">
        <f ca="1">+'Phase I Pro Forma'!S360/1000000</f>
        <v>0</v>
      </c>
      <c r="T363" s="792">
        <f ca="1">+'Phase I Pro Forma'!T360/1000000</f>
        <v>0</v>
      </c>
      <c r="U363" s="792">
        <f ca="1">+'Phase I Pro Forma'!U360/1000000</f>
        <v>0</v>
      </c>
      <c r="V363" s="792">
        <f ca="1">+'Phase I Pro Forma'!V360/1000000</f>
        <v>0</v>
      </c>
      <c r="W363" s="792">
        <f ca="1">+'Phase I Pro Forma'!W360/1000000</f>
        <v>0</v>
      </c>
      <c r="X363" s="792">
        <f ca="1">+'Phase I Pro Forma'!X360/1000000</f>
        <v>0</v>
      </c>
      <c r="Y363" s="792">
        <f ca="1">+'Phase I Pro Forma'!Y360/1000000</f>
        <v>0</v>
      </c>
      <c r="Z363" s="792">
        <f ca="1">+'Phase I Pro Forma'!Z360/1000000</f>
        <v>0</v>
      </c>
    </row>
    <row r="364" spans="2:26" s="793" customFormat="1" hidden="1" x14ac:dyDescent="0.2">
      <c r="B364" s="788" t="s">
        <v>416</v>
      </c>
      <c r="D364" s="803"/>
      <c r="E364" s="803"/>
      <c r="F364" s="789">
        <f>+'Phase I Pro Forma'!F361/1000000</f>
        <v>0</v>
      </c>
      <c r="G364" s="789">
        <f>+'Phase I Pro Forma'!G361/1000000</f>
        <v>0</v>
      </c>
      <c r="H364" s="789">
        <f>+'Phase I Pro Forma'!H361/1000000</f>
        <v>0</v>
      </c>
      <c r="I364" s="789">
        <f>+'Phase I Pro Forma'!I361/1000000</f>
        <v>0</v>
      </c>
      <c r="J364" s="789">
        <f>+'Phase I Pro Forma'!J361/1000000</f>
        <v>0</v>
      </c>
      <c r="K364" s="789">
        <f>+'Phase I Pro Forma'!K361/1000000</f>
        <v>0</v>
      </c>
      <c r="L364" s="789">
        <f>+'Phase I Pro Forma'!L361/1000000</f>
        <v>0</v>
      </c>
      <c r="M364" s="789">
        <f>+'Phase I Pro Forma'!M361/1000000</f>
        <v>0</v>
      </c>
      <c r="N364" s="789">
        <f>+'Phase I Pro Forma'!N361/1000000</f>
        <v>0</v>
      </c>
      <c r="O364" s="789">
        <f>+'Phase I Pro Forma'!O361/1000000</f>
        <v>0</v>
      </c>
      <c r="P364" s="789">
        <f>+'Phase I Pro Forma'!P361/1000000</f>
        <v>0</v>
      </c>
      <c r="Q364" s="789">
        <f>+'Phase I Pro Forma'!Q361/1000000</f>
        <v>0</v>
      </c>
      <c r="R364" s="789">
        <f>+'Phase I Pro Forma'!R361/1000000</f>
        <v>0</v>
      </c>
      <c r="S364" s="789">
        <f>+'Phase I Pro Forma'!S361/1000000</f>
        <v>0</v>
      </c>
      <c r="T364" s="789">
        <f>+'Phase I Pro Forma'!T361/1000000</f>
        <v>0</v>
      </c>
      <c r="U364" s="789">
        <f>+'Phase I Pro Forma'!U361/1000000</f>
        <v>0</v>
      </c>
      <c r="V364" s="789">
        <f>+'Phase I Pro Forma'!V361/1000000</f>
        <v>0</v>
      </c>
      <c r="W364" s="789">
        <f>+'Phase I Pro Forma'!W361/1000000</f>
        <v>0</v>
      </c>
      <c r="X364" s="789">
        <f>+'Phase I Pro Forma'!X361/1000000</f>
        <v>0</v>
      </c>
      <c r="Y364" s="789">
        <f>+'Phase I Pro Forma'!Y361/1000000</f>
        <v>0</v>
      </c>
      <c r="Z364" s="789">
        <f>+'Phase I Pro Forma'!Z361/1000000</f>
        <v>0</v>
      </c>
    </row>
    <row r="365" spans="2:26" s="793" customFormat="1" hidden="1" x14ac:dyDescent="0.2">
      <c r="B365" s="788" t="s">
        <v>417</v>
      </c>
      <c r="D365" s="803"/>
      <c r="E365" s="803"/>
      <c r="F365" s="789">
        <f>+'Phase I Pro Forma'!F362/1000000</f>
        <v>0</v>
      </c>
      <c r="G365" s="789">
        <f>+'Phase I Pro Forma'!G362/1000000</f>
        <v>0</v>
      </c>
      <c r="H365" s="789">
        <f>+'Phase I Pro Forma'!H362/1000000</f>
        <v>0</v>
      </c>
      <c r="I365" s="789">
        <f>+'Phase I Pro Forma'!I362/1000000</f>
        <v>0</v>
      </c>
      <c r="J365" s="789">
        <f>+'Phase I Pro Forma'!J362/1000000</f>
        <v>0</v>
      </c>
      <c r="K365" s="789">
        <f>+'Phase I Pro Forma'!K362/1000000</f>
        <v>0</v>
      </c>
      <c r="L365" s="789">
        <f>+'Phase I Pro Forma'!L362/1000000</f>
        <v>0</v>
      </c>
      <c r="M365" s="789">
        <f>+'Phase I Pro Forma'!M362/1000000</f>
        <v>0</v>
      </c>
      <c r="N365" s="789">
        <f>+'Phase I Pro Forma'!N362/1000000</f>
        <v>0</v>
      </c>
      <c r="O365" s="789">
        <f>+'Phase I Pro Forma'!O362/1000000</f>
        <v>0</v>
      </c>
      <c r="P365" s="789">
        <f>+'Phase I Pro Forma'!P362/1000000</f>
        <v>0</v>
      </c>
      <c r="Q365" s="789">
        <f>+'Phase I Pro Forma'!Q362/1000000</f>
        <v>0</v>
      </c>
      <c r="R365" s="789">
        <f>+'Phase I Pro Forma'!R362/1000000</f>
        <v>0</v>
      </c>
      <c r="S365" s="789">
        <f>+'Phase I Pro Forma'!S362/1000000</f>
        <v>0</v>
      </c>
      <c r="T365" s="789">
        <f>+'Phase I Pro Forma'!T362/1000000</f>
        <v>0</v>
      </c>
      <c r="U365" s="789">
        <f>+'Phase I Pro Forma'!U362/1000000</f>
        <v>0</v>
      </c>
      <c r="V365" s="789">
        <f>+'Phase I Pro Forma'!V362/1000000</f>
        <v>0</v>
      </c>
      <c r="W365" s="789">
        <f>+'Phase I Pro Forma'!W362/1000000</f>
        <v>0</v>
      </c>
      <c r="X365" s="789">
        <f>+'Phase I Pro Forma'!X362/1000000</f>
        <v>0</v>
      </c>
      <c r="Y365" s="789">
        <f>+'Phase I Pro Forma'!Y362/1000000</f>
        <v>0</v>
      </c>
      <c r="Z365" s="789">
        <f>+'Phase I Pro Forma'!Z362/1000000</f>
        <v>0</v>
      </c>
    </row>
    <row r="366" spans="2:26" s="793" customFormat="1" hidden="1" x14ac:dyDescent="0.2">
      <c r="B366" s="788" t="s">
        <v>408</v>
      </c>
      <c r="D366" s="803"/>
      <c r="E366" s="803"/>
      <c r="F366" s="789">
        <f ca="1">+'Phase I Pro Forma'!F363/1000000</f>
        <v>0</v>
      </c>
      <c r="G366" s="789">
        <f ca="1">+'Phase I Pro Forma'!G363/1000000</f>
        <v>0</v>
      </c>
      <c r="H366" s="789">
        <f ca="1">+'Phase I Pro Forma'!H363/1000000</f>
        <v>0</v>
      </c>
      <c r="I366" s="789">
        <f ca="1">+'Phase I Pro Forma'!I363/1000000</f>
        <v>-2.5528717031015651</v>
      </c>
      <c r="J366" s="789">
        <f ca="1">+'Phase I Pro Forma'!J363/1000000</f>
        <v>-2.8713884075846776</v>
      </c>
      <c r="K366" s="789">
        <f ca="1">+'Phase I Pro Forma'!K363/1000000</f>
        <v>-3.0012663344973411</v>
      </c>
      <c r="L366" s="789">
        <f ca="1">+'Phase I Pro Forma'!L363/1000000</f>
        <v>-3.3753872463023771</v>
      </c>
      <c r="M366" s="789">
        <f ca="1">+'Phase I Pro Forma'!M363/1000000</f>
        <v>-3.4439787539705664</v>
      </c>
      <c r="N366" s="789">
        <f ca="1">+'Phase I Pro Forma'!N363/1000000</f>
        <v>-3.5373368210881595</v>
      </c>
      <c r="O366" s="789">
        <f ca="1">+'Phase I Pro Forma'!O363/1000000</f>
        <v>-3.6330881739998682</v>
      </c>
      <c r="P366" s="789">
        <f ca="1">+'Phase I Pro Forma'!P363/1000000</f>
        <v>-3.7084125332976918</v>
      </c>
      <c r="Q366" s="789">
        <f>+'Phase I Pro Forma'!Q363/1000000</f>
        <v>0</v>
      </c>
      <c r="R366" s="789">
        <f>+'Phase I Pro Forma'!R363/1000000</f>
        <v>0</v>
      </c>
      <c r="S366" s="789">
        <f>+'Phase I Pro Forma'!S363/1000000</f>
        <v>0</v>
      </c>
      <c r="T366" s="789">
        <f>+'Phase I Pro Forma'!T363/1000000</f>
        <v>0</v>
      </c>
      <c r="U366" s="789">
        <f>+'Phase I Pro Forma'!U363/1000000</f>
        <v>0</v>
      </c>
      <c r="V366" s="789">
        <f>+'Phase I Pro Forma'!V363/1000000</f>
        <v>0</v>
      </c>
      <c r="W366" s="789">
        <f>+'Phase I Pro Forma'!W363/1000000</f>
        <v>0</v>
      </c>
      <c r="X366" s="789">
        <f>+'Phase I Pro Forma'!X363/1000000</f>
        <v>0</v>
      </c>
      <c r="Y366" s="789">
        <f>+'Phase I Pro Forma'!Y363/1000000</f>
        <v>0</v>
      </c>
      <c r="Z366" s="789">
        <f>+'Phase I Pro Forma'!Z363/1000000</f>
        <v>0</v>
      </c>
    </row>
    <row r="367" spans="2:26" s="793" customFormat="1" hidden="1" x14ac:dyDescent="0.2">
      <c r="B367" s="788" t="s">
        <v>409</v>
      </c>
      <c r="D367" s="803"/>
      <c r="E367" s="803"/>
      <c r="F367" s="789">
        <f ca="1">+'Phase I Pro Forma'!F364/1000000</f>
        <v>0</v>
      </c>
      <c r="G367" s="789">
        <f ca="1">+'Phase I Pro Forma'!G364/1000000</f>
        <v>0</v>
      </c>
      <c r="H367" s="789">
        <f ca="1">+'Phase I Pro Forma'!H364/1000000</f>
        <v>0</v>
      </c>
      <c r="I367" s="789">
        <f ca="1">+'Phase I Pro Forma'!I364/1000000</f>
        <v>12.156531919531263</v>
      </c>
      <c r="J367" s="789">
        <f ca="1">+'Phase I Pro Forma'!J364/1000000</f>
        <v>25.299756984119632</v>
      </c>
      <c r="K367" s="789">
        <f ca="1">+'Phase I Pro Forma'!K364/1000000</f>
        <v>25.918223302751361</v>
      </c>
      <c r="L367" s="789">
        <f ca="1">+'Phase I Pro Forma'!L364/1000000</f>
        <v>27.699751454203916</v>
      </c>
      <c r="M367" s="789">
        <f ca="1">+'Phase I Pro Forma'!M364/1000000</f>
        <v>28.026377681195292</v>
      </c>
      <c r="N367" s="789">
        <f ca="1">+'Phase I Pro Forma'!N364/1000000</f>
        <v>28.470939905564784</v>
      </c>
      <c r="O367" s="789">
        <f ca="1">+'Phase I Pro Forma'!O364/1000000</f>
        <v>28.926898728953873</v>
      </c>
      <c r="P367" s="789">
        <f ca="1">+'Phase I Pro Forma'!P364/1000000</f>
        <v>29.285586154181608</v>
      </c>
      <c r="Q367" s="789">
        <f>+'Phase I Pro Forma'!Q364/1000000</f>
        <v>0</v>
      </c>
      <c r="R367" s="789">
        <f>+'Phase I Pro Forma'!R364/1000000</f>
        <v>0</v>
      </c>
      <c r="S367" s="789">
        <f>+'Phase I Pro Forma'!S364/1000000</f>
        <v>0</v>
      </c>
      <c r="T367" s="789">
        <f>+'Phase I Pro Forma'!T364/1000000</f>
        <v>0</v>
      </c>
      <c r="U367" s="789">
        <f>+'Phase I Pro Forma'!U364/1000000</f>
        <v>0</v>
      </c>
      <c r="V367" s="789">
        <f>+'Phase I Pro Forma'!V364/1000000</f>
        <v>0</v>
      </c>
      <c r="W367" s="789">
        <f>+'Phase I Pro Forma'!W364/1000000</f>
        <v>0</v>
      </c>
      <c r="X367" s="789">
        <f>+'Phase I Pro Forma'!X364/1000000</f>
        <v>0</v>
      </c>
      <c r="Y367" s="789">
        <f>+'Phase I Pro Forma'!Y364/1000000</f>
        <v>0</v>
      </c>
      <c r="Z367" s="789">
        <f>+'Phase I Pro Forma'!Z364/1000000</f>
        <v>0</v>
      </c>
    </row>
    <row r="368" spans="2:26" s="793" customFormat="1" hidden="1" x14ac:dyDescent="0.2">
      <c r="B368" s="788" t="s">
        <v>403</v>
      </c>
      <c r="D368" s="803"/>
      <c r="E368" s="803"/>
      <c r="F368" s="789">
        <f>+'Phase I Pro Forma'!F365/1000000</f>
        <v>0</v>
      </c>
      <c r="G368" s="789">
        <f>+'Phase I Pro Forma'!G365/1000000</f>
        <v>0</v>
      </c>
      <c r="H368" s="789">
        <f>+'Phase I Pro Forma'!H365/1000000</f>
        <v>0</v>
      </c>
      <c r="I368" s="789">
        <f>+'Phase I Pro Forma'!I365/1000000</f>
        <v>0</v>
      </c>
      <c r="J368" s="789">
        <f>+'Phase I Pro Forma'!J365/1000000</f>
        <v>0</v>
      </c>
      <c r="K368" s="789">
        <f>+'Phase I Pro Forma'!K365/1000000</f>
        <v>0</v>
      </c>
      <c r="L368" s="789">
        <f>+'Phase I Pro Forma'!L365/1000000</f>
        <v>0</v>
      </c>
      <c r="M368" s="789">
        <f>+'Phase I Pro Forma'!M365/1000000</f>
        <v>0</v>
      </c>
      <c r="N368" s="789">
        <f>+'Phase I Pro Forma'!N365/1000000</f>
        <v>0</v>
      </c>
      <c r="O368" s="789">
        <f>+'Phase I Pro Forma'!O365/1000000</f>
        <v>0</v>
      </c>
      <c r="P368" s="789">
        <f ca="1">+'Phase I Pro Forma'!P365/1000000</f>
        <v>457.71454170623127</v>
      </c>
      <c r="Q368" s="789">
        <f>+'Phase I Pro Forma'!Q365/1000000</f>
        <v>0</v>
      </c>
      <c r="R368" s="789">
        <f>+'Phase I Pro Forma'!R365/1000000</f>
        <v>0</v>
      </c>
      <c r="S368" s="789">
        <f>+'Phase I Pro Forma'!S365/1000000</f>
        <v>0</v>
      </c>
      <c r="T368" s="789">
        <f>+'Phase I Pro Forma'!T365/1000000</f>
        <v>0</v>
      </c>
      <c r="U368" s="789">
        <f>+'Phase I Pro Forma'!U365/1000000</f>
        <v>0</v>
      </c>
      <c r="V368" s="789">
        <f>+'Phase I Pro Forma'!V365/1000000</f>
        <v>0</v>
      </c>
      <c r="W368" s="789">
        <f>+'Phase I Pro Forma'!W365/1000000</f>
        <v>0</v>
      </c>
      <c r="X368" s="789">
        <f>+'Phase I Pro Forma'!X365/1000000</f>
        <v>0</v>
      </c>
      <c r="Y368" s="789">
        <f>+'Phase I Pro Forma'!Y365/1000000</f>
        <v>0</v>
      </c>
      <c r="Z368" s="789">
        <f>+'Phase I Pro Forma'!Z365/1000000</f>
        <v>0</v>
      </c>
    </row>
    <row r="369" spans="2:26" s="793" customFormat="1" hidden="1" x14ac:dyDescent="0.2">
      <c r="B369" s="788" t="s">
        <v>415</v>
      </c>
      <c r="D369" s="803"/>
      <c r="E369" s="803"/>
      <c r="F369" s="789">
        <f>+'Phase I Pro Forma'!F366/1000000</f>
        <v>0</v>
      </c>
      <c r="G369" s="789">
        <f>+'Phase I Pro Forma'!G366/1000000</f>
        <v>0</v>
      </c>
      <c r="H369" s="789">
        <f>+'Phase I Pro Forma'!H366/1000000</f>
        <v>0</v>
      </c>
      <c r="I369" s="789">
        <f>+'Phase I Pro Forma'!I366/1000000</f>
        <v>0</v>
      </c>
      <c r="J369" s="789">
        <f>+'Phase I Pro Forma'!J366/1000000</f>
        <v>0</v>
      </c>
      <c r="K369" s="789">
        <f>+'Phase I Pro Forma'!K366/1000000</f>
        <v>0</v>
      </c>
      <c r="L369" s="789">
        <f>+'Phase I Pro Forma'!L366/1000000</f>
        <v>0</v>
      </c>
      <c r="M369" s="789">
        <f>+'Phase I Pro Forma'!M366/1000000</f>
        <v>0</v>
      </c>
      <c r="N369" s="789">
        <f>+'Phase I Pro Forma'!N366/1000000</f>
        <v>0</v>
      </c>
      <c r="O369" s="789">
        <f>+'Phase I Pro Forma'!O366/1000000</f>
        <v>0</v>
      </c>
      <c r="P369" s="789">
        <f ca="1">+'Phase I Pro Forma'!P366/1000000</f>
        <v>-55.293903137798402</v>
      </c>
      <c r="Q369" s="789">
        <f>+'Phase I Pro Forma'!Q366/1000000</f>
        <v>0</v>
      </c>
      <c r="R369" s="789">
        <f>+'Phase I Pro Forma'!R366/1000000</f>
        <v>0</v>
      </c>
      <c r="S369" s="789">
        <f>+'Phase I Pro Forma'!S366/1000000</f>
        <v>0</v>
      </c>
      <c r="T369" s="789">
        <f>+'Phase I Pro Forma'!T366/1000000</f>
        <v>0</v>
      </c>
      <c r="U369" s="789">
        <f>+'Phase I Pro Forma'!U366/1000000</f>
        <v>0</v>
      </c>
      <c r="V369" s="789">
        <f>+'Phase I Pro Forma'!V366/1000000</f>
        <v>0</v>
      </c>
      <c r="W369" s="789">
        <f>+'Phase I Pro Forma'!W366/1000000</f>
        <v>0</v>
      </c>
      <c r="X369" s="789">
        <f>+'Phase I Pro Forma'!X366/1000000</f>
        <v>0</v>
      </c>
      <c r="Y369" s="789">
        <f>+'Phase I Pro Forma'!Y366/1000000</f>
        <v>0</v>
      </c>
      <c r="Z369" s="789">
        <f>+'Phase I Pro Forma'!Z366/1000000</f>
        <v>0</v>
      </c>
    </row>
    <row r="370" spans="2:26" s="793" customFormat="1" hidden="1" x14ac:dyDescent="0.2">
      <c r="B370" s="811" t="s">
        <v>407</v>
      </c>
      <c r="C370" s="811"/>
      <c r="D370" s="812">
        <f t="shared" ref="D370" ca="1" si="124">+SUM(F370:Z370)</f>
        <v>306.28538170569595</v>
      </c>
      <c r="E370" s="812"/>
      <c r="F370" s="812">
        <f t="shared" ref="F370:Z370" ca="1" si="125">+SUM(F363:F369)</f>
        <v>-51.505114619219256</v>
      </c>
      <c r="G370" s="812">
        <f t="shared" ca="1" si="125"/>
        <v>-157.13476830336856</v>
      </c>
      <c r="H370" s="812">
        <f t="shared" ca="1" si="125"/>
        <v>-67.155710096808619</v>
      </c>
      <c r="I370" s="812">
        <f t="shared" ca="1" si="125"/>
        <v>9.6036602164296987</v>
      </c>
      <c r="J370" s="812">
        <f t="shared" ca="1" si="125"/>
        <v>22.428368576534954</v>
      </c>
      <c r="K370" s="812">
        <f t="shared" ca="1" si="125"/>
        <v>22.91695696825402</v>
      </c>
      <c r="L370" s="812">
        <f t="shared" ca="1" si="125"/>
        <v>24.324364207901539</v>
      </c>
      <c r="M370" s="812">
        <f t="shared" ca="1" si="125"/>
        <v>24.582398927224727</v>
      </c>
      <c r="N370" s="812">
        <f t="shared" ca="1" si="125"/>
        <v>24.933603084476623</v>
      </c>
      <c r="O370" s="812">
        <f t="shared" ca="1" si="125"/>
        <v>25.293810554954003</v>
      </c>
      <c r="P370" s="812">
        <f t="shared" ca="1" si="125"/>
        <v>427.99781218931679</v>
      </c>
      <c r="Q370" s="812">
        <f t="shared" ca="1" si="125"/>
        <v>0</v>
      </c>
      <c r="R370" s="812">
        <f t="shared" ca="1" si="125"/>
        <v>0</v>
      </c>
      <c r="S370" s="812">
        <f t="shared" ca="1" si="125"/>
        <v>0</v>
      </c>
      <c r="T370" s="812">
        <f t="shared" ca="1" si="125"/>
        <v>0</v>
      </c>
      <c r="U370" s="812">
        <f t="shared" ca="1" si="125"/>
        <v>0</v>
      </c>
      <c r="V370" s="812">
        <f t="shared" ca="1" si="125"/>
        <v>0</v>
      </c>
      <c r="W370" s="812">
        <f t="shared" ca="1" si="125"/>
        <v>0</v>
      </c>
      <c r="X370" s="812">
        <f t="shared" ca="1" si="125"/>
        <v>0</v>
      </c>
      <c r="Y370" s="812">
        <f t="shared" ca="1" si="125"/>
        <v>0</v>
      </c>
      <c r="Z370" s="812">
        <f t="shared" ca="1" si="125"/>
        <v>0</v>
      </c>
    </row>
    <row r="371" spans="2:26" s="793" customFormat="1" hidden="1" x14ac:dyDescent="0.2">
      <c r="B371" s="809"/>
    </row>
    <row r="372" spans="2:26" s="793" customFormat="1" hidden="1" x14ac:dyDescent="0.2">
      <c r="B372" s="813" t="s">
        <v>420</v>
      </c>
      <c r="C372" s="813"/>
      <c r="D372" s="814">
        <f ca="1">+IRR(F370:Z370)</f>
        <v>0.10035988760901882</v>
      </c>
    </row>
    <row r="373" spans="2:26" s="793" customFormat="1" hidden="1" x14ac:dyDescent="0.2">
      <c r="B373" s="809"/>
      <c r="D373" s="790"/>
    </row>
    <row r="374" spans="2:26" s="793" customFormat="1" hidden="1" x14ac:dyDescent="0.2">
      <c r="B374" s="810" t="s">
        <v>406</v>
      </c>
      <c r="F374" s="810">
        <f>+F362</f>
        <v>0</v>
      </c>
      <c r="G374" s="810">
        <f t="shared" ref="G374:Z374" si="126">+G362</f>
        <v>1</v>
      </c>
      <c r="H374" s="810">
        <f t="shared" si="126"/>
        <v>2</v>
      </c>
      <c r="I374" s="810">
        <f t="shared" si="126"/>
        <v>3</v>
      </c>
      <c r="J374" s="810">
        <f t="shared" si="126"/>
        <v>4</v>
      </c>
      <c r="K374" s="810">
        <f t="shared" si="126"/>
        <v>5</v>
      </c>
      <c r="L374" s="810">
        <f t="shared" si="126"/>
        <v>6</v>
      </c>
      <c r="M374" s="810">
        <f t="shared" si="126"/>
        <v>7</v>
      </c>
      <c r="N374" s="810">
        <f t="shared" si="126"/>
        <v>8</v>
      </c>
      <c r="O374" s="810">
        <f t="shared" si="126"/>
        <v>9</v>
      </c>
      <c r="P374" s="810">
        <f t="shared" si="126"/>
        <v>10</v>
      </c>
      <c r="Q374" s="810">
        <f t="shared" si="126"/>
        <v>11</v>
      </c>
      <c r="R374" s="810">
        <f t="shared" si="126"/>
        <v>12</v>
      </c>
      <c r="S374" s="810">
        <f t="shared" si="126"/>
        <v>13</v>
      </c>
      <c r="T374" s="810">
        <f t="shared" si="126"/>
        <v>14</v>
      </c>
      <c r="U374" s="810">
        <f t="shared" si="126"/>
        <v>15</v>
      </c>
      <c r="V374" s="810">
        <f t="shared" si="126"/>
        <v>16</v>
      </c>
      <c r="W374" s="810">
        <f t="shared" si="126"/>
        <v>17</v>
      </c>
      <c r="X374" s="810">
        <f t="shared" si="126"/>
        <v>18</v>
      </c>
      <c r="Y374" s="810">
        <f t="shared" si="126"/>
        <v>19</v>
      </c>
      <c r="Z374" s="810">
        <f t="shared" si="126"/>
        <v>20</v>
      </c>
    </row>
    <row r="375" spans="2:26" s="793" customFormat="1" hidden="1" x14ac:dyDescent="0.2">
      <c r="B375" s="788" t="s">
        <v>398</v>
      </c>
      <c r="D375" s="803"/>
      <c r="E375" s="803"/>
      <c r="F375" s="792">
        <f ca="1">+'Phase I Pro Forma'!F372/1000000</f>
        <v>-51.505114619219256</v>
      </c>
      <c r="G375" s="792">
        <f ca="1">+'Phase I Pro Forma'!G372/1000000</f>
        <v>-157.13476830336856</v>
      </c>
      <c r="H375" s="792">
        <f ca="1">+'Phase I Pro Forma'!H372/1000000</f>
        <v>-67.155710096808619</v>
      </c>
      <c r="I375" s="792">
        <f ca="1">+'Phase I Pro Forma'!I372/1000000</f>
        <v>0</v>
      </c>
      <c r="J375" s="792">
        <f ca="1">+'Phase I Pro Forma'!J372/1000000</f>
        <v>0</v>
      </c>
      <c r="K375" s="792">
        <f ca="1">+'Phase I Pro Forma'!K372/1000000</f>
        <v>0</v>
      </c>
      <c r="L375" s="792">
        <f ca="1">+'Phase I Pro Forma'!L372/1000000</f>
        <v>0</v>
      </c>
      <c r="M375" s="792">
        <f ca="1">+'Phase I Pro Forma'!M372/1000000</f>
        <v>0</v>
      </c>
      <c r="N375" s="792">
        <f ca="1">+'Phase I Pro Forma'!N372/1000000</f>
        <v>0</v>
      </c>
      <c r="O375" s="792">
        <f ca="1">+'Phase I Pro Forma'!O372/1000000</f>
        <v>0</v>
      </c>
      <c r="P375" s="792">
        <f ca="1">+'Phase I Pro Forma'!P372/1000000</f>
        <v>0</v>
      </c>
      <c r="Q375" s="792">
        <f ca="1">+'Phase I Pro Forma'!Q372/1000000</f>
        <v>0</v>
      </c>
      <c r="R375" s="792">
        <f ca="1">+'Phase I Pro Forma'!R372/1000000</f>
        <v>0</v>
      </c>
      <c r="S375" s="792">
        <f ca="1">+'Phase I Pro Forma'!S372/1000000</f>
        <v>0</v>
      </c>
      <c r="T375" s="792">
        <f ca="1">+'Phase I Pro Forma'!T372/1000000</f>
        <v>0</v>
      </c>
      <c r="U375" s="792">
        <f ca="1">+'Phase I Pro Forma'!U372/1000000</f>
        <v>0</v>
      </c>
      <c r="V375" s="792">
        <f ca="1">+'Phase I Pro Forma'!V372/1000000</f>
        <v>0</v>
      </c>
      <c r="W375" s="792">
        <f ca="1">+'Phase I Pro Forma'!W372/1000000</f>
        <v>0</v>
      </c>
      <c r="X375" s="792">
        <f ca="1">+'Phase I Pro Forma'!X372/1000000</f>
        <v>0</v>
      </c>
      <c r="Y375" s="792">
        <f ca="1">+'Phase I Pro Forma'!Y372/1000000</f>
        <v>0</v>
      </c>
      <c r="Z375" s="792">
        <f ca="1">+'Phase I Pro Forma'!Z372/1000000</f>
        <v>0</v>
      </c>
    </row>
    <row r="376" spans="2:26" s="793" customFormat="1" hidden="1" x14ac:dyDescent="0.2">
      <c r="B376" s="788" t="s">
        <v>416</v>
      </c>
      <c r="D376" s="803"/>
      <c r="E376" s="803"/>
      <c r="F376" s="789">
        <f ca="1">+'Phase I Pro Forma'!F373/1000000</f>
        <v>10.816074070036045</v>
      </c>
      <c r="G376" s="789">
        <f ca="1">+'Phase I Pro Forma'!G373/1000000</f>
        <v>32.998301343707396</v>
      </c>
      <c r="H376" s="789">
        <f ca="1">+'Phase I Pro Forma'!H373/1000000</f>
        <v>14.102699120329808</v>
      </c>
      <c r="I376" s="789">
        <f ca="1">+'Phase I Pro Forma'!I373/1000000</f>
        <v>0</v>
      </c>
      <c r="J376" s="789">
        <f ca="1">+'Phase I Pro Forma'!J373/1000000</f>
        <v>0</v>
      </c>
      <c r="K376" s="789">
        <f ca="1">+'Phase I Pro Forma'!K373/1000000</f>
        <v>0</v>
      </c>
      <c r="L376" s="789">
        <f ca="1">+'Phase I Pro Forma'!L373/1000000</f>
        <v>0</v>
      </c>
      <c r="M376" s="789">
        <f ca="1">+'Phase I Pro Forma'!M373/1000000</f>
        <v>0</v>
      </c>
      <c r="N376" s="789">
        <f ca="1">+'Phase I Pro Forma'!N373/1000000</f>
        <v>0</v>
      </c>
      <c r="O376" s="789">
        <f ca="1">+'Phase I Pro Forma'!O373/1000000</f>
        <v>0</v>
      </c>
      <c r="P376" s="789">
        <f ca="1">+'Phase I Pro Forma'!P373/1000000</f>
        <v>0</v>
      </c>
      <c r="Q376" s="789">
        <f ca="1">+'Phase I Pro Forma'!Q373/1000000</f>
        <v>0</v>
      </c>
      <c r="R376" s="789">
        <f ca="1">+'Phase I Pro Forma'!R373/1000000</f>
        <v>0</v>
      </c>
      <c r="S376" s="789">
        <f ca="1">+'Phase I Pro Forma'!S373/1000000</f>
        <v>0</v>
      </c>
      <c r="T376" s="789">
        <f ca="1">+'Phase I Pro Forma'!T373/1000000</f>
        <v>0</v>
      </c>
      <c r="U376" s="789">
        <f ca="1">+'Phase I Pro Forma'!U373/1000000</f>
        <v>0</v>
      </c>
      <c r="V376" s="789">
        <f ca="1">+'Phase I Pro Forma'!V373/1000000</f>
        <v>0</v>
      </c>
      <c r="W376" s="789">
        <f ca="1">+'Phase I Pro Forma'!W373/1000000</f>
        <v>0</v>
      </c>
      <c r="X376" s="789">
        <f ca="1">+'Phase I Pro Forma'!X373/1000000</f>
        <v>0</v>
      </c>
      <c r="Y376" s="789">
        <f ca="1">+'Phase I Pro Forma'!Y373/1000000</f>
        <v>0</v>
      </c>
      <c r="Z376" s="789">
        <f ca="1">+'Phase I Pro Forma'!Z373/1000000</f>
        <v>0</v>
      </c>
    </row>
    <row r="377" spans="2:26" s="793" customFormat="1" hidden="1" x14ac:dyDescent="0.2">
      <c r="B377" s="788" t="s">
        <v>417</v>
      </c>
      <c r="D377" s="803"/>
      <c r="E377" s="803"/>
      <c r="F377" s="789">
        <f ca="1">+'Phase I Pro Forma'!F374/1000000</f>
        <v>0</v>
      </c>
      <c r="G377" s="789">
        <f ca="1">+'Phase I Pro Forma'!G374/1000000</f>
        <v>0</v>
      </c>
      <c r="H377" s="789">
        <f ca="1">+'Phase I Pro Forma'!H374/1000000</f>
        <v>0</v>
      </c>
      <c r="I377" s="789">
        <f ca="1">+'Phase I Pro Forma'!I374/1000000</f>
        <v>0</v>
      </c>
      <c r="J377" s="789">
        <f ca="1">+'Phase I Pro Forma'!J374/1000000</f>
        <v>0</v>
      </c>
      <c r="K377" s="789">
        <f ca="1">+'Phase I Pro Forma'!K374/1000000</f>
        <v>0</v>
      </c>
      <c r="L377" s="789">
        <f ca="1">+'Phase I Pro Forma'!L374/1000000</f>
        <v>-57.917074534073251</v>
      </c>
      <c r="M377" s="789">
        <f ca="1">+'Phase I Pro Forma'!M374/1000000</f>
        <v>0</v>
      </c>
      <c r="N377" s="789">
        <f ca="1">+'Phase I Pro Forma'!N374/1000000</f>
        <v>0</v>
      </c>
      <c r="O377" s="789">
        <f ca="1">+'Phase I Pro Forma'!O374/1000000</f>
        <v>0</v>
      </c>
      <c r="P377" s="789">
        <f ca="1">+'Phase I Pro Forma'!P374/1000000</f>
        <v>0</v>
      </c>
      <c r="Q377" s="789">
        <f ca="1">+'Phase I Pro Forma'!Q374/1000000</f>
        <v>0</v>
      </c>
      <c r="R377" s="789">
        <f ca="1">+'Phase I Pro Forma'!R374/1000000</f>
        <v>0</v>
      </c>
      <c r="S377" s="789">
        <f ca="1">+'Phase I Pro Forma'!S374/1000000</f>
        <v>0</v>
      </c>
      <c r="T377" s="789">
        <f ca="1">+'Phase I Pro Forma'!T374/1000000</f>
        <v>0</v>
      </c>
      <c r="U377" s="789">
        <f ca="1">+'Phase I Pro Forma'!U374/1000000</f>
        <v>0</v>
      </c>
      <c r="V377" s="789">
        <f ca="1">+'Phase I Pro Forma'!V374/1000000</f>
        <v>0</v>
      </c>
      <c r="W377" s="789">
        <f ca="1">+'Phase I Pro Forma'!W374/1000000</f>
        <v>0</v>
      </c>
      <c r="X377" s="789">
        <f ca="1">+'Phase I Pro Forma'!X374/1000000</f>
        <v>0</v>
      </c>
      <c r="Y377" s="789">
        <f ca="1">+'Phase I Pro Forma'!Y374/1000000</f>
        <v>0</v>
      </c>
      <c r="Z377" s="789">
        <f ca="1">+'Phase I Pro Forma'!Z374/1000000</f>
        <v>0</v>
      </c>
    </row>
    <row r="378" spans="2:26" s="793" customFormat="1" hidden="1" x14ac:dyDescent="0.2">
      <c r="B378" s="788" t="s">
        <v>418</v>
      </c>
      <c r="D378" s="803"/>
      <c r="E378" s="803"/>
      <c r="F378" s="789">
        <f>+'Phase I Pro Forma'!F375/1000000</f>
        <v>0</v>
      </c>
      <c r="G378" s="789">
        <f>+'Phase I Pro Forma'!G375/1000000</f>
        <v>0</v>
      </c>
      <c r="H378" s="789">
        <f>+'Phase I Pro Forma'!H375/1000000</f>
        <v>0</v>
      </c>
      <c r="I378" s="789">
        <f>+'Phase I Pro Forma'!I375/1000000</f>
        <v>0</v>
      </c>
      <c r="J378" s="789">
        <f>+'Phase I Pro Forma'!J375/1000000</f>
        <v>0</v>
      </c>
      <c r="K378" s="789">
        <f>+'Phase I Pro Forma'!K375/1000000</f>
        <v>0</v>
      </c>
      <c r="L378" s="789">
        <f ca="1">+'Phase I Pro Forma'!L375/1000000</f>
        <v>8.6875611801109898</v>
      </c>
      <c r="M378" s="789">
        <f>+'Phase I Pro Forma'!M375/1000000</f>
        <v>0</v>
      </c>
      <c r="N378" s="789">
        <f>+'Phase I Pro Forma'!N375/1000000</f>
        <v>0</v>
      </c>
      <c r="O378" s="789">
        <f>+'Phase I Pro Forma'!O375/1000000</f>
        <v>0</v>
      </c>
      <c r="P378" s="789">
        <f>+'Phase I Pro Forma'!P375/1000000</f>
        <v>0</v>
      </c>
      <c r="Q378" s="789">
        <f>+'Phase I Pro Forma'!Q375/1000000</f>
        <v>0</v>
      </c>
      <c r="R378" s="789">
        <f>+'Phase I Pro Forma'!R375/1000000</f>
        <v>0</v>
      </c>
      <c r="S378" s="789">
        <f>+'Phase I Pro Forma'!S375/1000000</f>
        <v>0</v>
      </c>
      <c r="T378" s="789">
        <f>+'Phase I Pro Forma'!T375/1000000</f>
        <v>0</v>
      </c>
      <c r="U378" s="789">
        <f>+'Phase I Pro Forma'!U375/1000000</f>
        <v>0</v>
      </c>
      <c r="V378" s="789">
        <f>+'Phase I Pro Forma'!V375/1000000</f>
        <v>0</v>
      </c>
      <c r="W378" s="789">
        <f>+'Phase I Pro Forma'!W375/1000000</f>
        <v>0</v>
      </c>
      <c r="X378" s="789">
        <f>+'Phase I Pro Forma'!X375/1000000</f>
        <v>0</v>
      </c>
      <c r="Y378" s="789">
        <f>+'Phase I Pro Forma'!Y375/1000000</f>
        <v>0</v>
      </c>
      <c r="Z378" s="789">
        <f>+'Phase I Pro Forma'!Z375/1000000</f>
        <v>0</v>
      </c>
    </row>
    <row r="379" spans="2:26" s="793" customFormat="1" hidden="1" x14ac:dyDescent="0.2">
      <c r="B379" s="788" t="s">
        <v>408</v>
      </c>
      <c r="D379" s="803"/>
      <c r="E379" s="803"/>
      <c r="F379" s="789">
        <f ca="1">+'Phase I Pro Forma'!F376/1000000</f>
        <v>0</v>
      </c>
      <c r="G379" s="789">
        <f ca="1">+'Phase I Pro Forma'!G376/1000000</f>
        <v>0</v>
      </c>
      <c r="H379" s="789">
        <f ca="1">+'Phase I Pro Forma'!H376/1000000</f>
        <v>0</v>
      </c>
      <c r="I379" s="789">
        <f ca="1">+'Phase I Pro Forma'!I376/1000000</f>
        <v>-2.5528717031015651</v>
      </c>
      <c r="J379" s="789">
        <f ca="1">+'Phase I Pro Forma'!J376/1000000</f>
        <v>-2.8713884075846776</v>
      </c>
      <c r="K379" s="789">
        <f ca="1">+'Phase I Pro Forma'!K376/1000000</f>
        <v>-3.0012663344973411</v>
      </c>
      <c r="L379" s="789">
        <f ca="1">+'Phase I Pro Forma'!L376/1000000</f>
        <v>-3.3753872463023771</v>
      </c>
      <c r="M379" s="789">
        <f ca="1">+'Phase I Pro Forma'!M376/1000000</f>
        <v>-3.4439787539705664</v>
      </c>
      <c r="N379" s="789">
        <f ca="1">+'Phase I Pro Forma'!N376/1000000</f>
        <v>-3.5373368210881595</v>
      </c>
      <c r="O379" s="789">
        <f ca="1">+'Phase I Pro Forma'!O376/1000000</f>
        <v>-3.6330881739998682</v>
      </c>
      <c r="P379" s="789">
        <f ca="1">+'Phase I Pro Forma'!P376/1000000</f>
        <v>-3.7084125332976918</v>
      </c>
      <c r="Q379" s="789">
        <f>+'Phase I Pro Forma'!Q376/1000000</f>
        <v>0</v>
      </c>
      <c r="R379" s="789">
        <f>+'Phase I Pro Forma'!R376/1000000</f>
        <v>0</v>
      </c>
      <c r="S379" s="789">
        <f>+'Phase I Pro Forma'!S376/1000000</f>
        <v>0</v>
      </c>
      <c r="T379" s="789">
        <f>+'Phase I Pro Forma'!T376/1000000</f>
        <v>0</v>
      </c>
      <c r="U379" s="789">
        <f>+'Phase I Pro Forma'!U376/1000000</f>
        <v>0</v>
      </c>
      <c r="V379" s="789">
        <f>+'Phase I Pro Forma'!V376/1000000</f>
        <v>0</v>
      </c>
      <c r="W379" s="789">
        <f>+'Phase I Pro Forma'!W376/1000000</f>
        <v>0</v>
      </c>
      <c r="X379" s="789">
        <f>+'Phase I Pro Forma'!X376/1000000</f>
        <v>0</v>
      </c>
      <c r="Y379" s="789">
        <f>+'Phase I Pro Forma'!Y376/1000000</f>
        <v>0</v>
      </c>
      <c r="Z379" s="789">
        <f>+'Phase I Pro Forma'!Z376/1000000</f>
        <v>0</v>
      </c>
    </row>
    <row r="380" spans="2:26" s="793" customFormat="1" hidden="1" x14ac:dyDescent="0.2">
      <c r="B380" s="788" t="s">
        <v>409</v>
      </c>
      <c r="D380" s="803"/>
      <c r="E380" s="803"/>
      <c r="F380" s="789">
        <f ca="1">+'Phase I Pro Forma'!F377/1000000</f>
        <v>0</v>
      </c>
      <c r="G380" s="789">
        <f ca="1">+'Phase I Pro Forma'!G377/1000000</f>
        <v>0</v>
      </c>
      <c r="H380" s="789">
        <f ca="1">+'Phase I Pro Forma'!H377/1000000</f>
        <v>0</v>
      </c>
      <c r="I380" s="789">
        <f ca="1">+'Phase I Pro Forma'!I377/1000000</f>
        <v>12.156531919531263</v>
      </c>
      <c r="J380" s="789">
        <f ca="1">+'Phase I Pro Forma'!J377/1000000</f>
        <v>25.299756984119632</v>
      </c>
      <c r="K380" s="789">
        <f ca="1">+'Phase I Pro Forma'!K377/1000000</f>
        <v>25.918223302751361</v>
      </c>
      <c r="L380" s="789">
        <f ca="1">+'Phase I Pro Forma'!L377/1000000</f>
        <v>27.699751454203916</v>
      </c>
      <c r="M380" s="789">
        <f ca="1">+'Phase I Pro Forma'!M377/1000000</f>
        <v>28.026377681195292</v>
      </c>
      <c r="N380" s="789">
        <f ca="1">+'Phase I Pro Forma'!N377/1000000</f>
        <v>28.470939905564784</v>
      </c>
      <c r="O380" s="789">
        <f ca="1">+'Phase I Pro Forma'!O377/1000000</f>
        <v>28.926898728953873</v>
      </c>
      <c r="P380" s="789">
        <f ca="1">+'Phase I Pro Forma'!P377/1000000</f>
        <v>29.285586154181608</v>
      </c>
      <c r="Q380" s="789">
        <f>+'Phase I Pro Forma'!Q377/1000000</f>
        <v>0</v>
      </c>
      <c r="R380" s="789">
        <f>+'Phase I Pro Forma'!R377/1000000</f>
        <v>0</v>
      </c>
      <c r="S380" s="789">
        <f>+'Phase I Pro Forma'!S377/1000000</f>
        <v>0</v>
      </c>
      <c r="T380" s="789">
        <f>+'Phase I Pro Forma'!T377/1000000</f>
        <v>0</v>
      </c>
      <c r="U380" s="789">
        <f>+'Phase I Pro Forma'!U377/1000000</f>
        <v>0</v>
      </c>
      <c r="V380" s="789">
        <f>+'Phase I Pro Forma'!V377/1000000</f>
        <v>0</v>
      </c>
      <c r="W380" s="789">
        <f>+'Phase I Pro Forma'!W377/1000000</f>
        <v>0</v>
      </c>
      <c r="X380" s="789">
        <f>+'Phase I Pro Forma'!X377/1000000</f>
        <v>0</v>
      </c>
      <c r="Y380" s="789">
        <f>+'Phase I Pro Forma'!Y377/1000000</f>
        <v>0</v>
      </c>
      <c r="Z380" s="789">
        <f>+'Phase I Pro Forma'!Z377/1000000</f>
        <v>0</v>
      </c>
    </row>
    <row r="381" spans="2:26" s="793" customFormat="1" hidden="1" x14ac:dyDescent="0.2">
      <c r="B381" s="788" t="s">
        <v>403</v>
      </c>
      <c r="D381" s="803"/>
      <c r="E381" s="803"/>
      <c r="F381" s="789">
        <f>+'Phase I Pro Forma'!F378/1000000</f>
        <v>0</v>
      </c>
      <c r="G381" s="789">
        <f>+'Phase I Pro Forma'!G378/1000000</f>
        <v>0</v>
      </c>
      <c r="H381" s="789">
        <f>+'Phase I Pro Forma'!H378/1000000</f>
        <v>0</v>
      </c>
      <c r="I381" s="789">
        <f>+'Phase I Pro Forma'!I378/1000000</f>
        <v>0</v>
      </c>
      <c r="J381" s="789">
        <f>+'Phase I Pro Forma'!J378/1000000</f>
        <v>0</v>
      </c>
      <c r="K381" s="789">
        <f>+'Phase I Pro Forma'!K378/1000000</f>
        <v>0</v>
      </c>
      <c r="L381" s="789">
        <f>+'Phase I Pro Forma'!L378/1000000</f>
        <v>0</v>
      </c>
      <c r="M381" s="789">
        <f>+'Phase I Pro Forma'!M378/1000000</f>
        <v>0</v>
      </c>
      <c r="N381" s="789">
        <f>+'Phase I Pro Forma'!N378/1000000</f>
        <v>0</v>
      </c>
      <c r="O381" s="789">
        <f>+'Phase I Pro Forma'!O378/1000000</f>
        <v>0</v>
      </c>
      <c r="P381" s="789">
        <f ca="1">+'Phase I Pro Forma'!P378/1000000</f>
        <v>457.71454170623127</v>
      </c>
      <c r="Q381" s="789">
        <f>+'Phase I Pro Forma'!Q378/1000000</f>
        <v>0</v>
      </c>
      <c r="R381" s="789">
        <f>+'Phase I Pro Forma'!R378/1000000</f>
        <v>0</v>
      </c>
      <c r="S381" s="789">
        <f>+'Phase I Pro Forma'!S378/1000000</f>
        <v>0</v>
      </c>
      <c r="T381" s="789">
        <f>+'Phase I Pro Forma'!T378/1000000</f>
        <v>0</v>
      </c>
      <c r="U381" s="789">
        <f>+'Phase I Pro Forma'!U378/1000000</f>
        <v>0</v>
      </c>
      <c r="V381" s="789">
        <f>+'Phase I Pro Forma'!V378/1000000</f>
        <v>0</v>
      </c>
      <c r="W381" s="789">
        <f>+'Phase I Pro Forma'!W378/1000000</f>
        <v>0</v>
      </c>
      <c r="X381" s="789">
        <f>+'Phase I Pro Forma'!X378/1000000</f>
        <v>0</v>
      </c>
      <c r="Y381" s="789">
        <f>+'Phase I Pro Forma'!Y378/1000000</f>
        <v>0</v>
      </c>
      <c r="Z381" s="789">
        <f>+'Phase I Pro Forma'!Z378/1000000</f>
        <v>0</v>
      </c>
    </row>
    <row r="382" spans="2:26" s="793" customFormat="1" hidden="1" x14ac:dyDescent="0.2">
      <c r="B382" s="788" t="s">
        <v>415</v>
      </c>
      <c r="D382" s="803"/>
      <c r="E382" s="803"/>
      <c r="F382" s="789">
        <f>+'Phase I Pro Forma'!F379/1000000</f>
        <v>0</v>
      </c>
      <c r="G382" s="789">
        <f>+'Phase I Pro Forma'!G379/1000000</f>
        <v>0</v>
      </c>
      <c r="H382" s="789">
        <f>+'Phase I Pro Forma'!H379/1000000</f>
        <v>0</v>
      </c>
      <c r="I382" s="789">
        <f>+'Phase I Pro Forma'!I379/1000000</f>
        <v>0</v>
      </c>
      <c r="J382" s="789">
        <f>+'Phase I Pro Forma'!J379/1000000</f>
        <v>0</v>
      </c>
      <c r="K382" s="789">
        <f>+'Phase I Pro Forma'!K379/1000000</f>
        <v>0</v>
      </c>
      <c r="L382" s="789">
        <f>+'Phase I Pro Forma'!L379/1000000</f>
        <v>0</v>
      </c>
      <c r="M382" s="789">
        <f>+'Phase I Pro Forma'!M379/1000000</f>
        <v>0</v>
      </c>
      <c r="N382" s="789">
        <f>+'Phase I Pro Forma'!N379/1000000</f>
        <v>0</v>
      </c>
      <c r="O382" s="789">
        <f>+'Phase I Pro Forma'!O379/1000000</f>
        <v>0</v>
      </c>
      <c r="P382" s="789">
        <f>+'Phase I Pro Forma'!P379/1000000</f>
        <v>0</v>
      </c>
      <c r="Q382" s="789">
        <f>+'Phase I Pro Forma'!Q379/1000000</f>
        <v>0</v>
      </c>
      <c r="R382" s="789">
        <f>+'Phase I Pro Forma'!R379/1000000</f>
        <v>0</v>
      </c>
      <c r="S382" s="789">
        <f>+'Phase I Pro Forma'!S379/1000000</f>
        <v>0</v>
      </c>
      <c r="T382" s="789">
        <f>+'Phase I Pro Forma'!T379/1000000</f>
        <v>0</v>
      </c>
      <c r="U382" s="789">
        <f>+'Phase I Pro Forma'!U379/1000000</f>
        <v>0</v>
      </c>
      <c r="V382" s="789">
        <f>+'Phase I Pro Forma'!V379/1000000</f>
        <v>0</v>
      </c>
      <c r="W382" s="789">
        <f>+'Phase I Pro Forma'!W379/1000000</f>
        <v>0</v>
      </c>
      <c r="X382" s="789">
        <f>+'Phase I Pro Forma'!X379/1000000</f>
        <v>0</v>
      </c>
      <c r="Y382" s="789">
        <f>+'Phase I Pro Forma'!Y379/1000000</f>
        <v>0</v>
      </c>
      <c r="Z382" s="789">
        <f>+'Phase I Pro Forma'!Z379/1000000</f>
        <v>0</v>
      </c>
    </row>
    <row r="383" spans="2:26" s="793" customFormat="1" hidden="1" x14ac:dyDescent="0.2">
      <c r="B383" s="811" t="s">
        <v>406</v>
      </c>
      <c r="C383" s="811"/>
      <c r="D383" s="812">
        <f t="shared" ref="D383" ca="1" si="127">+SUM(F383:Z383)</f>
        <v>370.2668460236053</v>
      </c>
      <c r="E383" s="812"/>
      <c r="F383" s="812">
        <f t="shared" ref="F383:Z383" ca="1" si="128">+SUM(F375:F382)</f>
        <v>-40.689040549183211</v>
      </c>
      <c r="G383" s="812">
        <f t="shared" ca="1" si="128"/>
        <v>-124.13646695966116</v>
      </c>
      <c r="H383" s="812">
        <f t="shared" ca="1" si="128"/>
        <v>-53.053010976478809</v>
      </c>
      <c r="I383" s="812">
        <f t="shared" ca="1" si="128"/>
        <v>9.6036602164296987</v>
      </c>
      <c r="J383" s="812">
        <f t="shared" ca="1" si="128"/>
        <v>22.428368576534954</v>
      </c>
      <c r="K383" s="812">
        <f t="shared" ca="1" si="128"/>
        <v>22.91695696825402</v>
      </c>
      <c r="L383" s="812">
        <f t="shared" ca="1" si="128"/>
        <v>-24.905149146060719</v>
      </c>
      <c r="M383" s="812">
        <f t="shared" ca="1" si="128"/>
        <v>24.582398927224727</v>
      </c>
      <c r="N383" s="812">
        <f t="shared" ca="1" si="128"/>
        <v>24.933603084476623</v>
      </c>
      <c r="O383" s="812">
        <f t="shared" ca="1" si="128"/>
        <v>25.293810554954003</v>
      </c>
      <c r="P383" s="812">
        <f t="shared" ca="1" si="128"/>
        <v>483.29171532711518</v>
      </c>
      <c r="Q383" s="812">
        <f t="shared" ca="1" si="128"/>
        <v>0</v>
      </c>
      <c r="R383" s="812">
        <f t="shared" ca="1" si="128"/>
        <v>0</v>
      </c>
      <c r="S383" s="812">
        <f t="shared" ca="1" si="128"/>
        <v>0</v>
      </c>
      <c r="T383" s="812">
        <f t="shared" ca="1" si="128"/>
        <v>0</v>
      </c>
      <c r="U383" s="812">
        <f t="shared" ca="1" si="128"/>
        <v>0</v>
      </c>
      <c r="V383" s="812">
        <f t="shared" ca="1" si="128"/>
        <v>0</v>
      </c>
      <c r="W383" s="812">
        <f t="shared" ca="1" si="128"/>
        <v>0</v>
      </c>
      <c r="X383" s="812">
        <f t="shared" ca="1" si="128"/>
        <v>0</v>
      </c>
      <c r="Y383" s="812">
        <f t="shared" ca="1" si="128"/>
        <v>0</v>
      </c>
      <c r="Z383" s="812">
        <f t="shared" ca="1" si="128"/>
        <v>0</v>
      </c>
    </row>
    <row r="384" spans="2:26" s="793" customFormat="1" hidden="1" x14ac:dyDescent="0.2"/>
    <row r="385" spans="2:26" s="793" customFormat="1" hidden="1" x14ac:dyDescent="0.2">
      <c r="B385" s="815" t="s">
        <v>421</v>
      </c>
      <c r="C385" s="815"/>
      <c r="D385" s="816">
        <f ca="1">+IRR(F383:Z383)</f>
        <v>0.12956610274203739</v>
      </c>
    </row>
    <row r="386" spans="2:26" s="793" customFormat="1" hidden="1" x14ac:dyDescent="0.2">
      <c r="B386" s="817" t="s">
        <v>422</v>
      </c>
      <c r="C386" s="818"/>
      <c r="D386" s="820">
        <f ca="1">+'Phase I Pro Forma'!D383</f>
        <v>0.16400772499036342</v>
      </c>
    </row>
    <row r="387" spans="2:26" s="793" customFormat="1" hidden="1" x14ac:dyDescent="0.2"/>
    <row r="388" spans="2:26" s="793" customFormat="1" hidden="1" x14ac:dyDescent="0.2">
      <c r="B388" s="793" t="s">
        <v>419</v>
      </c>
      <c r="F388" s="789">
        <f ca="1">+'Phase I Pro Forma'!F385/1000000</f>
        <v>0</v>
      </c>
      <c r="G388" s="789">
        <f ca="1">+'Phase I Pro Forma'!G385/1000000</f>
        <v>0</v>
      </c>
      <c r="H388" s="789">
        <f ca="1">+'Phase I Pro Forma'!H385/1000000</f>
        <v>0</v>
      </c>
      <c r="I388" s="789">
        <f ca="1">+'Phase I Pro Forma'!I385/1000000</f>
        <v>0</v>
      </c>
      <c r="J388" s="789">
        <f ca="1">+'Phase I Pro Forma'!J385/1000000</f>
        <v>0</v>
      </c>
      <c r="K388" s="789">
        <f ca="1">+'Phase I Pro Forma'!K385/1000000</f>
        <v>1.0816074070036046</v>
      </c>
      <c r="L388" s="789">
        <f ca="1">+'Phase I Pro Forma'!L385/1000000</f>
        <v>3.2998301343707399</v>
      </c>
      <c r="M388" s="789">
        <f ca="1">+'Phase I Pro Forma'!M385/1000000</f>
        <v>1.9510736155347834</v>
      </c>
      <c r="N388" s="789">
        <f ca="1">+'Phase I Pro Forma'!N385/1000000</f>
        <v>1.64991506718537</v>
      </c>
      <c r="O388" s="789">
        <f ca="1">+'Phase I Pro Forma'!O385/1000000</f>
        <v>0.70513495601649046</v>
      </c>
      <c r="P388" s="789">
        <f ca="1">+'Phase I Pro Forma'!P385/1000000</f>
        <v>0</v>
      </c>
      <c r="Q388" s="789">
        <f ca="1">+'Phase I Pro Forma'!Q385/1000000</f>
        <v>0</v>
      </c>
      <c r="R388" s="789">
        <f ca="1">+'Phase I Pro Forma'!R385/1000000</f>
        <v>0</v>
      </c>
      <c r="S388" s="789">
        <f ca="1">+'Phase I Pro Forma'!S385/1000000</f>
        <v>0</v>
      </c>
      <c r="T388" s="789">
        <f ca="1">+'Phase I Pro Forma'!T385/1000000</f>
        <v>0</v>
      </c>
      <c r="U388" s="789">
        <f ca="1">+'Phase I Pro Forma'!U385/1000000</f>
        <v>0</v>
      </c>
      <c r="V388" s="789">
        <f ca="1">+'Phase I Pro Forma'!V385/1000000</f>
        <v>0</v>
      </c>
      <c r="W388" s="789">
        <f ca="1">+'Phase I Pro Forma'!W385/1000000</f>
        <v>0</v>
      </c>
      <c r="X388" s="789">
        <f ca="1">+'Phase I Pro Forma'!X385/1000000</f>
        <v>0</v>
      </c>
      <c r="Y388" s="789">
        <f ca="1">+'Phase I Pro Forma'!Y385/1000000</f>
        <v>0</v>
      </c>
      <c r="Z388" s="789">
        <f ca="1">+'Phase I Pro Forma'!Z385/1000000</f>
        <v>0</v>
      </c>
    </row>
    <row r="389" spans="2:26" s="793" customFormat="1" hidden="1" x14ac:dyDescent="0.2"/>
    <row r="390" spans="2:26" s="793" customFormat="1" hidden="1" x14ac:dyDescent="0.2">
      <c r="B390" s="810" t="s">
        <v>399</v>
      </c>
    </row>
    <row r="391" spans="2:26" s="793" customFormat="1" hidden="1" x14ac:dyDescent="0.2">
      <c r="B391" s="788" t="s">
        <v>400</v>
      </c>
      <c r="D391" s="803">
        <f ca="1">+SUM(F391:Z391)</f>
        <v>2222.3536857889349</v>
      </c>
      <c r="E391" s="803"/>
      <c r="F391" s="792">
        <f>+'Phase I Pro Forma'!F388/1000000</f>
        <v>0</v>
      </c>
      <c r="G391" s="792">
        <f ca="1">+'Phase I Pro Forma'!G388/1000000</f>
        <v>51.505114619219256</v>
      </c>
      <c r="H391" s="792">
        <f ca="1">+'Phase I Pro Forma'!H388/1000000</f>
        <v>208.63988292258782</v>
      </c>
      <c r="I391" s="792">
        <f ca="1">+'Phase I Pro Forma'!I388/1000000</f>
        <v>275.79559301939645</v>
      </c>
      <c r="J391" s="792">
        <f ca="1">+'Phase I Pro Forma'!J388/1000000</f>
        <v>275.79559301939645</v>
      </c>
      <c r="K391" s="792">
        <f ca="1">+'Phase I Pro Forma'!K388/1000000</f>
        <v>264.16911416663243</v>
      </c>
      <c r="L391" s="792">
        <f ca="1">+'Phase I Pro Forma'!L388/1000000</f>
        <v>252.54263531386846</v>
      </c>
      <c r="M391" s="792">
        <f ca="1">+'Phase I Pro Forma'!M388/1000000</f>
        <v>240.91615646110446</v>
      </c>
      <c r="N391" s="792">
        <f ca="1">+'Phase I Pro Forma'!N388/1000000</f>
        <v>229.28967760834047</v>
      </c>
      <c r="O391" s="792">
        <f ca="1">+'Phase I Pro Forma'!O388/1000000</f>
        <v>217.66319875557647</v>
      </c>
      <c r="P391" s="792">
        <f ca="1">+'Phase I Pro Forma'!P388/1000000</f>
        <v>206.03671990281245</v>
      </c>
      <c r="Q391" s="792">
        <f ca="1">+'Phase I Pro Forma'!Q388/1000000</f>
        <v>0</v>
      </c>
      <c r="R391" s="792">
        <f ca="1">+'Phase I Pro Forma'!R388/1000000</f>
        <v>0</v>
      </c>
      <c r="S391" s="792">
        <f ca="1">+'Phase I Pro Forma'!S388/1000000</f>
        <v>0</v>
      </c>
      <c r="T391" s="792">
        <f ca="1">+'Phase I Pro Forma'!T388/1000000</f>
        <v>0</v>
      </c>
      <c r="U391" s="792">
        <f ca="1">+'Phase I Pro Forma'!U388/1000000</f>
        <v>0</v>
      </c>
      <c r="V391" s="792">
        <f ca="1">+'Phase I Pro Forma'!V388/1000000</f>
        <v>0</v>
      </c>
      <c r="W391" s="792">
        <f ca="1">+'Phase I Pro Forma'!W388/1000000</f>
        <v>0</v>
      </c>
      <c r="X391" s="792">
        <f ca="1">+'Phase I Pro Forma'!X388/1000000</f>
        <v>0</v>
      </c>
      <c r="Y391" s="792">
        <f ca="1">+'Phase I Pro Forma'!Y388/1000000</f>
        <v>0</v>
      </c>
      <c r="Z391" s="792">
        <f ca="1">+'Phase I Pro Forma'!Z388/1000000</f>
        <v>0</v>
      </c>
    </row>
    <row r="392" spans="2:26" s="793" customFormat="1" hidden="1" x14ac:dyDescent="0.2">
      <c r="B392" s="788" t="s">
        <v>398</v>
      </c>
      <c r="D392" s="803">
        <f t="shared" ref="D392:D397" ca="1" si="129">+SUM(F392:Z392)</f>
        <v>275.79559301939645</v>
      </c>
      <c r="E392" s="803"/>
      <c r="F392" s="789">
        <f ca="1">+'Phase I Pro Forma'!F389/1000000</f>
        <v>51.505114619219256</v>
      </c>
      <c r="G392" s="789">
        <f ca="1">+'Phase I Pro Forma'!G389/1000000</f>
        <v>157.13476830336856</v>
      </c>
      <c r="H392" s="789">
        <f ca="1">+'Phase I Pro Forma'!H389/1000000</f>
        <v>67.155710096808619</v>
      </c>
      <c r="I392" s="789">
        <f ca="1">+'Phase I Pro Forma'!I389/1000000</f>
        <v>0</v>
      </c>
      <c r="J392" s="789">
        <f ca="1">+'Phase I Pro Forma'!J389/1000000</f>
        <v>0</v>
      </c>
      <c r="K392" s="789">
        <f ca="1">+'Phase I Pro Forma'!K389/1000000</f>
        <v>0</v>
      </c>
      <c r="L392" s="789">
        <f ca="1">+'Phase I Pro Forma'!L389/1000000</f>
        <v>0</v>
      </c>
      <c r="M392" s="789">
        <f ca="1">+'Phase I Pro Forma'!M389/1000000</f>
        <v>0</v>
      </c>
      <c r="N392" s="789">
        <f ca="1">+'Phase I Pro Forma'!N389/1000000</f>
        <v>0</v>
      </c>
      <c r="O392" s="789">
        <f ca="1">+'Phase I Pro Forma'!O389/1000000</f>
        <v>0</v>
      </c>
      <c r="P392" s="789">
        <f ca="1">+'Phase I Pro Forma'!P389/1000000</f>
        <v>0</v>
      </c>
      <c r="Q392" s="789">
        <f ca="1">+'Phase I Pro Forma'!Q389/1000000</f>
        <v>0</v>
      </c>
      <c r="R392" s="789">
        <f ca="1">+'Phase I Pro Forma'!R389/1000000</f>
        <v>0</v>
      </c>
      <c r="S392" s="789">
        <f ca="1">+'Phase I Pro Forma'!S389/1000000</f>
        <v>0</v>
      </c>
      <c r="T392" s="789">
        <f ca="1">+'Phase I Pro Forma'!T389/1000000</f>
        <v>0</v>
      </c>
      <c r="U392" s="789">
        <f ca="1">+'Phase I Pro Forma'!U389/1000000</f>
        <v>0</v>
      </c>
      <c r="V392" s="789">
        <f ca="1">+'Phase I Pro Forma'!V389/1000000</f>
        <v>0</v>
      </c>
      <c r="W392" s="789">
        <f ca="1">+'Phase I Pro Forma'!W389/1000000</f>
        <v>0</v>
      </c>
      <c r="X392" s="789">
        <f ca="1">+'Phase I Pro Forma'!X389/1000000</f>
        <v>0</v>
      </c>
      <c r="Y392" s="789">
        <f ca="1">+'Phase I Pro Forma'!Y389/1000000</f>
        <v>0</v>
      </c>
      <c r="Z392" s="789">
        <f ca="1">+'Phase I Pro Forma'!Z389/1000000</f>
        <v>0</v>
      </c>
    </row>
    <row r="393" spans="2:26" s="793" customFormat="1" hidden="1" x14ac:dyDescent="0.2">
      <c r="B393" s="788" t="s">
        <v>248</v>
      </c>
      <c r="D393" s="803">
        <f t="shared" ca="1" si="129"/>
        <v>205.78406613050174</v>
      </c>
      <c r="E393" s="803"/>
      <c r="F393" s="789">
        <f ca="1">+'Phase I Pro Forma'!F390/1000000</f>
        <v>0</v>
      </c>
      <c r="G393" s="789">
        <f ca="1">+'Phase I Pro Forma'!G390/1000000</f>
        <v>0</v>
      </c>
      <c r="H393" s="789">
        <f ca="1">+'Phase I Pro Forma'!H390/1000000</f>
        <v>0</v>
      </c>
      <c r="I393" s="789">
        <f ca="1">+'Phase I Pro Forma'!I390/1000000</f>
        <v>12.156531919531263</v>
      </c>
      <c r="J393" s="789">
        <f ca="1">+'Phase I Pro Forma'!J390/1000000</f>
        <v>25.299756984119632</v>
      </c>
      <c r="K393" s="789">
        <f ca="1">+'Phase I Pro Forma'!K390/1000000</f>
        <v>25.918223302751361</v>
      </c>
      <c r="L393" s="789">
        <f ca="1">+'Phase I Pro Forma'!L390/1000000</f>
        <v>27.699751454203916</v>
      </c>
      <c r="M393" s="789">
        <f ca="1">+'Phase I Pro Forma'!M390/1000000</f>
        <v>28.026377681195292</v>
      </c>
      <c r="N393" s="789">
        <f ca="1">+'Phase I Pro Forma'!N390/1000000</f>
        <v>28.470939905564784</v>
      </c>
      <c r="O393" s="789">
        <f ca="1">+'Phase I Pro Forma'!O390/1000000</f>
        <v>28.926898728953873</v>
      </c>
      <c r="P393" s="789">
        <f ca="1">+'Phase I Pro Forma'!P390/1000000</f>
        <v>29.285586154181608</v>
      </c>
      <c r="Q393" s="789">
        <f>+'Phase I Pro Forma'!Q390/1000000</f>
        <v>0</v>
      </c>
      <c r="R393" s="789">
        <f>+'Phase I Pro Forma'!R390/1000000</f>
        <v>0</v>
      </c>
      <c r="S393" s="789">
        <f>+'Phase I Pro Forma'!S390/1000000</f>
        <v>0</v>
      </c>
      <c r="T393" s="789">
        <f>+'Phase I Pro Forma'!T390/1000000</f>
        <v>0</v>
      </c>
      <c r="U393" s="789">
        <f>+'Phase I Pro Forma'!U390/1000000</f>
        <v>0</v>
      </c>
      <c r="V393" s="789">
        <f>+'Phase I Pro Forma'!V390/1000000</f>
        <v>0</v>
      </c>
      <c r="W393" s="789">
        <f>+'Phase I Pro Forma'!W390/1000000</f>
        <v>0</v>
      </c>
      <c r="X393" s="789">
        <f>+'Phase I Pro Forma'!X390/1000000</f>
        <v>0</v>
      </c>
      <c r="Y393" s="789">
        <f>+'Phase I Pro Forma'!Y390/1000000</f>
        <v>0</v>
      </c>
      <c r="Z393" s="789">
        <f>+'Phase I Pro Forma'!Z390/1000000</f>
        <v>0</v>
      </c>
    </row>
    <row r="394" spans="2:26" s="793" customFormat="1" hidden="1" x14ac:dyDescent="0.2">
      <c r="B394" s="788" t="s">
        <v>410</v>
      </c>
      <c r="D394" s="803">
        <f t="shared" ca="1" si="129"/>
        <v>-81.385351969348164</v>
      </c>
      <c r="E394" s="803"/>
      <c r="F394" s="789">
        <f>+'Phase I Pro Forma'!F391/1000000</f>
        <v>0</v>
      </c>
      <c r="G394" s="789">
        <f>+'Phase I Pro Forma'!G391/1000000</f>
        <v>0</v>
      </c>
      <c r="H394" s="789">
        <f>+'Phase I Pro Forma'!H391/1000000</f>
        <v>0</v>
      </c>
      <c r="I394" s="789">
        <f>+'Phase I Pro Forma'!I391/1000000</f>
        <v>0</v>
      </c>
      <c r="J394" s="789">
        <f ca="1">+'Phase I Pro Forma'!J391/1000000</f>
        <v>-11.626478852764023</v>
      </c>
      <c r="K394" s="789">
        <f ca="1">+'Phase I Pro Forma'!K391/1000000</f>
        <v>-11.626478852764023</v>
      </c>
      <c r="L394" s="789">
        <f ca="1">+'Phase I Pro Forma'!L391/1000000</f>
        <v>-11.626478852764023</v>
      </c>
      <c r="M394" s="789">
        <f ca="1">+'Phase I Pro Forma'!M391/1000000</f>
        <v>-11.626478852764023</v>
      </c>
      <c r="N394" s="789">
        <f ca="1">+'Phase I Pro Forma'!N391/1000000</f>
        <v>-11.626478852764023</v>
      </c>
      <c r="O394" s="789">
        <f ca="1">+'Phase I Pro Forma'!O391/1000000</f>
        <v>-11.626478852764023</v>
      </c>
      <c r="P394" s="789">
        <f ca="1">+'Phase I Pro Forma'!P391/1000000</f>
        <v>-11.626478852764023</v>
      </c>
      <c r="Q394" s="789">
        <f>+'Phase I Pro Forma'!Q391/1000000</f>
        <v>0</v>
      </c>
      <c r="R394" s="789">
        <f>+'Phase I Pro Forma'!R391/1000000</f>
        <v>0</v>
      </c>
      <c r="S394" s="789">
        <f>+'Phase I Pro Forma'!S391/1000000</f>
        <v>0</v>
      </c>
      <c r="T394" s="789">
        <f>+'Phase I Pro Forma'!T391/1000000</f>
        <v>0</v>
      </c>
      <c r="U394" s="789">
        <f>+'Phase I Pro Forma'!U391/1000000</f>
        <v>0</v>
      </c>
      <c r="V394" s="789">
        <f>+'Phase I Pro Forma'!V391/1000000</f>
        <v>0</v>
      </c>
      <c r="W394" s="789">
        <f>+'Phase I Pro Forma'!W391/1000000</f>
        <v>0</v>
      </c>
      <c r="X394" s="789">
        <f>+'Phase I Pro Forma'!X391/1000000</f>
        <v>0</v>
      </c>
      <c r="Y394" s="789">
        <f>+'Phase I Pro Forma'!Y391/1000000</f>
        <v>0</v>
      </c>
      <c r="Z394" s="789">
        <f>+'Phase I Pro Forma'!Z391/1000000</f>
        <v>0</v>
      </c>
    </row>
    <row r="395" spans="2:26" s="793" customFormat="1" hidden="1" x14ac:dyDescent="0.2">
      <c r="B395" s="788" t="s">
        <v>401</v>
      </c>
      <c r="D395" s="803">
        <f t="shared" ca="1" si="129"/>
        <v>-205.78406613050174</v>
      </c>
      <c r="E395" s="803"/>
      <c r="F395" s="789">
        <f ca="1">+'Phase I Pro Forma'!F392/1000000</f>
        <v>0</v>
      </c>
      <c r="G395" s="789">
        <f ca="1">+'Phase I Pro Forma'!G392/1000000</f>
        <v>0</v>
      </c>
      <c r="H395" s="789">
        <f ca="1">+'Phase I Pro Forma'!H392/1000000</f>
        <v>0</v>
      </c>
      <c r="I395" s="789">
        <f ca="1">+'Phase I Pro Forma'!I392/1000000</f>
        <v>-12.156531919531263</v>
      </c>
      <c r="J395" s="789">
        <f ca="1">+'Phase I Pro Forma'!J392/1000000</f>
        <v>-25.299756984119632</v>
      </c>
      <c r="K395" s="789">
        <f ca="1">+'Phase I Pro Forma'!K392/1000000</f>
        <v>-25.918223302751361</v>
      </c>
      <c r="L395" s="789">
        <f ca="1">+'Phase I Pro Forma'!L392/1000000</f>
        <v>-27.699751454203916</v>
      </c>
      <c r="M395" s="789">
        <f ca="1">+'Phase I Pro Forma'!M392/1000000</f>
        <v>-28.026377681195292</v>
      </c>
      <c r="N395" s="789">
        <f ca="1">+'Phase I Pro Forma'!N392/1000000</f>
        <v>-28.470939905564784</v>
      </c>
      <c r="O395" s="789">
        <f ca="1">+'Phase I Pro Forma'!O392/1000000</f>
        <v>-28.926898728953873</v>
      </c>
      <c r="P395" s="789">
        <f ca="1">+'Phase I Pro Forma'!P392/1000000</f>
        <v>-29.285586154181608</v>
      </c>
      <c r="Q395" s="789">
        <f>+'Phase I Pro Forma'!Q392/1000000</f>
        <v>0</v>
      </c>
      <c r="R395" s="789">
        <f>+'Phase I Pro Forma'!R392/1000000</f>
        <v>0</v>
      </c>
      <c r="S395" s="789">
        <f>+'Phase I Pro Forma'!S392/1000000</f>
        <v>0</v>
      </c>
      <c r="T395" s="789">
        <f>+'Phase I Pro Forma'!T392/1000000</f>
        <v>0</v>
      </c>
      <c r="U395" s="789">
        <f>+'Phase I Pro Forma'!U392/1000000</f>
        <v>0</v>
      </c>
      <c r="V395" s="789">
        <f>+'Phase I Pro Forma'!V392/1000000</f>
        <v>0</v>
      </c>
      <c r="W395" s="789">
        <f>+'Phase I Pro Forma'!W392/1000000</f>
        <v>0</v>
      </c>
      <c r="X395" s="789">
        <f>+'Phase I Pro Forma'!X392/1000000</f>
        <v>0</v>
      </c>
      <c r="Y395" s="789">
        <f>+'Phase I Pro Forma'!Y392/1000000</f>
        <v>0</v>
      </c>
      <c r="Z395" s="789">
        <f>+'Phase I Pro Forma'!Z392/1000000</f>
        <v>0</v>
      </c>
    </row>
    <row r="396" spans="2:26" s="793" customFormat="1" hidden="1" x14ac:dyDescent="0.2">
      <c r="B396" s="788" t="s">
        <v>403</v>
      </c>
      <c r="D396" s="803">
        <f t="shared" ca="1" si="129"/>
        <v>-457.71454170623127</v>
      </c>
      <c r="E396" s="803"/>
      <c r="F396" s="789">
        <f>+'Phase I Pro Forma'!F393/1000000</f>
        <v>0</v>
      </c>
      <c r="G396" s="789">
        <f>+'Phase I Pro Forma'!G393/1000000</f>
        <v>0</v>
      </c>
      <c r="H396" s="789">
        <f>+'Phase I Pro Forma'!H393/1000000</f>
        <v>0</v>
      </c>
      <c r="I396" s="789">
        <f>+'Phase I Pro Forma'!I393/1000000</f>
        <v>0</v>
      </c>
      <c r="J396" s="789">
        <f>+'Phase I Pro Forma'!J393/1000000</f>
        <v>0</v>
      </c>
      <c r="K396" s="789">
        <f>+'Phase I Pro Forma'!K393/1000000</f>
        <v>0</v>
      </c>
      <c r="L396" s="789">
        <f>+'Phase I Pro Forma'!L393/1000000</f>
        <v>0</v>
      </c>
      <c r="M396" s="789">
        <f>+'Phase I Pro Forma'!M393/1000000</f>
        <v>0</v>
      </c>
      <c r="N396" s="789">
        <f>+'Phase I Pro Forma'!N393/1000000</f>
        <v>0</v>
      </c>
      <c r="O396" s="789">
        <f>+'Phase I Pro Forma'!O393/1000000</f>
        <v>0</v>
      </c>
      <c r="P396" s="789">
        <f ca="1">+'Phase I Pro Forma'!P393/1000000</f>
        <v>-457.71454170623127</v>
      </c>
      <c r="Q396" s="789">
        <f>+'Phase I Pro Forma'!Q393/1000000</f>
        <v>0</v>
      </c>
      <c r="R396" s="789">
        <f>+'Phase I Pro Forma'!R393/1000000</f>
        <v>0</v>
      </c>
      <c r="S396" s="789">
        <f>+'Phase I Pro Forma'!S393/1000000</f>
        <v>0</v>
      </c>
      <c r="T396" s="789">
        <f>+'Phase I Pro Forma'!T393/1000000</f>
        <v>0</v>
      </c>
      <c r="U396" s="789">
        <f>+'Phase I Pro Forma'!U393/1000000</f>
        <v>0</v>
      </c>
      <c r="V396" s="789">
        <f>+'Phase I Pro Forma'!V393/1000000</f>
        <v>0</v>
      </c>
      <c r="W396" s="789">
        <f>+'Phase I Pro Forma'!W393/1000000</f>
        <v>0</v>
      </c>
      <c r="X396" s="789">
        <f>+'Phase I Pro Forma'!X393/1000000</f>
        <v>0</v>
      </c>
      <c r="Y396" s="789">
        <f>+'Phase I Pro Forma'!Y393/1000000</f>
        <v>0</v>
      </c>
      <c r="Z396" s="789">
        <f>+'Phase I Pro Forma'!Z393/1000000</f>
        <v>0</v>
      </c>
    </row>
    <row r="397" spans="2:26" s="793" customFormat="1" hidden="1" x14ac:dyDescent="0.2">
      <c r="B397" s="788" t="s">
        <v>414</v>
      </c>
      <c r="D397" s="803">
        <f t="shared" ca="1" si="129"/>
        <v>263.30430065618287</v>
      </c>
      <c r="E397" s="803"/>
      <c r="F397" s="789">
        <f>+'Phase I Pro Forma'!F394/1000000</f>
        <v>0</v>
      </c>
      <c r="G397" s="789">
        <f>+'Phase I Pro Forma'!G394/1000000</f>
        <v>0</v>
      </c>
      <c r="H397" s="789">
        <f>+'Phase I Pro Forma'!H394/1000000</f>
        <v>0</v>
      </c>
      <c r="I397" s="789">
        <f>+'Phase I Pro Forma'!I394/1000000</f>
        <v>0</v>
      </c>
      <c r="J397" s="789">
        <f>+'Phase I Pro Forma'!J394/1000000</f>
        <v>0</v>
      </c>
      <c r="K397" s="789">
        <f>+'Phase I Pro Forma'!K394/1000000</f>
        <v>0</v>
      </c>
      <c r="L397" s="789">
        <f>+'Phase I Pro Forma'!L394/1000000</f>
        <v>0</v>
      </c>
      <c r="M397" s="789">
        <f>+'Phase I Pro Forma'!M394/1000000</f>
        <v>0</v>
      </c>
      <c r="N397" s="789">
        <f>+'Phase I Pro Forma'!N394/1000000</f>
        <v>0</v>
      </c>
      <c r="O397" s="789">
        <f>+'Phase I Pro Forma'!O394/1000000</f>
        <v>0</v>
      </c>
      <c r="P397" s="789">
        <f ca="1">+'Phase I Pro Forma'!P394/1000000</f>
        <v>263.30430065618287</v>
      </c>
      <c r="Q397" s="789">
        <f>+'Phase I Pro Forma'!Q394/1000000</f>
        <v>0</v>
      </c>
      <c r="R397" s="789">
        <f>+'Phase I Pro Forma'!R394/1000000</f>
        <v>0</v>
      </c>
      <c r="S397" s="789">
        <f>+'Phase I Pro Forma'!S394/1000000</f>
        <v>0</v>
      </c>
      <c r="T397" s="789">
        <f>+'Phase I Pro Forma'!T394/1000000</f>
        <v>0</v>
      </c>
      <c r="U397" s="789">
        <f>+'Phase I Pro Forma'!U394/1000000</f>
        <v>0</v>
      </c>
      <c r="V397" s="789">
        <f>+'Phase I Pro Forma'!V394/1000000</f>
        <v>0</v>
      </c>
      <c r="W397" s="789">
        <f>+'Phase I Pro Forma'!W394/1000000</f>
        <v>0</v>
      </c>
      <c r="X397" s="789">
        <f>+'Phase I Pro Forma'!X394/1000000</f>
        <v>0</v>
      </c>
      <c r="Y397" s="789">
        <f>+'Phase I Pro Forma'!Y394/1000000</f>
        <v>0</v>
      </c>
      <c r="Z397" s="789">
        <f>+'Phase I Pro Forma'!Z394/1000000</f>
        <v>0</v>
      </c>
    </row>
    <row r="398" spans="2:26" s="793" customFormat="1" hidden="1" x14ac:dyDescent="0.2">
      <c r="B398" s="804" t="s">
        <v>402</v>
      </c>
      <c r="C398" s="804"/>
      <c r="D398" s="812">
        <f ca="1">+SUM(F398:Z398)</f>
        <v>2222.3536857889349</v>
      </c>
      <c r="E398" s="819"/>
      <c r="F398" s="819">
        <f ca="1">+SUM(F391:F397)</f>
        <v>51.505114619219256</v>
      </c>
      <c r="G398" s="819">
        <f t="shared" ref="G398:Z398" ca="1" si="130">+SUM(G391:G397)</f>
        <v>208.63988292258782</v>
      </c>
      <c r="H398" s="819">
        <f t="shared" ca="1" si="130"/>
        <v>275.79559301939645</v>
      </c>
      <c r="I398" s="819">
        <f t="shared" ca="1" si="130"/>
        <v>275.79559301939645</v>
      </c>
      <c r="J398" s="819">
        <f t="shared" ca="1" si="130"/>
        <v>264.16911416663243</v>
      </c>
      <c r="K398" s="819">
        <f t="shared" ca="1" si="130"/>
        <v>252.5426353138684</v>
      </c>
      <c r="L398" s="819">
        <f t="shared" ca="1" si="130"/>
        <v>240.91615646110444</v>
      </c>
      <c r="M398" s="819">
        <f t="shared" ca="1" si="130"/>
        <v>229.28967760834041</v>
      </c>
      <c r="N398" s="819">
        <f t="shared" ca="1" si="130"/>
        <v>217.66319875557642</v>
      </c>
      <c r="O398" s="819">
        <f t="shared" ca="1" si="130"/>
        <v>206.03671990281248</v>
      </c>
      <c r="P398" s="819">
        <f t="shared" ca="1" si="130"/>
        <v>0</v>
      </c>
      <c r="Q398" s="819">
        <f t="shared" ca="1" si="130"/>
        <v>0</v>
      </c>
      <c r="R398" s="819">
        <f t="shared" ca="1" si="130"/>
        <v>0</v>
      </c>
      <c r="S398" s="819">
        <f t="shared" ca="1" si="130"/>
        <v>0</v>
      </c>
      <c r="T398" s="819">
        <f t="shared" ca="1" si="130"/>
        <v>0</v>
      </c>
      <c r="U398" s="819">
        <f t="shared" ca="1" si="130"/>
        <v>0</v>
      </c>
      <c r="V398" s="819">
        <f t="shared" ca="1" si="130"/>
        <v>0</v>
      </c>
      <c r="W398" s="819">
        <f t="shared" ca="1" si="130"/>
        <v>0</v>
      </c>
      <c r="X398" s="819">
        <f t="shared" ca="1" si="130"/>
        <v>0</v>
      </c>
      <c r="Y398" s="819">
        <f t="shared" ca="1" si="130"/>
        <v>0</v>
      </c>
      <c r="Z398" s="819">
        <f t="shared" ca="1" si="130"/>
        <v>0</v>
      </c>
    </row>
    <row r="399" spans="2:26" hidden="1" x14ac:dyDescent="0.2"/>
    <row r="400" spans="2:26" x14ac:dyDescent="0.2">
      <c r="B400" s="36" t="s">
        <v>636</v>
      </c>
      <c r="C400" s="37"/>
      <c r="D400" s="37"/>
      <c r="E400" s="37"/>
      <c r="F400" s="135">
        <f>+F360</f>
        <v>44196</v>
      </c>
      <c r="G400" s="135">
        <f t="shared" ref="G400:Z400" si="131">+G360</f>
        <v>44561</v>
      </c>
      <c r="H400" s="135">
        <f t="shared" si="131"/>
        <v>44926</v>
      </c>
      <c r="I400" s="135">
        <f t="shared" si="131"/>
        <v>45291</v>
      </c>
      <c r="J400" s="135">
        <f t="shared" si="131"/>
        <v>45657</v>
      </c>
      <c r="K400" s="135">
        <f t="shared" si="131"/>
        <v>46022</v>
      </c>
      <c r="L400" s="135">
        <f t="shared" si="131"/>
        <v>46387</v>
      </c>
      <c r="M400" s="135">
        <f t="shared" si="131"/>
        <v>46752</v>
      </c>
      <c r="N400" s="135">
        <f t="shared" si="131"/>
        <v>47118</v>
      </c>
      <c r="O400" s="135">
        <f t="shared" si="131"/>
        <v>47483</v>
      </c>
      <c r="P400" s="135">
        <f t="shared" si="131"/>
        <v>47848</v>
      </c>
      <c r="Q400" s="135">
        <f t="shared" si="131"/>
        <v>48213</v>
      </c>
      <c r="R400" s="135">
        <f t="shared" si="131"/>
        <v>48579</v>
      </c>
      <c r="S400" s="135">
        <f t="shared" si="131"/>
        <v>48944</v>
      </c>
      <c r="T400" s="135">
        <f t="shared" si="131"/>
        <v>49309</v>
      </c>
      <c r="U400" s="135">
        <f t="shared" si="131"/>
        <v>49674</v>
      </c>
      <c r="V400" s="135">
        <f t="shared" si="131"/>
        <v>50040</v>
      </c>
      <c r="W400" s="135">
        <f t="shared" si="131"/>
        <v>50405</v>
      </c>
      <c r="X400" s="135">
        <f t="shared" si="131"/>
        <v>50770</v>
      </c>
      <c r="Y400" s="135">
        <f t="shared" si="131"/>
        <v>51135</v>
      </c>
      <c r="Z400" s="135">
        <f t="shared" si="131"/>
        <v>51501</v>
      </c>
    </row>
    <row r="401" spans="2:26" hidden="1" x14ac:dyDescent="0.2">
      <c r="B401" s="118"/>
    </row>
    <row r="402" spans="2:26" x14ac:dyDescent="0.2">
      <c r="B402" s="147" t="s">
        <v>646</v>
      </c>
      <c r="F402" s="784">
        <v>0</v>
      </c>
      <c r="G402" s="784">
        <f>+F402+1</f>
        <v>1</v>
      </c>
      <c r="H402" s="784">
        <f t="shared" ref="H402:Z402" si="132">+G402+1</f>
        <v>2</v>
      </c>
      <c r="I402" s="784">
        <f t="shared" si="132"/>
        <v>3</v>
      </c>
      <c r="J402" s="784">
        <f t="shared" si="132"/>
        <v>4</v>
      </c>
      <c r="K402" s="784">
        <f t="shared" si="132"/>
        <v>5</v>
      </c>
      <c r="L402" s="784">
        <f t="shared" si="132"/>
        <v>6</v>
      </c>
      <c r="M402" s="784">
        <f t="shared" si="132"/>
        <v>7</v>
      </c>
      <c r="N402" s="784">
        <f t="shared" si="132"/>
        <v>8</v>
      </c>
      <c r="O402" s="784">
        <f t="shared" si="132"/>
        <v>9</v>
      </c>
      <c r="P402" s="784">
        <f t="shared" si="132"/>
        <v>10</v>
      </c>
      <c r="Q402" s="784">
        <f t="shared" si="132"/>
        <v>11</v>
      </c>
      <c r="R402" s="784">
        <f t="shared" si="132"/>
        <v>12</v>
      </c>
      <c r="S402" s="784">
        <f t="shared" si="132"/>
        <v>13</v>
      </c>
      <c r="T402" s="784">
        <f t="shared" si="132"/>
        <v>14</v>
      </c>
      <c r="U402" s="784">
        <f t="shared" si="132"/>
        <v>15</v>
      </c>
      <c r="V402" s="784">
        <f t="shared" si="132"/>
        <v>16</v>
      </c>
      <c r="W402" s="784">
        <f t="shared" si="132"/>
        <v>17</v>
      </c>
      <c r="X402" s="784">
        <f t="shared" si="132"/>
        <v>18</v>
      </c>
      <c r="Y402" s="784">
        <f t="shared" si="132"/>
        <v>19</v>
      </c>
      <c r="Z402" s="784">
        <f t="shared" si="132"/>
        <v>20</v>
      </c>
    </row>
    <row r="403" spans="2:26" x14ac:dyDescent="0.2">
      <c r="B403" s="32" t="s">
        <v>398</v>
      </c>
      <c r="D403" s="47"/>
      <c r="E403" s="47"/>
      <c r="F403" s="48">
        <f ca="1">+'Phase I Pro Forma'!F400/1000000</f>
        <v>-51.505114619219256</v>
      </c>
      <c r="G403" s="48">
        <f ca="1">+'Phase I Pro Forma'!G400/1000000</f>
        <v>-12.660104707049952</v>
      </c>
      <c r="H403" s="48">
        <f ca="1">+'Phase I Pro Forma'!H400/1000000</f>
        <v>0</v>
      </c>
      <c r="I403" s="48">
        <f ca="1">+'Phase I Pro Forma'!I400/1000000</f>
        <v>0</v>
      </c>
      <c r="J403" s="48">
        <f ca="1">+'Phase I Pro Forma'!J400/1000000</f>
        <v>0</v>
      </c>
      <c r="K403" s="48">
        <f ca="1">+'Phase I Pro Forma'!K400/1000000</f>
        <v>0</v>
      </c>
      <c r="L403" s="48">
        <f ca="1">+'Phase I Pro Forma'!L400/1000000</f>
        <v>0</v>
      </c>
      <c r="M403" s="48">
        <f ca="1">+'Phase I Pro Forma'!M400/1000000</f>
        <v>0</v>
      </c>
      <c r="N403" s="48">
        <f ca="1">+'Phase I Pro Forma'!N400/1000000</f>
        <v>0</v>
      </c>
      <c r="O403" s="48">
        <f ca="1">+'Phase I Pro Forma'!O400/1000000</f>
        <v>0</v>
      </c>
      <c r="P403" s="48">
        <f ca="1">+'Phase I Pro Forma'!P400/1000000</f>
        <v>0</v>
      </c>
      <c r="Q403" s="48">
        <f ca="1">+'Phase I Pro Forma'!Q400/1000000</f>
        <v>0</v>
      </c>
      <c r="R403" s="48">
        <f ca="1">+'Phase I Pro Forma'!R400/1000000</f>
        <v>0</v>
      </c>
      <c r="S403" s="48">
        <f ca="1">+'Phase I Pro Forma'!S400/1000000</f>
        <v>0</v>
      </c>
      <c r="T403" s="48">
        <f ca="1">+'Phase I Pro Forma'!T400/1000000</f>
        <v>0</v>
      </c>
      <c r="U403" s="48">
        <f ca="1">+'Phase I Pro Forma'!U400/1000000</f>
        <v>0</v>
      </c>
      <c r="V403" s="48">
        <f ca="1">+'Phase I Pro Forma'!V400/1000000</f>
        <v>0</v>
      </c>
      <c r="W403" s="48">
        <f ca="1">+'Phase I Pro Forma'!W400/1000000</f>
        <v>0</v>
      </c>
      <c r="X403" s="48">
        <f ca="1">+'Phase I Pro Forma'!X400/1000000</f>
        <v>0</v>
      </c>
      <c r="Y403" s="48">
        <f ca="1">+'Phase I Pro Forma'!Y400/1000000</f>
        <v>0</v>
      </c>
      <c r="Z403" s="48">
        <f ca="1">+'Phase I Pro Forma'!Z400/1000000</f>
        <v>0</v>
      </c>
    </row>
    <row r="404" spans="2:26" x14ac:dyDescent="0.2">
      <c r="B404" s="32" t="s">
        <v>416</v>
      </c>
      <c r="D404" s="47"/>
      <c r="E404" s="47"/>
      <c r="F404" s="772">
        <f>+'Phase I Pro Forma'!F401/1000000</f>
        <v>0</v>
      </c>
      <c r="G404" s="772">
        <f>+'Phase I Pro Forma'!G401/1000000</f>
        <v>0</v>
      </c>
      <c r="H404" s="772">
        <f>+'Phase I Pro Forma'!H401/1000000</f>
        <v>0</v>
      </c>
      <c r="I404" s="772">
        <f>+'Phase I Pro Forma'!I401/1000000</f>
        <v>0</v>
      </c>
      <c r="J404" s="772">
        <f>+'Phase I Pro Forma'!J401/1000000</f>
        <v>0</v>
      </c>
      <c r="K404" s="772">
        <f>+'Phase I Pro Forma'!K401/1000000</f>
        <v>0</v>
      </c>
      <c r="L404" s="772">
        <f>+'Phase I Pro Forma'!L401/1000000</f>
        <v>0</v>
      </c>
      <c r="M404" s="772">
        <f>+'Phase I Pro Forma'!M401/1000000</f>
        <v>0</v>
      </c>
      <c r="N404" s="772">
        <f>+'Phase I Pro Forma'!N401/1000000</f>
        <v>0</v>
      </c>
      <c r="O404" s="772">
        <f>+'Phase I Pro Forma'!O401/1000000</f>
        <v>0</v>
      </c>
      <c r="P404" s="772">
        <f>+'Phase I Pro Forma'!P401/1000000</f>
        <v>0</v>
      </c>
      <c r="Q404" s="772">
        <f>+'Phase I Pro Forma'!Q401/1000000</f>
        <v>0</v>
      </c>
      <c r="R404" s="772">
        <f>+'Phase I Pro Forma'!R401/1000000</f>
        <v>0</v>
      </c>
      <c r="S404" s="772">
        <f>+'Phase I Pro Forma'!S401/1000000</f>
        <v>0</v>
      </c>
      <c r="T404" s="772">
        <f>+'Phase I Pro Forma'!T401/1000000</f>
        <v>0</v>
      </c>
      <c r="U404" s="772">
        <f>+'Phase I Pro Forma'!U401/1000000</f>
        <v>0</v>
      </c>
      <c r="V404" s="772">
        <f>+'Phase I Pro Forma'!V401/1000000</f>
        <v>0</v>
      </c>
      <c r="W404" s="772">
        <f>+'Phase I Pro Forma'!W401/1000000</f>
        <v>0</v>
      </c>
      <c r="X404" s="772">
        <f>+'Phase I Pro Forma'!X401/1000000</f>
        <v>0</v>
      </c>
      <c r="Y404" s="772">
        <f>+'Phase I Pro Forma'!Y401/1000000</f>
        <v>0</v>
      </c>
      <c r="Z404" s="772">
        <f>+'Phase I Pro Forma'!Z401/1000000</f>
        <v>0</v>
      </c>
    </row>
    <row r="405" spans="2:26" x14ac:dyDescent="0.2">
      <c r="B405" s="32" t="s">
        <v>417</v>
      </c>
      <c r="D405" s="47"/>
      <c r="E405" s="47"/>
      <c r="F405" s="772">
        <f>+'Phase I Pro Forma'!F402/1000000</f>
        <v>0</v>
      </c>
      <c r="G405" s="772">
        <f>+'Phase I Pro Forma'!G402/1000000</f>
        <v>0</v>
      </c>
      <c r="H405" s="772">
        <f>+'Phase I Pro Forma'!H402/1000000</f>
        <v>0</v>
      </c>
      <c r="I405" s="772">
        <f>+'Phase I Pro Forma'!I402/1000000</f>
        <v>0</v>
      </c>
      <c r="J405" s="772">
        <f>+'Phase I Pro Forma'!J402/1000000</f>
        <v>0</v>
      </c>
      <c r="K405" s="772">
        <f>+'Phase I Pro Forma'!K402/1000000</f>
        <v>0</v>
      </c>
      <c r="L405" s="772">
        <f>+'Phase I Pro Forma'!L402/1000000</f>
        <v>0</v>
      </c>
      <c r="M405" s="772">
        <f>+'Phase I Pro Forma'!M402/1000000</f>
        <v>0</v>
      </c>
      <c r="N405" s="772">
        <f>+'Phase I Pro Forma'!N402/1000000</f>
        <v>0</v>
      </c>
      <c r="O405" s="772">
        <f>+'Phase I Pro Forma'!O402/1000000</f>
        <v>0</v>
      </c>
      <c r="P405" s="772">
        <f>+'Phase I Pro Forma'!P402/1000000</f>
        <v>0</v>
      </c>
      <c r="Q405" s="772">
        <f>+'Phase I Pro Forma'!Q402/1000000</f>
        <v>0</v>
      </c>
      <c r="R405" s="772">
        <f>+'Phase I Pro Forma'!R402/1000000</f>
        <v>0</v>
      </c>
      <c r="S405" s="772">
        <f>+'Phase I Pro Forma'!S402/1000000</f>
        <v>0</v>
      </c>
      <c r="T405" s="772">
        <f>+'Phase I Pro Forma'!T402/1000000</f>
        <v>0</v>
      </c>
      <c r="U405" s="772">
        <f>+'Phase I Pro Forma'!U402/1000000</f>
        <v>0</v>
      </c>
      <c r="V405" s="772">
        <f>+'Phase I Pro Forma'!V402/1000000</f>
        <v>0</v>
      </c>
      <c r="W405" s="772">
        <f>+'Phase I Pro Forma'!W402/1000000</f>
        <v>0</v>
      </c>
      <c r="X405" s="772">
        <f>+'Phase I Pro Forma'!X402/1000000</f>
        <v>0</v>
      </c>
      <c r="Y405" s="772">
        <f>+'Phase I Pro Forma'!Y402/1000000</f>
        <v>0</v>
      </c>
      <c r="Z405" s="772">
        <f>+'Phase I Pro Forma'!Z402/1000000</f>
        <v>0</v>
      </c>
    </row>
    <row r="406" spans="2:26" x14ac:dyDescent="0.2">
      <c r="B406" s="32" t="s">
        <v>641</v>
      </c>
      <c r="D406" s="47"/>
      <c r="E406" s="47"/>
      <c r="F406" s="772">
        <f ca="1">+'Phase I Pro Forma'!F403/1000000</f>
        <v>0</v>
      </c>
      <c r="G406" s="772">
        <f ca="1">+'Phase I Pro Forma'!G403/1000000</f>
        <v>0</v>
      </c>
      <c r="H406" s="772">
        <f ca="1">+'Phase I Pro Forma'!H403/1000000</f>
        <v>0</v>
      </c>
      <c r="I406" s="772">
        <f ca="1">+'Phase I Pro Forma'!I403/1000000</f>
        <v>1.1331405764158651</v>
      </c>
      <c r="J406" s="772">
        <f ca="1">+'Phase I Pro Forma'!J403/1000000</f>
        <v>0.78091949296806562</v>
      </c>
      <c r="K406" s="772">
        <f ca="1">+'Phase I Pro Forma'!K403/1000000</f>
        <v>0.61514640245800956</v>
      </c>
      <c r="L406" s="772">
        <f ca="1">+'Phase I Pro Forma'!L403/1000000</f>
        <v>0.20279714142175032</v>
      </c>
      <c r="M406" s="772">
        <f ca="1">+'Phase I Pro Forma'!M403/1000000</f>
        <v>9.3492441822308481E-2</v>
      </c>
      <c r="N406" s="772">
        <f ca="1">+'Phase I Pro Forma'!N403/1000000</f>
        <v>-4.3225174702068866E-2</v>
      </c>
      <c r="O406" s="772">
        <f ca="1">+'Phase I Pro Forma'!O403/1000000</f>
        <v>-0.18515444773200171</v>
      </c>
      <c r="P406" s="772">
        <f ca="1">+'Phase I Pro Forma'!P403/1000000</f>
        <v>-0.30965829195573508</v>
      </c>
      <c r="Q406" s="772">
        <f>+'Phase I Pro Forma'!Q403/1000000</f>
        <v>0</v>
      </c>
      <c r="R406" s="772">
        <f>+'Phase I Pro Forma'!R403/1000000</f>
        <v>0</v>
      </c>
      <c r="S406" s="772">
        <f>+'Phase I Pro Forma'!S403/1000000</f>
        <v>0</v>
      </c>
      <c r="T406" s="772">
        <f>+'Phase I Pro Forma'!T403/1000000</f>
        <v>0</v>
      </c>
      <c r="U406" s="772">
        <f>+'Phase I Pro Forma'!U403/1000000</f>
        <v>0</v>
      </c>
      <c r="V406" s="772">
        <f>+'Phase I Pro Forma'!V403/1000000</f>
        <v>0</v>
      </c>
      <c r="W406" s="772">
        <f>+'Phase I Pro Forma'!W403/1000000</f>
        <v>0</v>
      </c>
      <c r="X406" s="772">
        <f>+'Phase I Pro Forma'!X403/1000000</f>
        <v>0</v>
      </c>
      <c r="Y406" s="772">
        <f>+'Phase I Pro Forma'!Y403/1000000</f>
        <v>0</v>
      </c>
      <c r="Z406" s="772">
        <f>+'Phase I Pro Forma'!Z403/1000000</f>
        <v>0</v>
      </c>
    </row>
    <row r="407" spans="2:26" x14ac:dyDescent="0.2">
      <c r="B407" s="32" t="s">
        <v>643</v>
      </c>
      <c r="D407" s="47"/>
      <c r="E407" s="47"/>
      <c r="F407" s="772">
        <f ca="1">+'Phase I Pro Forma'!F404/1000000</f>
        <v>0</v>
      </c>
      <c r="G407" s="772">
        <f ca="1">+'Phase I Pro Forma'!G404/1000000</f>
        <v>0</v>
      </c>
      <c r="H407" s="772">
        <f ca="1">+'Phase I Pro Forma'!H404/1000000</f>
        <v>0</v>
      </c>
      <c r="I407" s="772">
        <f ca="1">+'Phase I Pro Forma'!I404/1000000</f>
        <v>-10.07958087596829</v>
      </c>
      <c r="J407" s="772">
        <f ca="1">+'Phase I Pro Forma'!J404/1000000</f>
        <v>5.2781322857078523</v>
      </c>
      <c r="K407" s="772">
        <f ca="1">+'Phase I Pro Forma'!K404/1000000</f>
        <v>5.8965986043395864</v>
      </c>
      <c r="L407" s="772">
        <f ca="1">+'Phase I Pro Forma'!L404/1000000</f>
        <v>7.6781267557921398</v>
      </c>
      <c r="M407" s="772">
        <f ca="1">+'Phase I Pro Forma'!M404/1000000</f>
        <v>8.0047529827835167</v>
      </c>
      <c r="N407" s="772">
        <f ca="1">+'Phase I Pro Forma'!N404/1000000</f>
        <v>8.4493152071530115</v>
      </c>
      <c r="O407" s="772">
        <f ca="1">+'Phase I Pro Forma'!O404/1000000</f>
        <v>8.9052740305420972</v>
      </c>
      <c r="P407" s="772">
        <f ca="1">+'Phase I Pro Forma'!P404/1000000</f>
        <v>9.2639614557698309</v>
      </c>
      <c r="Q407" s="772">
        <f>+'Phase I Pro Forma'!Q404/1000000</f>
        <v>0</v>
      </c>
      <c r="R407" s="772">
        <f>+'Phase I Pro Forma'!R404/1000000</f>
        <v>0</v>
      </c>
      <c r="S407" s="772">
        <f>+'Phase I Pro Forma'!S404/1000000</f>
        <v>0</v>
      </c>
      <c r="T407" s="772">
        <f>+'Phase I Pro Forma'!T404/1000000</f>
        <v>0</v>
      </c>
      <c r="U407" s="772">
        <f>+'Phase I Pro Forma'!U404/1000000</f>
        <v>0</v>
      </c>
      <c r="V407" s="772">
        <f>+'Phase I Pro Forma'!V404/1000000</f>
        <v>0</v>
      </c>
      <c r="W407" s="772">
        <f>+'Phase I Pro Forma'!W404/1000000</f>
        <v>0</v>
      </c>
      <c r="X407" s="772">
        <f>+'Phase I Pro Forma'!X404/1000000</f>
        <v>0</v>
      </c>
      <c r="Y407" s="772">
        <f>+'Phase I Pro Forma'!Y404/1000000</f>
        <v>0</v>
      </c>
      <c r="Z407" s="772">
        <f>+'Phase I Pro Forma'!Z404/1000000</f>
        <v>0</v>
      </c>
    </row>
    <row r="408" spans="2:26" x14ac:dyDescent="0.2">
      <c r="B408" s="32" t="s">
        <v>642</v>
      </c>
      <c r="D408" s="47"/>
      <c r="E408" s="47"/>
      <c r="F408" s="772">
        <f>+'Phase I Pro Forma'!F405/1000000</f>
        <v>0</v>
      </c>
      <c r="G408" s="772">
        <f>+'Phase I Pro Forma'!G405/1000000</f>
        <v>0</v>
      </c>
      <c r="H408" s="772">
        <f>+'Phase I Pro Forma'!H405/1000000</f>
        <v>0</v>
      </c>
      <c r="I408" s="772">
        <f ca="1">+'Phase I Pro Forma'!I405/1000000</f>
        <v>34.97156891737437</v>
      </c>
      <c r="J408" s="772">
        <f>+'Phase I Pro Forma'!J405/1000000</f>
        <v>0</v>
      </c>
      <c r="K408" s="772">
        <f>+'Phase I Pro Forma'!K405/1000000</f>
        <v>0</v>
      </c>
      <c r="L408" s="772">
        <f>+'Phase I Pro Forma'!L405/1000000</f>
        <v>0</v>
      </c>
      <c r="M408" s="772">
        <f>+'Phase I Pro Forma'!M405/1000000</f>
        <v>0</v>
      </c>
      <c r="N408" s="772">
        <f>+'Phase I Pro Forma'!N405/1000000</f>
        <v>0</v>
      </c>
      <c r="O408" s="772">
        <f>+'Phase I Pro Forma'!O405/1000000</f>
        <v>0</v>
      </c>
      <c r="P408" s="772">
        <f ca="1">+'Phase I Pro Forma'!P405/1000000</f>
        <v>207.8284720639007</v>
      </c>
      <c r="Q408" s="772">
        <f>+'Phase I Pro Forma'!Q405/1000000</f>
        <v>0</v>
      </c>
      <c r="R408" s="772">
        <f>+'Phase I Pro Forma'!R405/1000000</f>
        <v>0</v>
      </c>
      <c r="S408" s="772">
        <f>+'Phase I Pro Forma'!S405/1000000</f>
        <v>0</v>
      </c>
      <c r="T408" s="772">
        <f>+'Phase I Pro Forma'!T405/1000000</f>
        <v>0</v>
      </c>
      <c r="U408" s="772">
        <f>+'Phase I Pro Forma'!U405/1000000</f>
        <v>0</v>
      </c>
      <c r="V408" s="772">
        <f>+'Phase I Pro Forma'!V405/1000000</f>
        <v>0</v>
      </c>
      <c r="W408" s="772">
        <f>+'Phase I Pro Forma'!W405/1000000</f>
        <v>0</v>
      </c>
      <c r="X408" s="772">
        <f>+'Phase I Pro Forma'!X405/1000000</f>
        <v>0</v>
      </c>
      <c r="Y408" s="772">
        <f>+'Phase I Pro Forma'!Y405/1000000</f>
        <v>0</v>
      </c>
      <c r="Z408" s="772">
        <f>+'Phase I Pro Forma'!Z405/1000000</f>
        <v>0</v>
      </c>
    </row>
    <row r="409" spans="2:26" x14ac:dyDescent="0.2">
      <c r="B409" s="32" t="s">
        <v>415</v>
      </c>
      <c r="D409" s="47"/>
      <c r="E409" s="47"/>
      <c r="F409" s="772">
        <f>+'Phase I Pro Forma'!F406/1000000</f>
        <v>0</v>
      </c>
      <c r="G409" s="772">
        <f>+'Phase I Pro Forma'!G406/1000000</f>
        <v>0</v>
      </c>
      <c r="H409" s="772">
        <f>+'Phase I Pro Forma'!H406/1000000</f>
        <v>0</v>
      </c>
      <c r="I409" s="772">
        <f>+'Phase I Pro Forma'!I406/1000000</f>
        <v>0</v>
      </c>
      <c r="J409" s="772">
        <f>+'Phase I Pro Forma'!J406/1000000</f>
        <v>0</v>
      </c>
      <c r="K409" s="772">
        <f>+'Phase I Pro Forma'!K406/1000000</f>
        <v>0</v>
      </c>
      <c r="L409" s="772">
        <f>+'Phase I Pro Forma'!L406/1000000</f>
        <v>0</v>
      </c>
      <c r="M409" s="772">
        <f>+'Phase I Pro Forma'!M406/1000000</f>
        <v>0</v>
      </c>
      <c r="N409" s="772">
        <f>+'Phase I Pro Forma'!N406/1000000</f>
        <v>0</v>
      </c>
      <c r="O409" s="772">
        <f>+'Phase I Pro Forma'!O406/1000000</f>
        <v>0</v>
      </c>
      <c r="P409" s="772">
        <f ca="1">+'Phase I Pro Forma'!P406/1000000</f>
        <v>-48.914052581932566</v>
      </c>
      <c r="Q409" s="772">
        <f>+'Phase I Pro Forma'!Q406/1000000</f>
        <v>0</v>
      </c>
      <c r="R409" s="772">
        <f>+'Phase I Pro Forma'!R406/1000000</f>
        <v>0</v>
      </c>
      <c r="S409" s="772">
        <f>+'Phase I Pro Forma'!S406/1000000</f>
        <v>0</v>
      </c>
      <c r="T409" s="772">
        <f>+'Phase I Pro Forma'!T406/1000000</f>
        <v>0</v>
      </c>
      <c r="U409" s="772">
        <f>+'Phase I Pro Forma'!U406/1000000</f>
        <v>0</v>
      </c>
      <c r="V409" s="772">
        <f>+'Phase I Pro Forma'!V406/1000000</f>
        <v>0</v>
      </c>
      <c r="W409" s="772">
        <f>+'Phase I Pro Forma'!W406/1000000</f>
        <v>0</v>
      </c>
      <c r="X409" s="772">
        <f>+'Phase I Pro Forma'!X406/1000000</f>
        <v>0</v>
      </c>
      <c r="Y409" s="772">
        <f>+'Phase I Pro Forma'!Y406/1000000</f>
        <v>0</v>
      </c>
      <c r="Z409" s="772">
        <f>+'Phase I Pro Forma'!Z406/1000000</f>
        <v>0</v>
      </c>
    </row>
    <row r="410" spans="2:26" x14ac:dyDescent="0.2">
      <c r="B410" s="137" t="s">
        <v>407</v>
      </c>
      <c r="C410" s="137"/>
      <c r="D410" s="138">
        <f t="shared" ref="D410" ca="1" si="133">+SUM(F410:Z410)</f>
        <v>175.40480765988926</v>
      </c>
      <c r="E410" s="138"/>
      <c r="F410" s="774">
        <f t="shared" ref="F410:Z410" ca="1" si="134">+SUM(F403:F409)</f>
        <v>-51.505114619219256</v>
      </c>
      <c r="G410" s="774">
        <f t="shared" ca="1" si="134"/>
        <v>-12.660104707049952</v>
      </c>
      <c r="H410" s="774">
        <f t="shared" ca="1" si="134"/>
        <v>0</v>
      </c>
      <c r="I410" s="774">
        <f t="shared" ca="1" si="134"/>
        <v>26.025128617821945</v>
      </c>
      <c r="J410" s="774">
        <f t="shared" ca="1" si="134"/>
        <v>6.0590517786759177</v>
      </c>
      <c r="K410" s="774">
        <f t="shared" ca="1" si="134"/>
        <v>6.5117450067975957</v>
      </c>
      <c r="L410" s="774">
        <f t="shared" ca="1" si="134"/>
        <v>7.88092389721389</v>
      </c>
      <c r="M410" s="774">
        <f t="shared" ca="1" si="134"/>
        <v>8.0982454246058246</v>
      </c>
      <c r="N410" s="774">
        <f t="shared" ca="1" si="134"/>
        <v>8.4060900324509422</v>
      </c>
      <c r="O410" s="774">
        <f t="shared" ca="1" si="134"/>
        <v>8.7201195828100957</v>
      </c>
      <c r="P410" s="774">
        <f t="shared" ca="1" si="134"/>
        <v>167.86872264578224</v>
      </c>
      <c r="Q410" s="774">
        <f t="shared" ca="1" si="134"/>
        <v>0</v>
      </c>
      <c r="R410" s="774">
        <f t="shared" ca="1" si="134"/>
        <v>0</v>
      </c>
      <c r="S410" s="774">
        <f t="shared" ca="1" si="134"/>
        <v>0</v>
      </c>
      <c r="T410" s="774">
        <f t="shared" ca="1" si="134"/>
        <v>0</v>
      </c>
      <c r="U410" s="774">
        <f t="shared" ca="1" si="134"/>
        <v>0</v>
      </c>
      <c r="V410" s="774">
        <f t="shared" ca="1" si="134"/>
        <v>0</v>
      </c>
      <c r="W410" s="774">
        <f t="shared" ca="1" si="134"/>
        <v>0</v>
      </c>
      <c r="X410" s="774">
        <f t="shared" ca="1" si="134"/>
        <v>0</v>
      </c>
      <c r="Y410" s="774">
        <f t="shared" ca="1" si="134"/>
        <v>0</v>
      </c>
      <c r="Z410" s="774">
        <f t="shared" ca="1" si="134"/>
        <v>0</v>
      </c>
    </row>
    <row r="411" spans="2:26" ht="5" customHeight="1" x14ac:dyDescent="0.2">
      <c r="B411" s="118"/>
    </row>
    <row r="412" spans="2:26" x14ac:dyDescent="0.2">
      <c r="B412" s="223" t="s">
        <v>644</v>
      </c>
      <c r="C412" s="223"/>
      <c r="F412" s="224">
        <f ca="1">+IRR(F410:Z410)</f>
        <v>0.18345784446078728</v>
      </c>
      <c r="G412" s="33"/>
    </row>
    <row r="413" spans="2:26" ht="5" customHeight="1" x14ac:dyDescent="0.2">
      <c r="B413" s="118"/>
      <c r="D413" s="107"/>
    </row>
    <row r="414" spans="2:26" x14ac:dyDescent="0.2">
      <c r="B414" s="147" t="s">
        <v>645</v>
      </c>
      <c r="F414" s="784">
        <f>+F402</f>
        <v>0</v>
      </c>
      <c r="G414" s="784">
        <f t="shared" ref="G414:Z414" si="135">+G402</f>
        <v>1</v>
      </c>
      <c r="H414" s="784">
        <f t="shared" si="135"/>
        <v>2</v>
      </c>
      <c r="I414" s="784">
        <f t="shared" si="135"/>
        <v>3</v>
      </c>
      <c r="J414" s="784">
        <f t="shared" si="135"/>
        <v>4</v>
      </c>
      <c r="K414" s="784">
        <f t="shared" si="135"/>
        <v>5</v>
      </c>
      <c r="L414" s="784">
        <f t="shared" si="135"/>
        <v>6</v>
      </c>
      <c r="M414" s="784">
        <f t="shared" si="135"/>
        <v>7</v>
      </c>
      <c r="N414" s="784">
        <f t="shared" si="135"/>
        <v>8</v>
      </c>
      <c r="O414" s="784">
        <f t="shared" si="135"/>
        <v>9</v>
      </c>
      <c r="P414" s="784">
        <f t="shared" si="135"/>
        <v>10</v>
      </c>
      <c r="Q414" s="784">
        <f t="shared" si="135"/>
        <v>11</v>
      </c>
      <c r="R414" s="784">
        <f t="shared" si="135"/>
        <v>12</v>
      </c>
      <c r="S414" s="784">
        <f t="shared" si="135"/>
        <v>13</v>
      </c>
      <c r="T414" s="784">
        <f t="shared" si="135"/>
        <v>14</v>
      </c>
      <c r="U414" s="784">
        <f t="shared" si="135"/>
        <v>15</v>
      </c>
      <c r="V414" s="784">
        <f t="shared" si="135"/>
        <v>16</v>
      </c>
      <c r="W414" s="784">
        <f t="shared" si="135"/>
        <v>17</v>
      </c>
      <c r="X414" s="784">
        <f t="shared" si="135"/>
        <v>18</v>
      </c>
      <c r="Y414" s="784">
        <f t="shared" si="135"/>
        <v>19</v>
      </c>
      <c r="Z414" s="784">
        <f t="shared" si="135"/>
        <v>20</v>
      </c>
    </row>
    <row r="415" spans="2:26" x14ac:dyDescent="0.2">
      <c r="B415" s="32" t="s">
        <v>398</v>
      </c>
      <c r="D415" s="47"/>
      <c r="E415" s="47"/>
      <c r="F415" s="48">
        <f ca="1">+'Phase I Pro Forma'!F412/1000000</f>
        <v>-51.505114619219256</v>
      </c>
      <c r="G415" s="48">
        <f ca="1">+'Phase I Pro Forma'!G412/1000000</f>
        <v>-12.660104707049952</v>
      </c>
      <c r="H415" s="48">
        <f ca="1">+'Phase I Pro Forma'!H412/1000000</f>
        <v>0</v>
      </c>
      <c r="I415" s="48">
        <f ca="1">+'Phase I Pro Forma'!I412/1000000</f>
        <v>0</v>
      </c>
      <c r="J415" s="48">
        <f ca="1">+'Phase I Pro Forma'!J412/1000000</f>
        <v>0</v>
      </c>
      <c r="K415" s="48">
        <f ca="1">+'Phase I Pro Forma'!K412/1000000</f>
        <v>0</v>
      </c>
      <c r="L415" s="48">
        <f ca="1">+'Phase I Pro Forma'!L412/1000000</f>
        <v>0</v>
      </c>
      <c r="M415" s="48">
        <f ca="1">+'Phase I Pro Forma'!M412/1000000</f>
        <v>0</v>
      </c>
      <c r="N415" s="48">
        <f ca="1">+'Phase I Pro Forma'!N412/1000000</f>
        <v>0</v>
      </c>
      <c r="O415" s="48">
        <f ca="1">+'Phase I Pro Forma'!O412/1000000</f>
        <v>0</v>
      </c>
      <c r="P415" s="48">
        <f ca="1">+'Phase I Pro Forma'!P412/1000000</f>
        <v>0</v>
      </c>
      <c r="Q415" s="48">
        <f ca="1">+'Phase I Pro Forma'!Q412/1000000</f>
        <v>0</v>
      </c>
      <c r="R415" s="48">
        <f ca="1">+'Phase I Pro Forma'!R412/1000000</f>
        <v>0</v>
      </c>
      <c r="S415" s="48">
        <f ca="1">+'Phase I Pro Forma'!S412/1000000</f>
        <v>0</v>
      </c>
      <c r="T415" s="48">
        <f ca="1">+'Phase I Pro Forma'!T412/1000000</f>
        <v>0</v>
      </c>
      <c r="U415" s="48">
        <f ca="1">+'Phase I Pro Forma'!U412/1000000</f>
        <v>0</v>
      </c>
      <c r="V415" s="48">
        <f ca="1">+'Phase I Pro Forma'!V412/1000000</f>
        <v>0</v>
      </c>
      <c r="W415" s="48">
        <f ca="1">+'Phase I Pro Forma'!W412/1000000</f>
        <v>0</v>
      </c>
      <c r="X415" s="48">
        <f ca="1">+'Phase I Pro Forma'!X412/1000000</f>
        <v>0</v>
      </c>
      <c r="Y415" s="48">
        <f ca="1">+'Phase I Pro Forma'!Y412/1000000</f>
        <v>0</v>
      </c>
      <c r="Z415" s="48">
        <f ca="1">+'Phase I Pro Forma'!Z412/1000000</f>
        <v>0</v>
      </c>
    </row>
    <row r="416" spans="2:26" x14ac:dyDescent="0.2">
      <c r="B416" s="32" t="s">
        <v>416</v>
      </c>
      <c r="D416" s="47"/>
      <c r="E416" s="47"/>
      <c r="F416" s="772">
        <f ca="1">+'Phase I Pro Forma'!F413/1000000</f>
        <v>10.816074070036045</v>
      </c>
      <c r="G416" s="772">
        <f ca="1">+'Phase I Pro Forma'!G413/1000000</f>
        <v>2.6586219884804896</v>
      </c>
      <c r="H416" s="772">
        <f ca="1">+'Phase I Pro Forma'!H413/1000000</f>
        <v>0</v>
      </c>
      <c r="I416" s="772">
        <f ca="1">+'Phase I Pro Forma'!I413/1000000</f>
        <v>0</v>
      </c>
      <c r="J416" s="772">
        <f ca="1">+'Phase I Pro Forma'!J413/1000000</f>
        <v>0</v>
      </c>
      <c r="K416" s="772">
        <f ca="1">+'Phase I Pro Forma'!K413/1000000</f>
        <v>0</v>
      </c>
      <c r="L416" s="772">
        <f ca="1">+'Phase I Pro Forma'!L413/1000000</f>
        <v>0</v>
      </c>
      <c r="M416" s="772">
        <f ca="1">+'Phase I Pro Forma'!M413/1000000</f>
        <v>0</v>
      </c>
      <c r="N416" s="772">
        <f ca="1">+'Phase I Pro Forma'!N413/1000000</f>
        <v>0</v>
      </c>
      <c r="O416" s="772">
        <f ca="1">+'Phase I Pro Forma'!O413/1000000</f>
        <v>0</v>
      </c>
      <c r="P416" s="772">
        <f ca="1">+'Phase I Pro Forma'!P413/1000000</f>
        <v>0</v>
      </c>
      <c r="Q416" s="772">
        <f ca="1">+'Phase I Pro Forma'!Q413/1000000</f>
        <v>0</v>
      </c>
      <c r="R416" s="772">
        <f ca="1">+'Phase I Pro Forma'!R413/1000000</f>
        <v>0</v>
      </c>
      <c r="S416" s="772">
        <f ca="1">+'Phase I Pro Forma'!S413/1000000</f>
        <v>0</v>
      </c>
      <c r="T416" s="772">
        <f ca="1">+'Phase I Pro Forma'!T413/1000000</f>
        <v>0</v>
      </c>
      <c r="U416" s="772">
        <f ca="1">+'Phase I Pro Forma'!U413/1000000</f>
        <v>0</v>
      </c>
      <c r="V416" s="772">
        <f ca="1">+'Phase I Pro Forma'!V413/1000000</f>
        <v>0</v>
      </c>
      <c r="W416" s="772">
        <f ca="1">+'Phase I Pro Forma'!W413/1000000</f>
        <v>0</v>
      </c>
      <c r="X416" s="772">
        <f ca="1">+'Phase I Pro Forma'!X413/1000000</f>
        <v>0</v>
      </c>
      <c r="Y416" s="772">
        <f ca="1">+'Phase I Pro Forma'!Y413/1000000</f>
        <v>0</v>
      </c>
      <c r="Z416" s="772">
        <f ca="1">+'Phase I Pro Forma'!Z413/1000000</f>
        <v>0</v>
      </c>
    </row>
    <row r="417" spans="2:26" x14ac:dyDescent="0.2">
      <c r="B417" s="32" t="s">
        <v>417</v>
      </c>
      <c r="D417" s="47"/>
      <c r="E417" s="47"/>
      <c r="F417" s="772">
        <f ca="1">+'Phase I Pro Forma'!F414/1000000</f>
        <v>0</v>
      </c>
      <c r="G417" s="772">
        <f ca="1">+'Phase I Pro Forma'!G414/1000000</f>
        <v>0</v>
      </c>
      <c r="H417" s="772">
        <f ca="1">+'Phase I Pro Forma'!H414/1000000</f>
        <v>0</v>
      </c>
      <c r="I417" s="772">
        <f ca="1">+'Phase I Pro Forma'!I414/1000000</f>
        <v>0</v>
      </c>
      <c r="J417" s="772">
        <f ca="1">+'Phase I Pro Forma'!J414/1000000</f>
        <v>0</v>
      </c>
      <c r="K417" s="772">
        <f ca="1">+'Phase I Pro Forma'!K414/1000000</f>
        <v>0</v>
      </c>
      <c r="L417" s="772">
        <f ca="1">+'Phase I Pro Forma'!L414/1000000</f>
        <v>-13.474696058516534</v>
      </c>
      <c r="M417" s="772">
        <f ca="1">+'Phase I Pro Forma'!M414/1000000</f>
        <v>0</v>
      </c>
      <c r="N417" s="772">
        <f ca="1">+'Phase I Pro Forma'!N414/1000000</f>
        <v>0</v>
      </c>
      <c r="O417" s="772">
        <f ca="1">+'Phase I Pro Forma'!O414/1000000</f>
        <v>0</v>
      </c>
      <c r="P417" s="772">
        <f ca="1">+'Phase I Pro Forma'!P414/1000000</f>
        <v>0</v>
      </c>
      <c r="Q417" s="772">
        <f ca="1">+'Phase I Pro Forma'!Q414/1000000</f>
        <v>0</v>
      </c>
      <c r="R417" s="772">
        <f ca="1">+'Phase I Pro Forma'!R414/1000000</f>
        <v>0</v>
      </c>
      <c r="S417" s="772">
        <f ca="1">+'Phase I Pro Forma'!S414/1000000</f>
        <v>0</v>
      </c>
      <c r="T417" s="772">
        <f ca="1">+'Phase I Pro Forma'!T414/1000000</f>
        <v>0</v>
      </c>
      <c r="U417" s="772">
        <f ca="1">+'Phase I Pro Forma'!U414/1000000</f>
        <v>0</v>
      </c>
      <c r="V417" s="772">
        <f ca="1">+'Phase I Pro Forma'!V414/1000000</f>
        <v>0</v>
      </c>
      <c r="W417" s="772">
        <f ca="1">+'Phase I Pro Forma'!W414/1000000</f>
        <v>0</v>
      </c>
      <c r="X417" s="772">
        <f ca="1">+'Phase I Pro Forma'!X414/1000000</f>
        <v>0</v>
      </c>
      <c r="Y417" s="772">
        <f ca="1">+'Phase I Pro Forma'!Y414/1000000</f>
        <v>0</v>
      </c>
      <c r="Z417" s="772">
        <f ca="1">+'Phase I Pro Forma'!Z414/1000000</f>
        <v>0</v>
      </c>
    </row>
    <row r="418" spans="2:26" x14ac:dyDescent="0.2">
      <c r="B418" s="32" t="s">
        <v>418</v>
      </c>
      <c r="D418" s="47"/>
      <c r="E418" s="47"/>
      <c r="F418" s="772">
        <f>+'Phase I Pro Forma'!F415/1000000</f>
        <v>0</v>
      </c>
      <c r="G418" s="772">
        <f>+'Phase I Pro Forma'!G415/1000000</f>
        <v>0</v>
      </c>
      <c r="H418" s="772">
        <f>+'Phase I Pro Forma'!H415/1000000</f>
        <v>0</v>
      </c>
      <c r="I418" s="772">
        <f>+'Phase I Pro Forma'!I415/1000000</f>
        <v>0</v>
      </c>
      <c r="J418" s="772">
        <f>+'Phase I Pro Forma'!J415/1000000</f>
        <v>0</v>
      </c>
      <c r="K418" s="772">
        <f>+'Phase I Pro Forma'!K415/1000000</f>
        <v>0</v>
      </c>
      <c r="L418" s="772">
        <f ca="1">+'Phase I Pro Forma'!L415/1000000</f>
        <v>2.0212044087774803</v>
      </c>
      <c r="M418" s="772">
        <f>+'Phase I Pro Forma'!M415/1000000</f>
        <v>0</v>
      </c>
      <c r="N418" s="772">
        <f>+'Phase I Pro Forma'!N415/1000000</f>
        <v>0</v>
      </c>
      <c r="O418" s="772">
        <f>+'Phase I Pro Forma'!O415/1000000</f>
        <v>0</v>
      </c>
      <c r="P418" s="772">
        <f>+'Phase I Pro Forma'!P415/1000000</f>
        <v>0</v>
      </c>
      <c r="Q418" s="772">
        <f>+'Phase I Pro Forma'!Q415/1000000</f>
        <v>0</v>
      </c>
      <c r="R418" s="772">
        <f>+'Phase I Pro Forma'!R415/1000000</f>
        <v>0</v>
      </c>
      <c r="S418" s="772">
        <f>+'Phase I Pro Forma'!S415/1000000</f>
        <v>0</v>
      </c>
      <c r="T418" s="772">
        <f>+'Phase I Pro Forma'!T415/1000000</f>
        <v>0</v>
      </c>
      <c r="U418" s="772">
        <f>+'Phase I Pro Forma'!U415/1000000</f>
        <v>0</v>
      </c>
      <c r="V418" s="772">
        <f>+'Phase I Pro Forma'!V415/1000000</f>
        <v>0</v>
      </c>
      <c r="W418" s="772">
        <f>+'Phase I Pro Forma'!W415/1000000</f>
        <v>0</v>
      </c>
      <c r="X418" s="772">
        <f>+'Phase I Pro Forma'!X415/1000000</f>
        <v>0</v>
      </c>
      <c r="Y418" s="772">
        <f>+'Phase I Pro Forma'!Y415/1000000</f>
        <v>0</v>
      </c>
      <c r="Z418" s="772">
        <f>+'Phase I Pro Forma'!Z415/1000000</f>
        <v>0</v>
      </c>
    </row>
    <row r="419" spans="2:26" x14ac:dyDescent="0.2">
      <c r="B419" s="32" t="s">
        <v>641</v>
      </c>
      <c r="D419" s="47"/>
      <c r="E419" s="47"/>
      <c r="F419" s="772">
        <f ca="1">+'Phase I Pro Forma'!F416/1000000</f>
        <v>0</v>
      </c>
      <c r="G419" s="772">
        <f ca="1">+'Phase I Pro Forma'!G416/1000000</f>
        <v>0</v>
      </c>
      <c r="H419" s="772">
        <f ca="1">+'Phase I Pro Forma'!H416/1000000</f>
        <v>0</v>
      </c>
      <c r="I419" s="772">
        <f ca="1">+'Phase I Pro Forma'!I416/1000000</f>
        <v>1.1331405764158651</v>
      </c>
      <c r="J419" s="772">
        <f ca="1">+'Phase I Pro Forma'!J416/1000000</f>
        <v>0.78091949296806562</v>
      </c>
      <c r="K419" s="772">
        <f ca="1">+'Phase I Pro Forma'!K416/1000000</f>
        <v>0.61514640245800956</v>
      </c>
      <c r="L419" s="772">
        <f ca="1">+'Phase I Pro Forma'!L416/1000000</f>
        <v>0.20279714142175032</v>
      </c>
      <c r="M419" s="772">
        <f ca="1">+'Phase I Pro Forma'!M416/1000000</f>
        <v>9.3492441822308481E-2</v>
      </c>
      <c r="N419" s="772">
        <f ca="1">+'Phase I Pro Forma'!N416/1000000</f>
        <v>-4.3225174702068866E-2</v>
      </c>
      <c r="O419" s="772">
        <f ca="1">+'Phase I Pro Forma'!O416/1000000</f>
        <v>-0.18515444773200171</v>
      </c>
      <c r="P419" s="772">
        <f ca="1">+'Phase I Pro Forma'!P416/1000000</f>
        <v>-0.30965829195573508</v>
      </c>
      <c r="Q419" s="772">
        <f>+'Phase I Pro Forma'!Q416/1000000</f>
        <v>0</v>
      </c>
      <c r="R419" s="772">
        <f>+'Phase I Pro Forma'!R416/1000000</f>
        <v>0</v>
      </c>
      <c r="S419" s="772">
        <f>+'Phase I Pro Forma'!S416/1000000</f>
        <v>0</v>
      </c>
      <c r="T419" s="772">
        <f>+'Phase I Pro Forma'!T416/1000000</f>
        <v>0</v>
      </c>
      <c r="U419" s="772">
        <f>+'Phase I Pro Forma'!U416/1000000</f>
        <v>0</v>
      </c>
      <c r="V419" s="772">
        <f>+'Phase I Pro Forma'!V416/1000000</f>
        <v>0</v>
      </c>
      <c r="W419" s="772">
        <f>+'Phase I Pro Forma'!W416/1000000</f>
        <v>0</v>
      </c>
      <c r="X419" s="772">
        <f>+'Phase I Pro Forma'!X416/1000000</f>
        <v>0</v>
      </c>
      <c r="Y419" s="772">
        <f>+'Phase I Pro Forma'!Y416/1000000</f>
        <v>0</v>
      </c>
      <c r="Z419" s="772">
        <f>+'Phase I Pro Forma'!Z416/1000000</f>
        <v>0</v>
      </c>
    </row>
    <row r="420" spans="2:26" x14ac:dyDescent="0.2">
      <c r="B420" s="32" t="s">
        <v>643</v>
      </c>
      <c r="D420" s="47"/>
      <c r="E420" s="47"/>
      <c r="F420" s="772">
        <f ca="1">+'Phase I Pro Forma'!F417/1000000</f>
        <v>0</v>
      </c>
      <c r="G420" s="772">
        <f ca="1">+'Phase I Pro Forma'!G417/1000000</f>
        <v>0</v>
      </c>
      <c r="H420" s="772">
        <f ca="1">+'Phase I Pro Forma'!H417/1000000</f>
        <v>0</v>
      </c>
      <c r="I420" s="772">
        <f ca="1">+'Phase I Pro Forma'!I417/1000000</f>
        <v>-10.07958087596829</v>
      </c>
      <c r="J420" s="772">
        <f ca="1">+'Phase I Pro Forma'!J417/1000000</f>
        <v>5.2781322857078523</v>
      </c>
      <c r="K420" s="772">
        <f ca="1">+'Phase I Pro Forma'!K417/1000000</f>
        <v>5.8965986043395864</v>
      </c>
      <c r="L420" s="772">
        <f ca="1">+'Phase I Pro Forma'!L417/1000000</f>
        <v>7.6781267557921398</v>
      </c>
      <c r="M420" s="772">
        <f ca="1">+'Phase I Pro Forma'!M417/1000000</f>
        <v>8.0047529827835167</v>
      </c>
      <c r="N420" s="772">
        <f ca="1">+'Phase I Pro Forma'!N417/1000000</f>
        <v>8.4493152071530115</v>
      </c>
      <c r="O420" s="772">
        <f ca="1">+'Phase I Pro Forma'!O417/1000000</f>
        <v>8.9052740305420972</v>
      </c>
      <c r="P420" s="772">
        <f ca="1">+'Phase I Pro Forma'!P417/1000000</f>
        <v>9.2639614557698309</v>
      </c>
      <c r="Q420" s="772">
        <f>+'Phase I Pro Forma'!Q417/1000000</f>
        <v>0</v>
      </c>
      <c r="R420" s="772">
        <f>+'Phase I Pro Forma'!R417/1000000</f>
        <v>0</v>
      </c>
      <c r="S420" s="772">
        <f>+'Phase I Pro Forma'!S417/1000000</f>
        <v>0</v>
      </c>
      <c r="T420" s="772">
        <f>+'Phase I Pro Forma'!T417/1000000</f>
        <v>0</v>
      </c>
      <c r="U420" s="772">
        <f>+'Phase I Pro Forma'!U417/1000000</f>
        <v>0</v>
      </c>
      <c r="V420" s="772">
        <f>+'Phase I Pro Forma'!V417/1000000</f>
        <v>0</v>
      </c>
      <c r="W420" s="772">
        <f>+'Phase I Pro Forma'!W417/1000000</f>
        <v>0</v>
      </c>
      <c r="X420" s="772">
        <f>+'Phase I Pro Forma'!X417/1000000</f>
        <v>0</v>
      </c>
      <c r="Y420" s="772">
        <f>+'Phase I Pro Forma'!Y417/1000000</f>
        <v>0</v>
      </c>
      <c r="Z420" s="772">
        <f>+'Phase I Pro Forma'!Z417/1000000</f>
        <v>0</v>
      </c>
    </row>
    <row r="421" spans="2:26" x14ac:dyDescent="0.2">
      <c r="B421" s="32" t="s">
        <v>642</v>
      </c>
      <c r="D421" s="47"/>
      <c r="E421" s="47"/>
      <c r="F421" s="772">
        <f>+'Phase I Pro Forma'!F418/1000000</f>
        <v>0</v>
      </c>
      <c r="G421" s="772">
        <f>+'Phase I Pro Forma'!G418/1000000</f>
        <v>0</v>
      </c>
      <c r="H421" s="772">
        <f>+'Phase I Pro Forma'!H418/1000000</f>
        <v>0</v>
      </c>
      <c r="I421" s="772">
        <f ca="1">+'Phase I Pro Forma'!I418/1000000</f>
        <v>34.97156891737437</v>
      </c>
      <c r="J421" s="772">
        <f>+'Phase I Pro Forma'!J418/1000000</f>
        <v>0</v>
      </c>
      <c r="K421" s="772">
        <f>+'Phase I Pro Forma'!K418/1000000</f>
        <v>0</v>
      </c>
      <c r="L421" s="772">
        <f>+'Phase I Pro Forma'!L418/1000000</f>
        <v>0</v>
      </c>
      <c r="M421" s="772">
        <f>+'Phase I Pro Forma'!M418/1000000</f>
        <v>0</v>
      </c>
      <c r="N421" s="772">
        <f>+'Phase I Pro Forma'!N418/1000000</f>
        <v>0</v>
      </c>
      <c r="O421" s="772">
        <f>+'Phase I Pro Forma'!O418/1000000</f>
        <v>0</v>
      </c>
      <c r="P421" s="772">
        <f ca="1">+'Phase I Pro Forma'!P418/1000000</f>
        <v>207.8284720639007</v>
      </c>
      <c r="Q421" s="772">
        <f>+'Phase I Pro Forma'!Q418/1000000</f>
        <v>0</v>
      </c>
      <c r="R421" s="772">
        <f>+'Phase I Pro Forma'!R418/1000000</f>
        <v>0</v>
      </c>
      <c r="S421" s="772">
        <f>+'Phase I Pro Forma'!S418/1000000</f>
        <v>0</v>
      </c>
      <c r="T421" s="772">
        <f>+'Phase I Pro Forma'!T418/1000000</f>
        <v>0</v>
      </c>
      <c r="U421" s="772">
        <f>+'Phase I Pro Forma'!U418/1000000</f>
        <v>0</v>
      </c>
      <c r="V421" s="772">
        <f>+'Phase I Pro Forma'!V418/1000000</f>
        <v>0</v>
      </c>
      <c r="W421" s="772">
        <f>+'Phase I Pro Forma'!W418/1000000</f>
        <v>0</v>
      </c>
      <c r="X421" s="772">
        <f>+'Phase I Pro Forma'!X418/1000000</f>
        <v>0</v>
      </c>
      <c r="Y421" s="772">
        <f>+'Phase I Pro Forma'!Y418/1000000</f>
        <v>0</v>
      </c>
      <c r="Z421" s="772">
        <f>+'Phase I Pro Forma'!Z418/1000000</f>
        <v>0</v>
      </c>
    </row>
    <row r="422" spans="2:26" x14ac:dyDescent="0.2">
      <c r="B422" s="32" t="s">
        <v>415</v>
      </c>
      <c r="D422" s="47"/>
      <c r="E422" s="47"/>
      <c r="F422" s="772">
        <f>+'Phase I Pro Forma'!F419/1000000</f>
        <v>0</v>
      </c>
      <c r="G422" s="772">
        <f>+'Phase I Pro Forma'!G419/1000000</f>
        <v>0</v>
      </c>
      <c r="H422" s="772">
        <f>+'Phase I Pro Forma'!H419/1000000</f>
        <v>0</v>
      </c>
      <c r="I422" s="772">
        <f>+'Phase I Pro Forma'!I419/1000000</f>
        <v>0</v>
      </c>
      <c r="J422" s="772">
        <f>+'Phase I Pro Forma'!J419/1000000</f>
        <v>0</v>
      </c>
      <c r="K422" s="772">
        <f>+'Phase I Pro Forma'!K419/1000000</f>
        <v>0</v>
      </c>
      <c r="L422" s="772">
        <f>+'Phase I Pro Forma'!L419/1000000</f>
        <v>0</v>
      </c>
      <c r="M422" s="772">
        <f>+'Phase I Pro Forma'!M419/1000000</f>
        <v>0</v>
      </c>
      <c r="N422" s="772">
        <f>+'Phase I Pro Forma'!N419/1000000</f>
        <v>0</v>
      </c>
      <c r="O422" s="772">
        <f>+'Phase I Pro Forma'!O419/1000000</f>
        <v>0</v>
      </c>
      <c r="P422" s="772">
        <f>+'Phase I Pro Forma'!P419/1000000</f>
        <v>0</v>
      </c>
      <c r="Q422" s="772">
        <f>+'Phase I Pro Forma'!Q419/1000000</f>
        <v>0</v>
      </c>
      <c r="R422" s="772">
        <f>+'Phase I Pro Forma'!R419/1000000</f>
        <v>0</v>
      </c>
      <c r="S422" s="772">
        <f>+'Phase I Pro Forma'!S419/1000000</f>
        <v>0</v>
      </c>
      <c r="T422" s="772">
        <f>+'Phase I Pro Forma'!T419/1000000</f>
        <v>0</v>
      </c>
      <c r="U422" s="772">
        <f>+'Phase I Pro Forma'!U419/1000000</f>
        <v>0</v>
      </c>
      <c r="V422" s="772">
        <f>+'Phase I Pro Forma'!V419/1000000</f>
        <v>0</v>
      </c>
      <c r="W422" s="772">
        <f>+'Phase I Pro Forma'!W419/1000000</f>
        <v>0</v>
      </c>
      <c r="X422" s="772">
        <f>+'Phase I Pro Forma'!X419/1000000</f>
        <v>0</v>
      </c>
      <c r="Y422" s="772">
        <f>+'Phase I Pro Forma'!Y419/1000000</f>
        <v>0</v>
      </c>
      <c r="Z422" s="772">
        <f>+'Phase I Pro Forma'!Z419/1000000</f>
        <v>0</v>
      </c>
    </row>
    <row r="423" spans="2:26" x14ac:dyDescent="0.2">
      <c r="B423" s="137" t="s">
        <v>406</v>
      </c>
      <c r="C423" s="137"/>
      <c r="D423" s="138">
        <f t="shared" ref="D423" ca="1" si="136">+SUM(F423:Z423)</f>
        <v>226.34006465059929</v>
      </c>
      <c r="E423" s="138"/>
      <c r="F423" s="774">
        <f t="shared" ref="F423:Z423" ca="1" si="137">+SUM(F415:F422)</f>
        <v>-40.689040549183211</v>
      </c>
      <c r="G423" s="774">
        <f t="shared" ca="1" si="137"/>
        <v>-10.001482718569463</v>
      </c>
      <c r="H423" s="774">
        <f t="shared" ca="1" si="137"/>
        <v>0</v>
      </c>
      <c r="I423" s="774">
        <f t="shared" ca="1" si="137"/>
        <v>26.025128617821945</v>
      </c>
      <c r="J423" s="774">
        <f t="shared" ca="1" si="137"/>
        <v>6.0590517786759177</v>
      </c>
      <c r="K423" s="774">
        <f t="shared" ca="1" si="137"/>
        <v>6.5117450067975957</v>
      </c>
      <c r="L423" s="774">
        <f t="shared" ca="1" si="137"/>
        <v>-3.5725677525251625</v>
      </c>
      <c r="M423" s="774">
        <f t="shared" ca="1" si="137"/>
        <v>8.0982454246058246</v>
      </c>
      <c r="N423" s="774">
        <f t="shared" ca="1" si="137"/>
        <v>8.4060900324509422</v>
      </c>
      <c r="O423" s="774">
        <f t="shared" ca="1" si="137"/>
        <v>8.7201195828100957</v>
      </c>
      <c r="P423" s="774">
        <f t="shared" ca="1" si="137"/>
        <v>216.78277522771481</v>
      </c>
      <c r="Q423" s="774">
        <f t="shared" ca="1" si="137"/>
        <v>0</v>
      </c>
      <c r="R423" s="774">
        <f t="shared" ca="1" si="137"/>
        <v>0</v>
      </c>
      <c r="S423" s="774">
        <f t="shared" ca="1" si="137"/>
        <v>0</v>
      </c>
      <c r="T423" s="774">
        <f t="shared" ca="1" si="137"/>
        <v>0</v>
      </c>
      <c r="U423" s="774">
        <f t="shared" ca="1" si="137"/>
        <v>0</v>
      </c>
      <c r="V423" s="774">
        <f t="shared" ca="1" si="137"/>
        <v>0</v>
      </c>
      <c r="W423" s="774">
        <f t="shared" ca="1" si="137"/>
        <v>0</v>
      </c>
      <c r="X423" s="774">
        <f t="shared" ca="1" si="137"/>
        <v>0</v>
      </c>
      <c r="Y423" s="774">
        <f t="shared" ca="1" si="137"/>
        <v>0</v>
      </c>
      <c r="Z423" s="774">
        <f t="shared" ca="1" si="137"/>
        <v>0</v>
      </c>
    </row>
    <row r="424" spans="2:26" ht="5" customHeight="1" x14ac:dyDescent="0.2"/>
    <row r="425" spans="2:26" x14ac:dyDescent="0.2">
      <c r="B425" s="188" t="s">
        <v>638</v>
      </c>
      <c r="C425" s="188"/>
      <c r="F425" s="189">
        <f ca="1">+IRR(F423:Z423)</f>
        <v>0.2345155513083419</v>
      </c>
    </row>
    <row r="426" spans="2:26" x14ac:dyDescent="0.2">
      <c r="B426" s="192" t="s">
        <v>639</v>
      </c>
      <c r="C426" s="191"/>
      <c r="F426" s="225">
        <f ca="1">+'Phase I Pro Forma'!D423</f>
        <v>0.29685512823841814</v>
      </c>
    </row>
    <row r="427" spans="2:26" hidden="1" x14ac:dyDescent="0.2">
      <c r="B427" s="793"/>
      <c r="C427" s="793"/>
      <c r="D427" s="793"/>
      <c r="E427" s="793"/>
      <c r="F427" s="793"/>
      <c r="G427" s="793"/>
      <c r="H427" s="793"/>
      <c r="I427" s="793"/>
      <c r="J427" s="793"/>
      <c r="K427" s="793"/>
      <c r="L427" s="793"/>
      <c r="M427" s="793"/>
      <c r="N427" s="793"/>
      <c r="O427" s="793"/>
      <c r="P427" s="793"/>
      <c r="Q427" s="793"/>
      <c r="R427" s="793"/>
      <c r="S427" s="793"/>
      <c r="T427" s="793"/>
      <c r="U427" s="793"/>
      <c r="V427" s="793"/>
      <c r="W427" s="793"/>
      <c r="X427" s="793"/>
      <c r="Y427" s="793"/>
      <c r="Z427" s="793"/>
    </row>
    <row r="428" spans="2:26" hidden="1" x14ac:dyDescent="0.2">
      <c r="B428" s="793" t="s">
        <v>419</v>
      </c>
      <c r="C428" s="793"/>
      <c r="D428" s="793"/>
      <c r="E428" s="793"/>
      <c r="F428" s="789">
        <f ca="1">+'Phase I Pro Forma'!F425</f>
        <v>0</v>
      </c>
      <c r="G428" s="789">
        <f ca="1">+'Phase I Pro Forma'!G425</f>
        <v>0</v>
      </c>
      <c r="H428" s="789">
        <f ca="1">+'Phase I Pro Forma'!H425</f>
        <v>0</v>
      </c>
      <c r="I428" s="789">
        <f ca="1">+'Phase I Pro Forma'!I425</f>
        <v>0</v>
      </c>
      <c r="J428" s="789">
        <f ca="1">+'Phase I Pro Forma'!J425</f>
        <v>0</v>
      </c>
      <c r="K428" s="789">
        <f ca="1">+'Phase I Pro Forma'!K425</f>
        <v>1081607.4070036046</v>
      </c>
      <c r="L428" s="789">
        <f ca="1">+'Phase I Pro Forma'!L425</f>
        <v>265862.19884804898</v>
      </c>
      <c r="M428" s="789">
        <f ca="1">+'Phase I Pro Forma'!M425</f>
        <v>540803.70350180229</v>
      </c>
      <c r="N428" s="789">
        <f ca="1">+'Phase I Pro Forma'!N425</f>
        <v>132931.09942402449</v>
      </c>
      <c r="O428" s="789">
        <f ca="1">+'Phase I Pro Forma'!O425</f>
        <v>0</v>
      </c>
      <c r="P428" s="789">
        <f ca="1">+'Phase I Pro Forma'!P425</f>
        <v>0</v>
      </c>
      <c r="Q428" s="789">
        <f ca="1">+'Phase I Pro Forma'!Q425</f>
        <v>0</v>
      </c>
      <c r="R428" s="789">
        <f ca="1">+'Phase I Pro Forma'!R425</f>
        <v>0</v>
      </c>
      <c r="S428" s="789">
        <f ca="1">+'Phase I Pro Forma'!S425</f>
        <v>0</v>
      </c>
      <c r="T428" s="789">
        <f ca="1">+'Phase I Pro Forma'!T425</f>
        <v>0</v>
      </c>
      <c r="U428" s="789">
        <f ca="1">+'Phase I Pro Forma'!U425</f>
        <v>0</v>
      </c>
      <c r="V428" s="789">
        <f ca="1">+'Phase I Pro Forma'!V425</f>
        <v>0</v>
      </c>
      <c r="W428" s="789">
        <f ca="1">+'Phase I Pro Forma'!W425</f>
        <v>0</v>
      </c>
      <c r="X428" s="789">
        <f ca="1">+'Phase I Pro Forma'!X425</f>
        <v>0</v>
      </c>
      <c r="Y428" s="789">
        <f ca="1">+'Phase I Pro Forma'!Y425</f>
        <v>0</v>
      </c>
      <c r="Z428" s="789">
        <f ca="1">+'Phase I Pro Forma'!Z425</f>
        <v>0</v>
      </c>
    </row>
    <row r="429" spans="2:26" ht="5" customHeight="1" x14ac:dyDescent="0.2"/>
    <row r="430" spans="2:26" x14ac:dyDescent="0.2">
      <c r="B430" s="147" t="s">
        <v>399</v>
      </c>
    </row>
    <row r="431" spans="2:26" x14ac:dyDescent="0.2">
      <c r="B431" s="32" t="s">
        <v>400</v>
      </c>
      <c r="D431" s="47">
        <f ca="1">+SUM(F431:Z431)</f>
        <v>234.43098130859556</v>
      </c>
      <c r="E431" s="47"/>
      <c r="F431" s="48">
        <v>0</v>
      </c>
      <c r="G431" s="48">
        <f ca="1">+F438</f>
        <v>51.505114619219256</v>
      </c>
      <c r="H431" s="48">
        <f t="shared" ref="H431:Z431" ca="1" si="138">+G438</f>
        <v>64.165219326269209</v>
      </c>
      <c r="I431" s="48">
        <f t="shared" ca="1" si="138"/>
        <v>64.165219326269209</v>
      </c>
      <c r="J431" s="48">
        <f t="shared" ca="1" si="138"/>
        <v>33.877323778120925</v>
      </c>
      <c r="K431" s="48">
        <f t="shared" ca="1" si="138"/>
        <v>24.88052724018419</v>
      </c>
      <c r="L431" s="48">
        <f t="shared" ca="1" si="138"/>
        <v>16.054660052711228</v>
      </c>
      <c r="M431" s="48">
        <f t="shared" ca="1" si="138"/>
        <v>7.4108326234821815</v>
      </c>
      <c r="N431" s="48">
        <f t="shared" ca="1" si="138"/>
        <v>-1.0391224632170886</v>
      </c>
      <c r="O431" s="48">
        <f t="shared" ca="1" si="138"/>
        <v>-9.2826035051221538</v>
      </c>
      <c r="P431" s="48">
        <f t="shared" ca="1" si="138"/>
        <v>-17.306189689321386</v>
      </c>
      <c r="Q431" s="48">
        <f t="shared" ca="1" si="138"/>
        <v>0</v>
      </c>
      <c r="R431" s="48">
        <f t="shared" ca="1" si="138"/>
        <v>0</v>
      </c>
      <c r="S431" s="48">
        <f t="shared" ca="1" si="138"/>
        <v>0</v>
      </c>
      <c r="T431" s="48">
        <f t="shared" ca="1" si="138"/>
        <v>0</v>
      </c>
      <c r="U431" s="48">
        <f t="shared" ca="1" si="138"/>
        <v>0</v>
      </c>
      <c r="V431" s="48">
        <f t="shared" ca="1" si="138"/>
        <v>0</v>
      </c>
      <c r="W431" s="48">
        <f t="shared" ca="1" si="138"/>
        <v>0</v>
      </c>
      <c r="X431" s="48">
        <f t="shared" ca="1" si="138"/>
        <v>0</v>
      </c>
      <c r="Y431" s="48">
        <f t="shared" ca="1" si="138"/>
        <v>0</v>
      </c>
      <c r="Z431" s="48">
        <f t="shared" ca="1" si="138"/>
        <v>0</v>
      </c>
    </row>
    <row r="432" spans="2:26" x14ac:dyDescent="0.2">
      <c r="B432" s="32" t="s">
        <v>398</v>
      </c>
      <c r="D432" s="47">
        <f t="shared" ref="D432:D437" ca="1" si="139">+SUM(F432:Z432)</f>
        <v>64.165219326269209</v>
      </c>
      <c r="E432" s="47"/>
      <c r="F432" s="772">
        <f ca="1">+'Phase I Pro Forma'!F429/1000000</f>
        <v>51.505114619219256</v>
      </c>
      <c r="G432" s="772">
        <f ca="1">+'Phase I Pro Forma'!G429/1000000</f>
        <v>12.660104707049952</v>
      </c>
      <c r="H432" s="772">
        <f ca="1">+'Phase I Pro Forma'!H429/1000000</f>
        <v>0</v>
      </c>
      <c r="I432" s="772">
        <f ca="1">+'Phase I Pro Forma'!I429/1000000</f>
        <v>0</v>
      </c>
      <c r="J432" s="772">
        <f ca="1">+'Phase I Pro Forma'!J429/1000000</f>
        <v>0</v>
      </c>
      <c r="K432" s="772">
        <f ca="1">+'Phase I Pro Forma'!K429/1000000</f>
        <v>0</v>
      </c>
      <c r="L432" s="772">
        <f ca="1">+'Phase I Pro Forma'!L429/1000000</f>
        <v>0</v>
      </c>
      <c r="M432" s="772">
        <f ca="1">+'Phase I Pro Forma'!M429/1000000</f>
        <v>0</v>
      </c>
      <c r="N432" s="772">
        <f ca="1">+'Phase I Pro Forma'!N429/1000000</f>
        <v>0</v>
      </c>
      <c r="O432" s="772">
        <f ca="1">+'Phase I Pro Forma'!O429/1000000</f>
        <v>0</v>
      </c>
      <c r="P432" s="772">
        <f ca="1">+'Phase I Pro Forma'!P429/1000000</f>
        <v>0</v>
      </c>
      <c r="Q432" s="772">
        <f ca="1">+'Phase I Pro Forma'!Q429/1000000</f>
        <v>0</v>
      </c>
      <c r="R432" s="772">
        <f ca="1">+'Phase I Pro Forma'!R429/1000000</f>
        <v>0</v>
      </c>
      <c r="S432" s="772">
        <f ca="1">+'Phase I Pro Forma'!S429/1000000</f>
        <v>0</v>
      </c>
      <c r="T432" s="772">
        <f ca="1">+'Phase I Pro Forma'!T429/1000000</f>
        <v>0</v>
      </c>
      <c r="U432" s="772">
        <f ca="1">+'Phase I Pro Forma'!U429/1000000</f>
        <v>0</v>
      </c>
      <c r="V432" s="772">
        <f ca="1">+'Phase I Pro Forma'!V429/1000000</f>
        <v>0</v>
      </c>
      <c r="W432" s="772">
        <f ca="1">+'Phase I Pro Forma'!W429/1000000</f>
        <v>0</v>
      </c>
      <c r="X432" s="772">
        <f ca="1">+'Phase I Pro Forma'!X429/1000000</f>
        <v>0</v>
      </c>
      <c r="Y432" s="772">
        <f ca="1">+'Phase I Pro Forma'!Y429/1000000</f>
        <v>0</v>
      </c>
      <c r="Z432" s="772">
        <f ca="1">+'Phase I Pro Forma'!Z429/1000000</f>
        <v>0</v>
      </c>
    </row>
    <row r="433" spans="2:26" x14ac:dyDescent="0.2">
      <c r="B433" s="32" t="s">
        <v>637</v>
      </c>
      <c r="D433" s="47">
        <f t="shared" ca="1" si="139"/>
        <v>70.49269415650916</v>
      </c>
      <c r="E433" s="47"/>
      <c r="F433" s="772">
        <f ca="1">+'Phase I Pro Forma'!F430/1000000</f>
        <v>0</v>
      </c>
      <c r="G433" s="772">
        <f ca="1">+'Phase I Pro Forma'!G430/1000000</f>
        <v>0</v>
      </c>
      <c r="H433" s="772">
        <f ca="1">+'Phase I Pro Forma'!H430/1000000</f>
        <v>0</v>
      </c>
      <c r="I433" s="772">
        <f ca="1">+'Phase I Pro Forma'!I430/1000000</f>
        <v>-5.3959075067422146</v>
      </c>
      <c r="J433" s="772">
        <f ca="1">+'Phase I Pro Forma'!J430/1000000</f>
        <v>7.9078146005351391</v>
      </c>
      <c r="K433" s="772">
        <f ca="1">+'Phase I Pro Forma'!K430/1000000</f>
        <v>8.697210269630645</v>
      </c>
      <c r="L433" s="772">
        <f ca="1">+'Phase I Pro Forma'!L430/1000000</f>
        <v>10.660778179327117</v>
      </c>
      <c r="M433" s="772">
        <f ca="1">+'Phase I Pro Forma'!M430/1000000</f>
        <v>11.181276748848269</v>
      </c>
      <c r="N433" s="772">
        <f ca="1">+'Phase I Pro Forma'!N430/1000000</f>
        <v>11.83231301801197</v>
      </c>
      <c r="O433" s="772">
        <f ca="1">+'Phase I Pro Forma'!O430/1000000</f>
        <v>12.508166699106889</v>
      </c>
      <c r="P433" s="772">
        <f ca="1">+'Phase I Pro Forma'!P430/1000000</f>
        <v>13.101042147791334</v>
      </c>
      <c r="Q433" s="772">
        <f>+'Phase I Pro Forma'!Q430/1000000</f>
        <v>0</v>
      </c>
      <c r="R433" s="772">
        <f>+'Phase I Pro Forma'!R430/1000000</f>
        <v>0</v>
      </c>
      <c r="S433" s="772">
        <f>+'Phase I Pro Forma'!S430/1000000</f>
        <v>0</v>
      </c>
      <c r="T433" s="772">
        <f>+'Phase I Pro Forma'!T430/1000000</f>
        <v>0</v>
      </c>
      <c r="U433" s="772">
        <f>+'Phase I Pro Forma'!U430/1000000</f>
        <v>0</v>
      </c>
      <c r="V433" s="772">
        <f>+'Phase I Pro Forma'!V430/1000000</f>
        <v>0</v>
      </c>
      <c r="W433" s="772">
        <f>+'Phase I Pro Forma'!W430/1000000</f>
        <v>0</v>
      </c>
      <c r="X433" s="772">
        <f>+'Phase I Pro Forma'!X430/1000000</f>
        <v>0</v>
      </c>
      <c r="Y433" s="772">
        <f>+'Phase I Pro Forma'!Y430/1000000</f>
        <v>0</v>
      </c>
      <c r="Z433" s="772">
        <f>+'Phase I Pro Forma'!Z430/1000000</f>
        <v>0</v>
      </c>
    </row>
    <row r="434" spans="2:26" x14ac:dyDescent="0.2">
      <c r="B434" s="32" t="s">
        <v>410</v>
      </c>
      <c r="D434" s="47">
        <f t="shared" ca="1" si="139"/>
        <v>-81.385351969348164</v>
      </c>
      <c r="E434" s="47"/>
      <c r="F434" s="772">
        <f>+'Phase I Pro Forma'!F431/1000000</f>
        <v>0</v>
      </c>
      <c r="G434" s="772">
        <f>+'Phase I Pro Forma'!G431/1000000</f>
        <v>0</v>
      </c>
      <c r="H434" s="772">
        <f>+'Phase I Pro Forma'!H431/1000000</f>
        <v>0</v>
      </c>
      <c r="I434" s="772">
        <f>+'Phase I Pro Forma'!I431/1000000</f>
        <v>0</v>
      </c>
      <c r="J434" s="772">
        <f ca="1">+'Phase I Pro Forma'!J431/1000000</f>
        <v>-11.626478852764023</v>
      </c>
      <c r="K434" s="772">
        <f ca="1">+'Phase I Pro Forma'!K431/1000000</f>
        <v>-11.626478852764023</v>
      </c>
      <c r="L434" s="772">
        <f ca="1">+'Phase I Pro Forma'!L431/1000000</f>
        <v>-11.626478852764023</v>
      </c>
      <c r="M434" s="772">
        <f ca="1">+'Phase I Pro Forma'!M431/1000000</f>
        <v>-11.626478852764023</v>
      </c>
      <c r="N434" s="772">
        <f ca="1">+'Phase I Pro Forma'!N431/1000000</f>
        <v>-11.626478852764023</v>
      </c>
      <c r="O434" s="772">
        <f ca="1">+'Phase I Pro Forma'!O431/1000000</f>
        <v>-11.626478852764023</v>
      </c>
      <c r="P434" s="772">
        <f ca="1">+'Phase I Pro Forma'!P431/1000000</f>
        <v>-11.626478852764023</v>
      </c>
      <c r="Q434" s="772">
        <f>+'Phase I Pro Forma'!Q431/1000000</f>
        <v>0</v>
      </c>
      <c r="R434" s="772">
        <f>+'Phase I Pro Forma'!R431/1000000</f>
        <v>0</v>
      </c>
      <c r="S434" s="772">
        <f>+'Phase I Pro Forma'!S431/1000000</f>
        <v>0</v>
      </c>
      <c r="T434" s="772">
        <f>+'Phase I Pro Forma'!T431/1000000</f>
        <v>0</v>
      </c>
      <c r="U434" s="772">
        <f>+'Phase I Pro Forma'!U431/1000000</f>
        <v>0</v>
      </c>
      <c r="V434" s="772">
        <f>+'Phase I Pro Forma'!V431/1000000</f>
        <v>0</v>
      </c>
      <c r="W434" s="772">
        <f>+'Phase I Pro Forma'!W431/1000000</f>
        <v>0</v>
      </c>
      <c r="X434" s="772">
        <f>+'Phase I Pro Forma'!X431/1000000</f>
        <v>0</v>
      </c>
      <c r="Y434" s="772">
        <f>+'Phase I Pro Forma'!Y431/1000000</f>
        <v>0</v>
      </c>
      <c r="Z434" s="772">
        <f>+'Phase I Pro Forma'!Z431/1000000</f>
        <v>0</v>
      </c>
    </row>
    <row r="435" spans="2:26" x14ac:dyDescent="0.2">
      <c r="B435" s="32" t="s">
        <v>643</v>
      </c>
      <c r="D435" s="47">
        <f t="shared" ca="1" si="139"/>
        <v>-43.396580446119742</v>
      </c>
      <c r="E435" s="47"/>
      <c r="F435" s="772">
        <f ca="1">+'Phase I Pro Forma'!F432/1000000</f>
        <v>0</v>
      </c>
      <c r="G435" s="772">
        <f ca="1">+'Phase I Pro Forma'!G432/1000000</f>
        <v>0</v>
      </c>
      <c r="H435" s="772">
        <f ca="1">+'Phase I Pro Forma'!H432/1000000</f>
        <v>0</v>
      </c>
      <c r="I435" s="772">
        <f ca="1">+'Phase I Pro Forma'!I432/1000000</f>
        <v>10.07958087596829</v>
      </c>
      <c r="J435" s="772">
        <f ca="1">+'Phase I Pro Forma'!J432/1000000</f>
        <v>-5.2781322857078523</v>
      </c>
      <c r="K435" s="772">
        <f ca="1">+'Phase I Pro Forma'!K432/1000000</f>
        <v>-5.8965986043395864</v>
      </c>
      <c r="L435" s="772">
        <f ca="1">+'Phase I Pro Forma'!L432/1000000</f>
        <v>-7.6781267557921398</v>
      </c>
      <c r="M435" s="772">
        <f ca="1">+'Phase I Pro Forma'!M432/1000000</f>
        <v>-8.0047529827835167</v>
      </c>
      <c r="N435" s="772">
        <f ca="1">+'Phase I Pro Forma'!N432/1000000</f>
        <v>-8.4493152071530115</v>
      </c>
      <c r="O435" s="772">
        <f ca="1">+'Phase I Pro Forma'!O432/1000000</f>
        <v>-8.9052740305420972</v>
      </c>
      <c r="P435" s="772">
        <f ca="1">+'Phase I Pro Forma'!P432/1000000</f>
        <v>-9.2639614557698309</v>
      </c>
      <c r="Q435" s="772">
        <f>+'Phase I Pro Forma'!Q432/1000000</f>
        <v>0</v>
      </c>
      <c r="R435" s="772">
        <f>+'Phase I Pro Forma'!R432/1000000</f>
        <v>0</v>
      </c>
      <c r="S435" s="772">
        <f>+'Phase I Pro Forma'!S432/1000000</f>
        <v>0</v>
      </c>
      <c r="T435" s="772">
        <f>+'Phase I Pro Forma'!T432/1000000</f>
        <v>0</v>
      </c>
      <c r="U435" s="772">
        <f>+'Phase I Pro Forma'!U432/1000000</f>
        <v>0</v>
      </c>
      <c r="V435" s="772">
        <f>+'Phase I Pro Forma'!V432/1000000</f>
        <v>0</v>
      </c>
      <c r="W435" s="772">
        <f>+'Phase I Pro Forma'!W432/1000000</f>
        <v>0</v>
      </c>
      <c r="X435" s="772">
        <f>+'Phase I Pro Forma'!X432/1000000</f>
        <v>0</v>
      </c>
      <c r="Y435" s="772">
        <f>+'Phase I Pro Forma'!Y432/1000000</f>
        <v>0</v>
      </c>
      <c r="Z435" s="772">
        <f>+'Phase I Pro Forma'!Z432/1000000</f>
        <v>0</v>
      </c>
    </row>
    <row r="436" spans="2:26" x14ac:dyDescent="0.2">
      <c r="B436" s="32" t="s">
        <v>640</v>
      </c>
      <c r="D436" s="47">
        <f t="shared" ca="1" si="139"/>
        <v>-242.80004098127506</v>
      </c>
      <c r="E436" s="47"/>
      <c r="F436" s="772">
        <f>+'Phase I Pro Forma'!F433/1000000</f>
        <v>0</v>
      </c>
      <c r="G436" s="772">
        <f>+'Phase I Pro Forma'!G433/1000000</f>
        <v>0</v>
      </c>
      <c r="H436" s="772">
        <f>+'Phase I Pro Forma'!H433/1000000</f>
        <v>0</v>
      </c>
      <c r="I436" s="772">
        <f ca="1">+'Phase I Pro Forma'!I433/1000000</f>
        <v>-34.97156891737437</v>
      </c>
      <c r="J436" s="772">
        <f>+'Phase I Pro Forma'!J433/1000000</f>
        <v>0</v>
      </c>
      <c r="K436" s="772">
        <f>+'Phase I Pro Forma'!K433/1000000</f>
        <v>0</v>
      </c>
      <c r="L436" s="772">
        <f>+'Phase I Pro Forma'!L433/1000000</f>
        <v>0</v>
      </c>
      <c r="M436" s="772">
        <f>+'Phase I Pro Forma'!M433/1000000</f>
        <v>0</v>
      </c>
      <c r="N436" s="772">
        <f>+'Phase I Pro Forma'!N433/1000000</f>
        <v>0</v>
      </c>
      <c r="O436" s="772">
        <f>+'Phase I Pro Forma'!O433/1000000</f>
        <v>0</v>
      </c>
      <c r="P436" s="772">
        <f ca="1">+'Phase I Pro Forma'!P433/1000000</f>
        <v>-207.8284720639007</v>
      </c>
      <c r="Q436" s="772">
        <f>+'Phase I Pro Forma'!Q433/1000000</f>
        <v>0</v>
      </c>
      <c r="R436" s="772">
        <f>+'Phase I Pro Forma'!R433/1000000</f>
        <v>0</v>
      </c>
      <c r="S436" s="772">
        <f>+'Phase I Pro Forma'!S433/1000000</f>
        <v>0</v>
      </c>
      <c r="T436" s="772">
        <f>+'Phase I Pro Forma'!T433/1000000</f>
        <v>0</v>
      </c>
      <c r="U436" s="772">
        <f>+'Phase I Pro Forma'!U433/1000000</f>
        <v>0</v>
      </c>
      <c r="V436" s="772">
        <f>+'Phase I Pro Forma'!V433/1000000</f>
        <v>0</v>
      </c>
      <c r="W436" s="772">
        <f>+'Phase I Pro Forma'!W433/1000000</f>
        <v>0</v>
      </c>
      <c r="X436" s="772">
        <f>+'Phase I Pro Forma'!X433/1000000</f>
        <v>0</v>
      </c>
      <c r="Y436" s="772">
        <f>+'Phase I Pro Forma'!Y433/1000000</f>
        <v>0</v>
      </c>
      <c r="Z436" s="772">
        <f>+'Phase I Pro Forma'!Z433/1000000</f>
        <v>0</v>
      </c>
    </row>
    <row r="437" spans="2:26" x14ac:dyDescent="0.2">
      <c r="B437" s="32" t="s">
        <v>414</v>
      </c>
      <c r="D437" s="47">
        <f t="shared" ca="1" si="139"/>
        <v>232.92405991396464</v>
      </c>
      <c r="E437" s="47"/>
      <c r="F437" s="772">
        <f>+'Phase I Pro Forma'!F434/1000000</f>
        <v>0</v>
      </c>
      <c r="G437" s="772">
        <f>+'Phase I Pro Forma'!G434/1000000</f>
        <v>0</v>
      </c>
      <c r="H437" s="772">
        <f>+'Phase I Pro Forma'!H434/1000000</f>
        <v>0</v>
      </c>
      <c r="I437" s="772">
        <f>+'Phase I Pro Forma'!I434/1000000</f>
        <v>0</v>
      </c>
      <c r="J437" s="772">
        <f>+'Phase I Pro Forma'!J434/1000000</f>
        <v>0</v>
      </c>
      <c r="K437" s="772">
        <f>+'Phase I Pro Forma'!K434/1000000</f>
        <v>0</v>
      </c>
      <c r="L437" s="772">
        <f>+'Phase I Pro Forma'!L434/1000000</f>
        <v>0</v>
      </c>
      <c r="M437" s="772">
        <f>+'Phase I Pro Forma'!M434/1000000</f>
        <v>0</v>
      </c>
      <c r="N437" s="772">
        <f>+'Phase I Pro Forma'!N434/1000000</f>
        <v>0</v>
      </c>
      <c r="O437" s="772">
        <f>+'Phase I Pro Forma'!O434/1000000</f>
        <v>0</v>
      </c>
      <c r="P437" s="772">
        <f ca="1">+'Phase I Pro Forma'!P434/1000000</f>
        <v>232.92405991396464</v>
      </c>
      <c r="Q437" s="772">
        <f>+'Phase I Pro Forma'!Q434/1000000</f>
        <v>0</v>
      </c>
      <c r="R437" s="772">
        <f>+'Phase I Pro Forma'!R434/1000000</f>
        <v>0</v>
      </c>
      <c r="S437" s="772">
        <f>+'Phase I Pro Forma'!S434/1000000</f>
        <v>0</v>
      </c>
      <c r="T437" s="772">
        <f>+'Phase I Pro Forma'!T434/1000000</f>
        <v>0</v>
      </c>
      <c r="U437" s="772">
        <f>+'Phase I Pro Forma'!U434/1000000</f>
        <v>0</v>
      </c>
      <c r="V437" s="772">
        <f>+'Phase I Pro Forma'!V434/1000000</f>
        <v>0</v>
      </c>
      <c r="W437" s="772">
        <f>+'Phase I Pro Forma'!W434/1000000</f>
        <v>0</v>
      </c>
      <c r="X437" s="772">
        <f>+'Phase I Pro Forma'!X434/1000000</f>
        <v>0</v>
      </c>
      <c r="Y437" s="772">
        <f>+'Phase I Pro Forma'!Y434/1000000</f>
        <v>0</v>
      </c>
      <c r="Z437" s="772">
        <f>+'Phase I Pro Forma'!Z434/1000000</f>
        <v>0</v>
      </c>
    </row>
    <row r="438" spans="2:26" x14ac:dyDescent="0.2">
      <c r="B438" s="136" t="s">
        <v>402</v>
      </c>
      <c r="C438" s="136"/>
      <c r="D438" s="35">
        <f t="shared" ref="D438" ca="1" si="140">+SUM(F438:Z438)</f>
        <v>234.43098130859556</v>
      </c>
      <c r="E438" s="128"/>
      <c r="F438" s="773">
        <f ca="1">+SUM(F431:F437)</f>
        <v>51.505114619219256</v>
      </c>
      <c r="G438" s="773">
        <f t="shared" ref="G438:Z438" ca="1" si="141">+SUM(G431:G437)</f>
        <v>64.165219326269209</v>
      </c>
      <c r="H438" s="773">
        <f t="shared" ca="1" si="141"/>
        <v>64.165219326269209</v>
      </c>
      <c r="I438" s="773">
        <f t="shared" ca="1" si="141"/>
        <v>33.877323778120925</v>
      </c>
      <c r="J438" s="773">
        <f t="shared" ca="1" si="141"/>
        <v>24.88052724018419</v>
      </c>
      <c r="K438" s="773">
        <f t="shared" ca="1" si="141"/>
        <v>16.054660052711228</v>
      </c>
      <c r="L438" s="773">
        <f t="shared" ca="1" si="141"/>
        <v>7.4108326234821815</v>
      </c>
      <c r="M438" s="773">
        <f t="shared" ca="1" si="141"/>
        <v>-1.0391224632170886</v>
      </c>
      <c r="N438" s="773">
        <f t="shared" ca="1" si="141"/>
        <v>-9.2826035051221538</v>
      </c>
      <c r="O438" s="773">
        <f t="shared" ca="1" si="141"/>
        <v>-17.306189689321386</v>
      </c>
      <c r="P438" s="773">
        <f t="shared" ca="1" si="141"/>
        <v>0</v>
      </c>
      <c r="Q438" s="773">
        <f t="shared" ca="1" si="141"/>
        <v>0</v>
      </c>
      <c r="R438" s="773">
        <f t="shared" ca="1" si="141"/>
        <v>0</v>
      </c>
      <c r="S438" s="773">
        <f t="shared" ca="1" si="141"/>
        <v>0</v>
      </c>
      <c r="T438" s="773">
        <f t="shared" ca="1" si="141"/>
        <v>0</v>
      </c>
      <c r="U438" s="773">
        <f t="shared" ca="1" si="141"/>
        <v>0</v>
      </c>
      <c r="V438" s="773">
        <f t="shared" ca="1" si="141"/>
        <v>0</v>
      </c>
      <c r="W438" s="773">
        <f t="shared" ca="1" si="141"/>
        <v>0</v>
      </c>
      <c r="X438" s="773">
        <f t="shared" ca="1" si="141"/>
        <v>0</v>
      </c>
      <c r="Y438" s="773">
        <f t="shared" ca="1" si="141"/>
        <v>0</v>
      </c>
      <c r="Z438" s="773">
        <f t="shared" ca="1" si="141"/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2:Z435"/>
  <sheetViews>
    <sheetView showGridLines="0" topLeftCell="A18" zoomScale="55" zoomScaleNormal="55" workbookViewId="0">
      <selection activeCell="B31" sqref="B31"/>
    </sheetView>
  </sheetViews>
  <sheetFormatPr baseColWidth="10" defaultColWidth="14.5" defaultRowHeight="16" x14ac:dyDescent="0.2"/>
  <cols>
    <col min="1" max="1" width="8.5" style="40" customWidth="1"/>
    <col min="2" max="2" width="14.5" style="40"/>
    <col min="3" max="3" width="23.33203125" style="40" customWidth="1"/>
    <col min="4" max="4" width="16.5" style="40" bestFit="1" customWidth="1"/>
    <col min="5" max="5" width="14.83203125" style="40" customWidth="1"/>
    <col min="6" max="7" width="14.5" style="40" customWidth="1"/>
    <col min="8" max="16384" width="14.5" style="40"/>
  </cols>
  <sheetData>
    <row r="2" spans="1:26" x14ac:dyDescent="0.2">
      <c r="B2" s="145" t="s">
        <v>258</v>
      </c>
      <c r="E2" s="145">
        <v>0</v>
      </c>
      <c r="F2" s="146">
        <f>+IF(F7&gt;='Assumptions and Sensis'!$G$47,'Phase II Pro Forma'!E2+1,'Phase II Pro Forma'!E2)</f>
        <v>0</v>
      </c>
      <c r="G2" s="146">
        <f>+IF(G7&gt;='Assumptions and Sensis'!$G$47,'Phase II Pro Forma'!F2+1,'Phase II Pro Forma'!F2)</f>
        <v>0</v>
      </c>
      <c r="H2" s="146">
        <f>+IF(H7&gt;='Assumptions and Sensis'!$G$47,'Phase II Pro Forma'!G2+1,'Phase II Pro Forma'!G2)</f>
        <v>0</v>
      </c>
      <c r="I2" s="146">
        <f>+IF(I7&gt;='Assumptions and Sensis'!$G$47,'Phase II Pro Forma'!H2+1,'Phase II Pro Forma'!H2)</f>
        <v>1</v>
      </c>
      <c r="J2" s="146">
        <f>+IF(J7&gt;='Assumptions and Sensis'!$G$47,'Phase II Pro Forma'!I2+1,'Phase II Pro Forma'!I2)</f>
        <v>2</v>
      </c>
      <c r="K2" s="146">
        <f>+IF(K7&gt;='Assumptions and Sensis'!$G$47,'Phase II Pro Forma'!J2+1,'Phase II Pro Forma'!J2)</f>
        <v>3</v>
      </c>
      <c r="L2" s="146">
        <f>+IF(L7&gt;='Assumptions and Sensis'!$G$47,'Phase II Pro Forma'!K2+1,'Phase II Pro Forma'!K2)</f>
        <v>4</v>
      </c>
      <c r="M2" s="146">
        <f>+IF(M7&gt;='Assumptions and Sensis'!$G$47,'Phase II Pro Forma'!L2+1,'Phase II Pro Forma'!L2)</f>
        <v>5</v>
      </c>
      <c r="N2" s="146">
        <f>+IF(N7&gt;='Assumptions and Sensis'!$G$47,'Phase II Pro Forma'!M2+1,'Phase II Pro Forma'!M2)</f>
        <v>6</v>
      </c>
      <c r="O2" s="146">
        <f>+IF(O7&gt;='Assumptions and Sensis'!$G$47,'Phase II Pro Forma'!N2+1,'Phase II Pro Forma'!N2)</f>
        <v>7</v>
      </c>
      <c r="P2" s="146">
        <f>+IF(P7&gt;='Assumptions and Sensis'!$G$47,'Phase II Pro Forma'!O2+1,'Phase II Pro Forma'!O2)</f>
        <v>8</v>
      </c>
      <c r="Q2" s="146">
        <f>+IF(Q7&gt;='Assumptions and Sensis'!$G$47,'Phase II Pro Forma'!P2+1,'Phase II Pro Forma'!P2)</f>
        <v>9</v>
      </c>
      <c r="R2" s="146">
        <f>+IF(R7&gt;='Assumptions and Sensis'!$G$47,'Phase II Pro Forma'!Q2+1,'Phase II Pro Forma'!Q2)</f>
        <v>10</v>
      </c>
      <c r="S2" s="146">
        <f>+IF(S7&gt;='Assumptions and Sensis'!$G$47,'Phase II Pro Forma'!R2+1,'Phase II Pro Forma'!R2)</f>
        <v>11</v>
      </c>
      <c r="T2" s="146">
        <f>+IF(T7&gt;='Assumptions and Sensis'!$G$47,'Phase II Pro Forma'!S2+1,'Phase II Pro Forma'!S2)</f>
        <v>12</v>
      </c>
      <c r="U2" s="146">
        <f>+IF(U7&gt;='Assumptions and Sensis'!$G$47,'Phase II Pro Forma'!T2+1,'Phase II Pro Forma'!T2)</f>
        <v>13</v>
      </c>
      <c r="V2" s="146">
        <f>+IF(V7&gt;='Assumptions and Sensis'!$G$47,'Phase II Pro Forma'!U2+1,'Phase II Pro Forma'!U2)</f>
        <v>14</v>
      </c>
      <c r="W2" s="146">
        <f>+IF(W7&gt;='Assumptions and Sensis'!$G$47,'Phase II Pro Forma'!V2+1,'Phase II Pro Forma'!V2)</f>
        <v>15</v>
      </c>
      <c r="X2" s="146">
        <f>+IF(X7&gt;='Assumptions and Sensis'!$G$47,'Phase II Pro Forma'!W2+1,'Phase II Pro Forma'!W2)</f>
        <v>16</v>
      </c>
      <c r="Y2" s="146">
        <f>+IF(Y7&gt;='Assumptions and Sensis'!$G$47,'Phase II Pro Forma'!X2+1,'Phase II Pro Forma'!X2)</f>
        <v>17</v>
      </c>
      <c r="Z2" s="146">
        <f>+IF(Z7&gt;='Assumptions and Sensis'!$G$47,'Phase II Pro Forma'!Y2+1,'Phase II Pro Forma'!Y2)</f>
        <v>18</v>
      </c>
    </row>
    <row r="3" spans="1:26" x14ac:dyDescent="0.2">
      <c r="B3" s="145" t="s">
        <v>278</v>
      </c>
      <c r="F3" s="146">
        <f>+IF(F7&gt;='Assumptions and Sensis'!$G$49,'Phase II Pro Forma'!E3+1,'Phase II Pro Forma'!E3)</f>
        <v>0</v>
      </c>
      <c r="G3" s="146">
        <f>+IF(G7&gt;='Assumptions and Sensis'!$G$49,'Phase II Pro Forma'!F3+1,'Phase II Pro Forma'!F3)</f>
        <v>0</v>
      </c>
      <c r="H3" s="146">
        <f>+IF(H7&gt;='Assumptions and Sensis'!$G$49,'Phase II Pro Forma'!G3+1,'Phase II Pro Forma'!G3)</f>
        <v>0</v>
      </c>
      <c r="I3" s="146">
        <f>+IF(I7&gt;='Assumptions and Sensis'!$G$49,'Phase II Pro Forma'!H3+1,'Phase II Pro Forma'!H3)</f>
        <v>0</v>
      </c>
      <c r="J3" s="146">
        <f>+IF(J7&gt;='Assumptions and Sensis'!$G$49,'Phase II Pro Forma'!I3+1,'Phase II Pro Forma'!I3)</f>
        <v>0</v>
      </c>
      <c r="K3" s="146">
        <f>+IF(K7&gt;='Assumptions and Sensis'!$G$49,'Phase II Pro Forma'!J3+1,'Phase II Pro Forma'!J3)</f>
        <v>1</v>
      </c>
      <c r="L3" s="146">
        <f>+IF(L7&gt;='Assumptions and Sensis'!$G$49,'Phase II Pro Forma'!K3+1,'Phase II Pro Forma'!K3)</f>
        <v>2</v>
      </c>
      <c r="M3" s="146">
        <f>+IF(M7&gt;='Assumptions and Sensis'!$G$49,'Phase II Pro Forma'!L3+1,'Phase II Pro Forma'!L3)</f>
        <v>3</v>
      </c>
      <c r="N3" s="146">
        <f>+IF(N7&gt;='Assumptions and Sensis'!$G$49,'Phase II Pro Forma'!M3+1,'Phase II Pro Forma'!M3)</f>
        <v>4</v>
      </c>
      <c r="O3" s="146">
        <f>+IF(O7&gt;='Assumptions and Sensis'!$G$49,'Phase II Pro Forma'!N3+1,'Phase II Pro Forma'!N3)</f>
        <v>5</v>
      </c>
      <c r="P3" s="146">
        <f>+IF(P7&gt;='Assumptions and Sensis'!$G$49,'Phase II Pro Forma'!O3+1,'Phase II Pro Forma'!O3)</f>
        <v>6</v>
      </c>
      <c r="Q3" s="146">
        <f>+IF(Q7&gt;='Assumptions and Sensis'!$G$49,'Phase II Pro Forma'!P3+1,'Phase II Pro Forma'!P3)</f>
        <v>7</v>
      </c>
      <c r="R3" s="146">
        <f>+IF(R7&gt;='Assumptions and Sensis'!$G$49,'Phase II Pro Forma'!Q3+1,'Phase II Pro Forma'!Q3)</f>
        <v>8</v>
      </c>
      <c r="S3" s="146">
        <f>+IF(S7&gt;='Assumptions and Sensis'!$G$49,'Phase II Pro Forma'!R3+1,'Phase II Pro Forma'!R3)</f>
        <v>9</v>
      </c>
      <c r="T3" s="146">
        <f>+IF(T7&gt;='Assumptions and Sensis'!$G$49,'Phase II Pro Forma'!S3+1,'Phase II Pro Forma'!S3)</f>
        <v>10</v>
      </c>
      <c r="U3" s="146">
        <f>+IF(U7&gt;='Assumptions and Sensis'!$G$49,'Phase II Pro Forma'!T3+1,'Phase II Pro Forma'!T3)</f>
        <v>11</v>
      </c>
      <c r="V3" s="146">
        <f>+IF(V7&gt;='Assumptions and Sensis'!$G$49,'Phase II Pro Forma'!U3+1,'Phase II Pro Forma'!U3)</f>
        <v>12</v>
      </c>
      <c r="W3" s="146">
        <f>+IF(W7&gt;='Assumptions and Sensis'!$G$49,'Phase II Pro Forma'!V3+1,'Phase II Pro Forma'!V3)</f>
        <v>13</v>
      </c>
      <c r="X3" s="146">
        <f>+IF(X7&gt;='Assumptions and Sensis'!$G$49,'Phase II Pro Forma'!W3+1,'Phase II Pro Forma'!W3)</f>
        <v>14</v>
      </c>
      <c r="Y3" s="146">
        <f>+IF(Y7&gt;='Assumptions and Sensis'!$G$49,'Phase II Pro Forma'!X3+1,'Phase II Pro Forma'!X3)</f>
        <v>15</v>
      </c>
      <c r="Z3" s="146">
        <f>+IF(Z7&gt;='Assumptions and Sensis'!$G$49,'Phase II Pro Forma'!Y3+1,'Phase II Pro Forma'!Y3)</f>
        <v>16</v>
      </c>
    </row>
    <row r="4" spans="1:26" x14ac:dyDescent="0.2"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">
      <c r="B5" s="36" t="s">
        <v>767</v>
      </c>
      <c r="C5" s="37"/>
      <c r="D5" s="37"/>
      <c r="E5" s="37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</row>
    <row r="6" spans="1:26" x14ac:dyDescent="0.2">
      <c r="B6" s="118"/>
      <c r="F6" s="226">
        <f>+YEAR(F7)</f>
        <v>2022</v>
      </c>
      <c r="G6" s="226">
        <f t="shared" ref="G6:Z6" si="0">+YEAR(G7)</f>
        <v>2023</v>
      </c>
      <c r="H6" s="226">
        <f t="shared" si="0"/>
        <v>2024</v>
      </c>
      <c r="I6" s="226">
        <f t="shared" si="0"/>
        <v>2025</v>
      </c>
      <c r="J6" s="226">
        <f t="shared" si="0"/>
        <v>2026</v>
      </c>
      <c r="K6" s="226">
        <f t="shared" si="0"/>
        <v>2027</v>
      </c>
      <c r="L6" s="226">
        <f t="shared" si="0"/>
        <v>2028</v>
      </c>
      <c r="M6" s="226">
        <f t="shared" si="0"/>
        <v>2029</v>
      </c>
      <c r="N6" s="226">
        <f t="shared" si="0"/>
        <v>2030</v>
      </c>
      <c r="O6" s="226">
        <f t="shared" si="0"/>
        <v>2031</v>
      </c>
      <c r="P6" s="226">
        <f t="shared" si="0"/>
        <v>2032</v>
      </c>
      <c r="Q6" s="226">
        <f t="shared" si="0"/>
        <v>2033</v>
      </c>
      <c r="R6" s="226">
        <f t="shared" si="0"/>
        <v>2034</v>
      </c>
      <c r="S6" s="226">
        <f t="shared" si="0"/>
        <v>2035</v>
      </c>
      <c r="T6" s="226">
        <f t="shared" si="0"/>
        <v>2036</v>
      </c>
      <c r="U6" s="226">
        <f t="shared" si="0"/>
        <v>2037</v>
      </c>
      <c r="V6" s="226">
        <f t="shared" si="0"/>
        <v>2038</v>
      </c>
      <c r="W6" s="226">
        <f t="shared" si="0"/>
        <v>2039</v>
      </c>
      <c r="X6" s="226">
        <f t="shared" si="0"/>
        <v>2040</v>
      </c>
      <c r="Y6" s="226">
        <f t="shared" si="0"/>
        <v>2041</v>
      </c>
      <c r="Z6" s="226">
        <f t="shared" si="0"/>
        <v>2042</v>
      </c>
    </row>
    <row r="7" spans="1:26" x14ac:dyDescent="0.2">
      <c r="B7" s="147" t="s">
        <v>141</v>
      </c>
      <c r="C7" s="148"/>
      <c r="D7" s="148"/>
      <c r="E7" s="148"/>
      <c r="F7" s="149">
        <f>+'Assumptions and Sensis'!$G$43</f>
        <v>44926</v>
      </c>
      <c r="G7" s="149">
        <f>+EOMONTH(F7,12)</f>
        <v>45291</v>
      </c>
      <c r="H7" s="149">
        <f t="shared" ref="H7:Z7" si="1">+EOMONTH(G7,12)</f>
        <v>45657</v>
      </c>
      <c r="I7" s="149">
        <f t="shared" si="1"/>
        <v>46022</v>
      </c>
      <c r="J7" s="149">
        <f t="shared" si="1"/>
        <v>46387</v>
      </c>
      <c r="K7" s="149">
        <f t="shared" si="1"/>
        <v>46752</v>
      </c>
      <c r="L7" s="149">
        <f t="shared" si="1"/>
        <v>47118</v>
      </c>
      <c r="M7" s="149">
        <f t="shared" si="1"/>
        <v>47483</v>
      </c>
      <c r="N7" s="149">
        <f t="shared" si="1"/>
        <v>47848</v>
      </c>
      <c r="O7" s="149">
        <f t="shared" si="1"/>
        <v>48213</v>
      </c>
      <c r="P7" s="149">
        <f t="shared" si="1"/>
        <v>48579</v>
      </c>
      <c r="Q7" s="149">
        <f t="shared" si="1"/>
        <v>48944</v>
      </c>
      <c r="R7" s="149">
        <f t="shared" si="1"/>
        <v>49309</v>
      </c>
      <c r="S7" s="149">
        <f t="shared" si="1"/>
        <v>49674</v>
      </c>
      <c r="T7" s="149">
        <f t="shared" si="1"/>
        <v>50040</v>
      </c>
      <c r="U7" s="149">
        <f t="shared" si="1"/>
        <v>50405</v>
      </c>
      <c r="V7" s="149">
        <f t="shared" si="1"/>
        <v>50770</v>
      </c>
      <c r="W7" s="149">
        <f t="shared" si="1"/>
        <v>51135</v>
      </c>
      <c r="X7" s="149">
        <f t="shared" si="1"/>
        <v>51501</v>
      </c>
      <c r="Y7" s="149">
        <f t="shared" si="1"/>
        <v>51866</v>
      </c>
      <c r="Z7" s="149">
        <f t="shared" si="1"/>
        <v>52231</v>
      </c>
    </row>
    <row r="8" spans="1:26" x14ac:dyDescent="0.2">
      <c r="A8" s="139" t="b">
        <f>+SUM(F8:Z8)='Assumptions and Sensis'!$F$76</f>
        <v>0</v>
      </c>
      <c r="B8" s="32" t="s">
        <v>756</v>
      </c>
      <c r="C8" s="32"/>
      <c r="D8" s="39"/>
      <c r="E8" s="43">
        <f ca="1">+'Assumptions and Sensis'!F14</f>
        <v>0.25390363378108316</v>
      </c>
      <c r="F8" s="41">
        <f>+IF(AND(F7&gt;='Assumptions and Sensis'!$G$47,F7&lt;'Assumptions and Sensis'!$G$49),'Assumptions and Sensis'!$G$76/ROUNDUP(('Assumptions and Sensis'!$G$48/12),0),0)</f>
        <v>0</v>
      </c>
      <c r="G8" s="41">
        <f>+IF(AND(G7&gt;='Assumptions and Sensis'!$G$47,G7&lt;'Assumptions and Sensis'!$G$49),'Assumptions and Sensis'!$G$76/ROUNDUP(('Assumptions and Sensis'!$G$48/12),0),0)</f>
        <v>0</v>
      </c>
      <c r="H8" s="41">
        <f>+IF(AND(H7&gt;='Assumptions and Sensis'!$G$47,H7&lt;'Assumptions and Sensis'!$G$49),'Assumptions and Sensis'!$G$76/ROUNDUP(('Assumptions and Sensis'!$G$48/12),0),0)</f>
        <v>0</v>
      </c>
      <c r="I8" s="41">
        <f>+IF(AND(I7&gt;='Assumptions and Sensis'!$G$47,I7&lt;'Assumptions and Sensis'!$G$49),'Assumptions and Sensis'!$G$76/ROUNDUP(('Assumptions and Sensis'!$G$48/12),0),0)</f>
        <v>37973.710000000006</v>
      </c>
      <c r="J8" s="41">
        <f>+IF(AND(J7&gt;='Assumptions and Sensis'!$G$47,J7&lt;'Assumptions and Sensis'!$G$49),'Assumptions and Sensis'!$G$76/ROUNDUP(('Assumptions and Sensis'!$G$48/12),0),0)</f>
        <v>37973.710000000006</v>
      </c>
      <c r="K8" s="41">
        <f>+IF(AND(K7&gt;='Assumptions and Sensis'!$G$47,K7&lt;'Assumptions and Sensis'!$G$49),'Assumptions and Sensis'!$G$76/ROUNDUP(('Assumptions and Sensis'!$G$48/12),0),0)</f>
        <v>0</v>
      </c>
      <c r="L8" s="41">
        <f>+IF(AND(L7&gt;='Assumptions and Sensis'!$G$47,L7&lt;'Assumptions and Sensis'!$G$49),'Assumptions and Sensis'!$G$76/ROUNDUP(('Assumptions and Sensis'!$G$48/12),0),0)</f>
        <v>0</v>
      </c>
      <c r="M8" s="41">
        <f>+IF(AND(M7&gt;='Assumptions and Sensis'!$G$47,M7&lt;'Assumptions and Sensis'!$G$49),'Assumptions and Sensis'!$G$76/ROUNDUP(('Assumptions and Sensis'!$G$48/12),0),0)</f>
        <v>0</v>
      </c>
      <c r="N8" s="41">
        <f>+IF(AND(N7&gt;='Assumptions and Sensis'!$G$47,N7&lt;'Assumptions and Sensis'!$G$49),'Assumptions and Sensis'!$G$76/ROUNDUP(('Assumptions and Sensis'!$G$48/12),0),0)</f>
        <v>0</v>
      </c>
      <c r="O8" s="41">
        <f>+IF(AND(O7&gt;='Assumptions and Sensis'!$G$47,O7&lt;'Assumptions and Sensis'!$G$49),'Assumptions and Sensis'!$G$76/ROUNDUP(('Assumptions and Sensis'!$G$48/12),0),0)</f>
        <v>0</v>
      </c>
      <c r="P8" s="41">
        <f>+IF(AND(P7&gt;='Assumptions and Sensis'!$G$47,P7&lt;'Assumptions and Sensis'!$G$49),'Assumptions and Sensis'!$G$76/ROUNDUP(('Assumptions and Sensis'!$G$48/12),0),0)</f>
        <v>0</v>
      </c>
      <c r="Q8" s="41">
        <f>+IF(AND(Q7&gt;='Assumptions and Sensis'!$G$47,Q7&lt;'Assumptions and Sensis'!$G$49),'Assumptions and Sensis'!$G$76/ROUNDUP(('Assumptions and Sensis'!$G$48/12),0),0)</f>
        <v>0</v>
      </c>
      <c r="R8" s="41">
        <f>+IF(AND(R7&gt;='Assumptions and Sensis'!$G$47,R7&lt;'Assumptions and Sensis'!$G$49),'Assumptions and Sensis'!$G$76/ROUNDUP(('Assumptions and Sensis'!$G$48/12),0),0)</f>
        <v>0</v>
      </c>
      <c r="S8" s="41">
        <f>+IF(AND(S7&gt;='Assumptions and Sensis'!$G$47,S7&lt;'Assumptions and Sensis'!$G$49),'Assumptions and Sensis'!$G$76/ROUNDUP(('Assumptions and Sensis'!$G$48/12),0),0)</f>
        <v>0</v>
      </c>
      <c r="T8" s="41">
        <f>+IF(AND(T7&gt;='Assumptions and Sensis'!$G$47,T7&lt;'Assumptions and Sensis'!$G$49),'Assumptions and Sensis'!$G$76/ROUNDUP(('Assumptions and Sensis'!$G$48/12),0),0)</f>
        <v>0</v>
      </c>
      <c r="U8" s="41">
        <f>+IF(AND(U7&gt;='Assumptions and Sensis'!$G$47,U7&lt;'Assumptions and Sensis'!$G$49),'Assumptions and Sensis'!$G$76/ROUNDUP(('Assumptions and Sensis'!$G$48/12),0),0)</f>
        <v>0</v>
      </c>
      <c r="V8" s="41">
        <f>+IF(AND(V7&gt;='Assumptions and Sensis'!$G$47,V7&lt;'Assumptions and Sensis'!$G$49),'Assumptions and Sensis'!$G$76/ROUNDUP(('Assumptions and Sensis'!$G$48/12),0),0)</f>
        <v>0</v>
      </c>
      <c r="W8" s="41">
        <f>+IF(AND(W7&gt;='Assumptions and Sensis'!$G$47,W7&lt;'Assumptions and Sensis'!$G$49),'Assumptions and Sensis'!$G$76/ROUNDUP(('Assumptions and Sensis'!$G$48/12),0),0)</f>
        <v>0</v>
      </c>
      <c r="X8" s="41">
        <f>+IF(AND(X7&gt;='Assumptions and Sensis'!$G$47,X7&lt;'Assumptions and Sensis'!$G$49),'Assumptions and Sensis'!$G$76/ROUNDUP(('Assumptions and Sensis'!$G$48/12),0),0)</f>
        <v>0</v>
      </c>
      <c r="Y8" s="41">
        <f>+IF(AND(Y7&gt;='Assumptions and Sensis'!$G$47,Y7&lt;'Assumptions and Sensis'!$G$49),'Assumptions and Sensis'!$G$76/ROUNDUP(('Assumptions and Sensis'!$G$48/12),0),0)</f>
        <v>0</v>
      </c>
      <c r="Z8" s="41">
        <f>+IF(AND(Z7&gt;='Assumptions and Sensis'!$G$47,Z7&lt;'Assumptions and Sensis'!$G$49),'Assumptions and Sensis'!$G$76/ROUNDUP(('Assumptions and Sensis'!$G$48/12),0),0)</f>
        <v>0</v>
      </c>
    </row>
    <row r="9" spans="1:26" x14ac:dyDescent="0.2">
      <c r="B9" s="32" t="s">
        <v>246</v>
      </c>
      <c r="C9" s="32"/>
      <c r="D9" s="41">
        <v>0</v>
      </c>
      <c r="E9" s="41"/>
      <c r="F9" s="41">
        <f>+D9+F8</f>
        <v>0</v>
      </c>
      <c r="G9" s="41">
        <f t="shared" ref="G9:Z9" si="2">+F9+G8</f>
        <v>0</v>
      </c>
      <c r="H9" s="41">
        <f t="shared" si="2"/>
        <v>0</v>
      </c>
      <c r="I9" s="41">
        <f t="shared" si="2"/>
        <v>37973.710000000006</v>
      </c>
      <c r="J9" s="41">
        <f t="shared" si="2"/>
        <v>75947.420000000013</v>
      </c>
      <c r="K9" s="41">
        <f t="shared" si="2"/>
        <v>75947.420000000013</v>
      </c>
      <c r="L9" s="41">
        <f t="shared" si="2"/>
        <v>75947.420000000013</v>
      </c>
      <c r="M9" s="41">
        <f t="shared" si="2"/>
        <v>75947.420000000013</v>
      </c>
      <c r="N9" s="41">
        <f t="shared" si="2"/>
        <v>75947.420000000013</v>
      </c>
      <c r="O9" s="41">
        <f t="shared" si="2"/>
        <v>75947.420000000013</v>
      </c>
      <c r="P9" s="41">
        <f t="shared" si="2"/>
        <v>75947.420000000013</v>
      </c>
      <c r="Q9" s="41">
        <f t="shared" si="2"/>
        <v>75947.420000000013</v>
      </c>
      <c r="R9" s="41">
        <f t="shared" si="2"/>
        <v>75947.420000000013</v>
      </c>
      <c r="S9" s="41">
        <f t="shared" si="2"/>
        <v>75947.420000000013</v>
      </c>
      <c r="T9" s="41">
        <f t="shared" si="2"/>
        <v>75947.420000000013</v>
      </c>
      <c r="U9" s="41">
        <f t="shared" si="2"/>
        <v>75947.420000000013</v>
      </c>
      <c r="V9" s="41">
        <f t="shared" si="2"/>
        <v>75947.420000000013</v>
      </c>
      <c r="W9" s="41">
        <f t="shared" si="2"/>
        <v>75947.420000000013</v>
      </c>
      <c r="X9" s="41">
        <f t="shared" si="2"/>
        <v>75947.420000000013</v>
      </c>
      <c r="Y9" s="41">
        <f t="shared" si="2"/>
        <v>75947.420000000013</v>
      </c>
      <c r="Z9" s="41">
        <f t="shared" si="2"/>
        <v>75947.420000000013</v>
      </c>
    </row>
    <row r="10" spans="1:26" x14ac:dyDescent="0.2">
      <c r="B10" s="32" t="s">
        <v>490</v>
      </c>
      <c r="C10" s="32"/>
      <c r="D10" s="41"/>
      <c r="E10" s="41"/>
      <c r="F10" s="41">
        <f>+F11-E11</f>
        <v>0</v>
      </c>
      <c r="G10" s="41">
        <f t="shared" ref="G10" si="3">+G11-F11</f>
        <v>0</v>
      </c>
      <c r="H10" s="41">
        <f t="shared" ref="H10" si="4">+H11-G11</f>
        <v>0</v>
      </c>
      <c r="I10" s="41">
        <f t="shared" ref="I10" si="5">+I11-H11</f>
        <v>51.954939590909099</v>
      </c>
      <c r="J10" s="41">
        <f t="shared" ref="J10" si="6">+J11-I11</f>
        <v>51.954939590909099</v>
      </c>
      <c r="K10" s="41">
        <f t="shared" ref="K10" si="7">+K11-J11</f>
        <v>0</v>
      </c>
      <c r="L10" s="41">
        <f t="shared" ref="L10" si="8">+L11-K11</f>
        <v>0</v>
      </c>
      <c r="M10" s="41">
        <f t="shared" ref="M10" si="9">+M11-L11</f>
        <v>0</v>
      </c>
      <c r="N10" s="41">
        <f t="shared" ref="N10" si="10">+N11-M11</f>
        <v>0</v>
      </c>
      <c r="O10" s="41">
        <f t="shared" ref="O10" si="11">+O11-N11</f>
        <v>0</v>
      </c>
      <c r="P10" s="41">
        <f t="shared" ref="P10" si="12">+P11-O11</f>
        <v>0</v>
      </c>
      <c r="Q10" s="41">
        <f t="shared" ref="Q10" si="13">+Q11-P11</f>
        <v>0</v>
      </c>
      <c r="R10" s="41">
        <f t="shared" ref="R10" si="14">+R11-Q11</f>
        <v>0</v>
      </c>
      <c r="S10" s="41">
        <f t="shared" ref="S10" si="15">+S11-R11</f>
        <v>0</v>
      </c>
      <c r="T10" s="41">
        <f t="shared" ref="T10" si="16">+T11-S11</f>
        <v>0</v>
      </c>
      <c r="U10" s="41">
        <f t="shared" ref="U10" si="17">+U11-T11</f>
        <v>0</v>
      </c>
      <c r="V10" s="41">
        <f t="shared" ref="V10" si="18">+V11-U11</f>
        <v>0</v>
      </c>
      <c r="W10" s="41">
        <f t="shared" ref="W10" si="19">+W11-V11</f>
        <v>0</v>
      </c>
      <c r="X10" s="41">
        <f t="shared" ref="X10" si="20">+X11-W11</f>
        <v>0</v>
      </c>
      <c r="Y10" s="41">
        <f t="shared" ref="Y10" si="21">+Y11-X11</f>
        <v>0</v>
      </c>
      <c r="Z10" s="41">
        <f t="shared" ref="Z10" si="22">+Z11-Y11</f>
        <v>0</v>
      </c>
    </row>
    <row r="11" spans="1:26" x14ac:dyDescent="0.2">
      <c r="B11" s="32" t="s">
        <v>247</v>
      </c>
      <c r="C11" s="32"/>
      <c r="D11" s="41"/>
      <c r="E11" s="41"/>
      <c r="F11" s="41">
        <f>+F12*'Assumptions and Sensis'!$G$77</f>
        <v>0</v>
      </c>
      <c r="G11" s="41">
        <f>+G12*'Assumptions and Sensis'!$G$77</f>
        <v>0</v>
      </c>
      <c r="H11" s="41">
        <f>+H12*'Assumptions and Sensis'!$G$77</f>
        <v>0</v>
      </c>
      <c r="I11" s="41">
        <f>+I12*'Assumptions and Sensis'!$G$77</f>
        <v>51.954939590909099</v>
      </c>
      <c r="J11" s="41">
        <f>+J12*'Assumptions and Sensis'!$G$77</f>
        <v>103.9098791818182</v>
      </c>
      <c r="K11" s="41">
        <f>+K12*'Assumptions and Sensis'!$G$77</f>
        <v>103.9098791818182</v>
      </c>
      <c r="L11" s="41">
        <f>+L12*'Assumptions and Sensis'!$G$77</f>
        <v>103.9098791818182</v>
      </c>
      <c r="M11" s="41">
        <f>+M12*'Assumptions and Sensis'!$G$77</f>
        <v>103.9098791818182</v>
      </c>
      <c r="N11" s="41">
        <f>+N12*'Assumptions and Sensis'!$G$77</f>
        <v>103.9098791818182</v>
      </c>
      <c r="O11" s="41">
        <f>+O12*'Assumptions and Sensis'!$G$77</f>
        <v>103.9098791818182</v>
      </c>
      <c r="P11" s="41">
        <f>+P12*'Assumptions and Sensis'!$G$77</f>
        <v>103.9098791818182</v>
      </c>
      <c r="Q11" s="41">
        <f>+Q12*'Assumptions and Sensis'!$G$77</f>
        <v>103.9098791818182</v>
      </c>
      <c r="R11" s="41">
        <f>+R12*'Assumptions and Sensis'!$G$77</f>
        <v>103.9098791818182</v>
      </c>
      <c r="S11" s="41">
        <f>+S12*'Assumptions and Sensis'!$G$77</f>
        <v>103.9098791818182</v>
      </c>
      <c r="T11" s="41">
        <f>+T12*'Assumptions and Sensis'!$G$77</f>
        <v>103.9098791818182</v>
      </c>
      <c r="U11" s="41">
        <f>+U12*'Assumptions and Sensis'!$G$77</f>
        <v>103.9098791818182</v>
      </c>
      <c r="V11" s="41">
        <f>+V12*'Assumptions and Sensis'!$G$77</f>
        <v>103.9098791818182</v>
      </c>
      <c r="W11" s="41">
        <f>+W12*'Assumptions and Sensis'!$G$77</f>
        <v>103.9098791818182</v>
      </c>
      <c r="X11" s="41">
        <f>+X12*'Assumptions and Sensis'!$G$77</f>
        <v>103.9098791818182</v>
      </c>
      <c r="Y11" s="41">
        <f>+Y12*'Assumptions and Sensis'!$G$77</f>
        <v>103.9098791818182</v>
      </c>
      <c r="Z11" s="41">
        <f>+Z12*'Assumptions and Sensis'!$G$77</f>
        <v>103.9098791818182</v>
      </c>
    </row>
    <row r="12" spans="1:26" x14ac:dyDescent="0.2">
      <c r="B12" s="32" t="s">
        <v>301</v>
      </c>
      <c r="C12" s="32"/>
      <c r="D12" s="41"/>
      <c r="E12" s="41"/>
      <c r="F12" s="107">
        <f>+F9/SUM($F$8:$Z$8)</f>
        <v>0</v>
      </c>
      <c r="G12" s="107">
        <f t="shared" ref="G12:Z12" si="23">+G9/SUM($F$8:$Z$8)</f>
        <v>0</v>
      </c>
      <c r="H12" s="107">
        <f t="shared" si="23"/>
        <v>0</v>
      </c>
      <c r="I12" s="107">
        <f t="shared" si="23"/>
        <v>0.5</v>
      </c>
      <c r="J12" s="107">
        <f t="shared" si="23"/>
        <v>1</v>
      </c>
      <c r="K12" s="107">
        <f t="shared" si="23"/>
        <v>1</v>
      </c>
      <c r="L12" s="107">
        <f t="shared" si="23"/>
        <v>1</v>
      </c>
      <c r="M12" s="107">
        <f t="shared" si="23"/>
        <v>1</v>
      </c>
      <c r="N12" s="107">
        <f t="shared" si="23"/>
        <v>1</v>
      </c>
      <c r="O12" s="107">
        <f t="shared" si="23"/>
        <v>1</v>
      </c>
      <c r="P12" s="107">
        <f t="shared" si="23"/>
        <v>1</v>
      </c>
      <c r="Q12" s="107">
        <f t="shared" si="23"/>
        <v>1</v>
      </c>
      <c r="R12" s="107">
        <f t="shared" si="23"/>
        <v>1</v>
      </c>
      <c r="S12" s="107">
        <f t="shared" si="23"/>
        <v>1</v>
      </c>
      <c r="T12" s="107">
        <f t="shared" si="23"/>
        <v>1</v>
      </c>
      <c r="U12" s="107">
        <f t="shared" si="23"/>
        <v>1</v>
      </c>
      <c r="V12" s="107">
        <f t="shared" si="23"/>
        <v>1</v>
      </c>
      <c r="W12" s="107">
        <f t="shared" si="23"/>
        <v>1</v>
      </c>
      <c r="X12" s="107">
        <f t="shared" si="23"/>
        <v>1</v>
      </c>
      <c r="Y12" s="107">
        <f t="shared" si="23"/>
        <v>1</v>
      </c>
      <c r="Z12" s="107">
        <f t="shared" si="23"/>
        <v>1</v>
      </c>
    </row>
    <row r="13" spans="1:26" x14ac:dyDescent="0.2">
      <c r="B13" s="32"/>
      <c r="C13" s="32"/>
      <c r="D13" s="41"/>
      <c r="E13" s="41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x14ac:dyDescent="0.2">
      <c r="B14" s="32" t="s">
        <v>251</v>
      </c>
      <c r="C14" s="32"/>
      <c r="D14" s="41"/>
      <c r="E14" s="41"/>
      <c r="F14" s="107">
        <v>1</v>
      </c>
      <c r="G14" s="107">
        <f>+F14*(1+'Assumptions and Sensis'!$O$85)</f>
        <v>1.02</v>
      </c>
      <c r="H14" s="107">
        <f>+G14*(1+'Assumptions and Sensis'!$O$85)</f>
        <v>1.0404</v>
      </c>
      <c r="I14" s="107">
        <f>+H14*(1+'Assumptions and Sensis'!$O$85)</f>
        <v>1.0612079999999999</v>
      </c>
      <c r="J14" s="107">
        <f>+I14*(1+'Assumptions and Sensis'!$O$85)</f>
        <v>1.08243216</v>
      </c>
      <c r="K14" s="107">
        <f>+J14*(1+'Assumptions and Sensis'!$O$85)</f>
        <v>1.1040808032</v>
      </c>
      <c r="L14" s="107">
        <f>+K14*(1+'Assumptions and Sensis'!$O$85)</f>
        <v>1.1261624192640001</v>
      </c>
      <c r="M14" s="107">
        <f>+L14*(1+'Assumptions and Sensis'!$O$85)</f>
        <v>1.14868566764928</v>
      </c>
      <c r="N14" s="107">
        <f>+M14*(1+'Assumptions and Sensis'!$O$85)</f>
        <v>1.1716593810022657</v>
      </c>
      <c r="O14" s="107">
        <f>+N14*(1+'Assumptions and Sensis'!$O$85)</f>
        <v>1.1950925686223111</v>
      </c>
      <c r="P14" s="107">
        <f>+O14*(1+'Assumptions and Sensis'!$O$85)</f>
        <v>1.2189944199947573</v>
      </c>
      <c r="Q14" s="107">
        <f>+P14*(1+'Assumptions and Sensis'!$O$85)</f>
        <v>1.2433743083946525</v>
      </c>
      <c r="R14" s="107">
        <f>+Q14*(1+'Assumptions and Sensis'!$O$85)</f>
        <v>1.2682417945625455</v>
      </c>
      <c r="S14" s="107">
        <f>+R14*(1+'Assumptions and Sensis'!$O$85)</f>
        <v>1.2936066304537963</v>
      </c>
      <c r="T14" s="107">
        <f>+S14*(1+'Assumptions and Sensis'!$O$85)</f>
        <v>1.3194787630628724</v>
      </c>
      <c r="U14" s="107">
        <f>+T14*(1+'Assumptions and Sensis'!$O$85)</f>
        <v>1.3458683383241299</v>
      </c>
      <c r="V14" s="107">
        <f>+U14*(1+'Assumptions and Sensis'!$O$85)</f>
        <v>1.3727857050906125</v>
      </c>
      <c r="W14" s="107">
        <f>+V14*(1+'Assumptions and Sensis'!$O$85)</f>
        <v>1.4002414191924248</v>
      </c>
      <c r="X14" s="107">
        <f>+W14*(1+'Assumptions and Sensis'!$O$85)</f>
        <v>1.4282462475762734</v>
      </c>
      <c r="Y14" s="107">
        <f>+X14*(1+'Assumptions and Sensis'!$O$85)</f>
        <v>1.4568111725277988</v>
      </c>
      <c r="Z14" s="107">
        <f>+Y14*(1+'Assumptions and Sensis'!$O$85)</f>
        <v>1.4859473959783549</v>
      </c>
    </row>
    <row r="15" spans="1:26" x14ac:dyDescent="0.2">
      <c r="B15" s="32" t="s">
        <v>252</v>
      </c>
      <c r="C15" s="32"/>
      <c r="D15" s="41"/>
      <c r="E15" s="41"/>
      <c r="F15" s="107">
        <v>1</v>
      </c>
      <c r="G15" s="107">
        <f>+F15*(1+'Assumptions and Sensis'!$O$98)</f>
        <v>1.03</v>
      </c>
      <c r="H15" s="107">
        <f>+G15*(1+'Assumptions and Sensis'!$O$98)</f>
        <v>1.0609</v>
      </c>
      <c r="I15" s="107">
        <f>+H15*(1+'Assumptions and Sensis'!$O$98)</f>
        <v>1.092727</v>
      </c>
      <c r="J15" s="107">
        <f>+I15*(1+'Assumptions and Sensis'!$O$98)</f>
        <v>1.1255088100000001</v>
      </c>
      <c r="K15" s="107">
        <f>+J15*(1+'Assumptions and Sensis'!$O$98)</f>
        <v>1.1592740743000001</v>
      </c>
      <c r="L15" s="107">
        <f>+K15*(1+'Assumptions and Sensis'!$O$98)</f>
        <v>1.1940522965290001</v>
      </c>
      <c r="M15" s="107">
        <f>+L15*(1+'Assumptions and Sensis'!$O$98)</f>
        <v>1.2298738654248702</v>
      </c>
      <c r="N15" s="107">
        <f>+M15*(1+'Assumptions and Sensis'!$O$98)</f>
        <v>1.2667700813876164</v>
      </c>
      <c r="O15" s="107">
        <f>+N15*(1+'Assumptions and Sensis'!$O$98)</f>
        <v>1.3047731838292449</v>
      </c>
      <c r="P15" s="107">
        <f>+O15*(1+'Assumptions and Sensis'!$O$98)</f>
        <v>1.3439163793441222</v>
      </c>
      <c r="Q15" s="107">
        <f>+P15*(1+'Assumptions and Sensis'!$O$98)</f>
        <v>1.3842338707244459</v>
      </c>
      <c r="R15" s="107">
        <f>+Q15*(1+'Assumptions and Sensis'!$O$98)</f>
        <v>1.4257608868461793</v>
      </c>
      <c r="S15" s="107">
        <f>+R15*(1+'Assumptions and Sensis'!$O$98)</f>
        <v>1.4685337134515648</v>
      </c>
      <c r="T15" s="107">
        <f>+S15*(1+'Assumptions and Sensis'!$O$98)</f>
        <v>1.5125897248551119</v>
      </c>
      <c r="U15" s="107">
        <f>+T15*(1+'Assumptions and Sensis'!$O$98)</f>
        <v>1.5579674166007653</v>
      </c>
      <c r="V15" s="107">
        <f>+U15*(1+'Assumptions and Sensis'!$O$98)</f>
        <v>1.6047064390987884</v>
      </c>
      <c r="W15" s="107">
        <f>+V15*(1+'Assumptions and Sensis'!$O$98)</f>
        <v>1.652847632271752</v>
      </c>
      <c r="X15" s="107">
        <f>+W15*(1+'Assumptions and Sensis'!$O$98)</f>
        <v>1.7024330612399046</v>
      </c>
      <c r="Y15" s="107">
        <f>+X15*(1+'Assumptions and Sensis'!$O$98)</f>
        <v>1.7535060530771018</v>
      </c>
      <c r="Z15" s="107">
        <f>+Y15*(1+'Assumptions and Sensis'!$O$98)</f>
        <v>1.806111234669415</v>
      </c>
    </row>
    <row r="16" spans="1:26" x14ac:dyDescent="0.2">
      <c r="B16" s="32"/>
      <c r="C16" s="32"/>
      <c r="D16" s="39"/>
      <c r="E16" s="39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2:26" x14ac:dyDescent="0.2">
      <c r="B17" s="32" t="s">
        <v>243</v>
      </c>
      <c r="C17" s="32"/>
      <c r="D17" s="39"/>
      <c r="E17" s="39"/>
      <c r="F17" s="33">
        <f>+F12*'Assumptions and Sensis'!$G$75*F14</f>
        <v>0</v>
      </c>
      <c r="G17" s="33">
        <f>+G12*'Assumptions and Sensis'!$G$75*G14</f>
        <v>0</v>
      </c>
      <c r="H17" s="33">
        <f>+H12*'Assumptions and Sensis'!$G$75*H14</f>
        <v>0</v>
      </c>
      <c r="I17" s="33">
        <f>+I12*'Assumptions and Sensis'!$G$75*I14</f>
        <v>508704.70285694679</v>
      </c>
      <c r="J17" s="33">
        <f>+J12*'Assumptions and Sensis'!$G$75*J14</f>
        <v>1037757.5938281715</v>
      </c>
      <c r="K17" s="33">
        <f>+K12*'Assumptions and Sensis'!$G$75*K14</f>
        <v>1058512.7457047349</v>
      </c>
      <c r="L17" s="33">
        <f>+L12*'Assumptions and Sensis'!$G$75*L14</f>
        <v>1079683.0006188296</v>
      </c>
      <c r="M17" s="33">
        <f>+M12*'Assumptions and Sensis'!$G$75*M14</f>
        <v>1101276.6606312064</v>
      </c>
      <c r="N17" s="33">
        <f>+N12*'Assumptions and Sensis'!$G$75*N14</f>
        <v>1123302.1938438304</v>
      </c>
      <c r="O17" s="33">
        <f>+O12*'Assumptions and Sensis'!$G$75*O14</f>
        <v>1145768.2377207072</v>
      </c>
      <c r="P17" s="33">
        <f>+P12*'Assumptions and Sensis'!$G$75*P14</f>
        <v>1168683.6024751214</v>
      </c>
      <c r="Q17" s="33">
        <f>+Q12*'Assumptions and Sensis'!$G$75*Q14</f>
        <v>1192057.2745246238</v>
      </c>
      <c r="R17" s="33">
        <f>+R12*'Assumptions and Sensis'!$G$75*R14</f>
        <v>1215898.4200151162</v>
      </c>
      <c r="S17" s="33">
        <f>+S12*'Assumptions and Sensis'!$G$75*S14</f>
        <v>1240216.3884154183</v>
      </c>
      <c r="T17" s="33">
        <f>+T12*'Assumptions and Sensis'!$G$75*T14</f>
        <v>1265020.7161837269</v>
      </c>
      <c r="U17" s="33">
        <f>+U12*'Assumptions and Sensis'!$G$75*U14</f>
        <v>1290321.1305074014</v>
      </c>
      <c r="V17" s="33">
        <f>+V12*'Assumptions and Sensis'!$G$75*V14</f>
        <v>1316127.5531175495</v>
      </c>
      <c r="W17" s="33">
        <f>+W12*'Assumptions and Sensis'!$G$75*W14</f>
        <v>1342450.1041799006</v>
      </c>
      <c r="X17" s="33">
        <f>+X12*'Assumptions and Sensis'!$G$75*X14</f>
        <v>1369299.1062634988</v>
      </c>
      <c r="Y17" s="33">
        <f>+Y12*'Assumptions and Sensis'!$G$75*Y14</f>
        <v>1396685.0883887685</v>
      </c>
      <c r="Z17" s="33">
        <f>+Z12*'Assumptions and Sensis'!$G$75*Z14</f>
        <v>1424618.7901565442</v>
      </c>
    </row>
    <row r="18" spans="2:26" x14ac:dyDescent="0.2">
      <c r="B18" s="32" t="s">
        <v>244</v>
      </c>
      <c r="C18" s="32"/>
      <c r="D18" s="39"/>
      <c r="E18" s="39"/>
      <c r="F18" s="41">
        <f>-F17*'Assumptions and Sensis'!$O$75</f>
        <v>0</v>
      </c>
      <c r="G18" s="41">
        <f>-G17*'Assumptions and Sensis'!$O$75</f>
        <v>0</v>
      </c>
      <c r="H18" s="41">
        <f>-H17*'Assumptions and Sensis'!$O$75</f>
        <v>0</v>
      </c>
      <c r="I18" s="41">
        <f>-I17*'Assumptions and Sensis'!$O$75</f>
        <v>-15261.141085708403</v>
      </c>
      <c r="J18" s="41">
        <f>-J17*'Assumptions and Sensis'!$O$75</f>
        <v>-31132.727814845144</v>
      </c>
      <c r="K18" s="41">
        <f>-K17*'Assumptions and Sensis'!$O$75</f>
        <v>-31755.382371142048</v>
      </c>
      <c r="L18" s="41">
        <f>-L17*'Assumptions and Sensis'!$O$75</f>
        <v>-32390.490018564888</v>
      </c>
      <c r="M18" s="41">
        <f>-M17*'Assumptions and Sensis'!$O$75</f>
        <v>-33038.29981893619</v>
      </c>
      <c r="N18" s="41">
        <f>-N17*'Assumptions and Sensis'!$O$75</f>
        <v>-33699.065815314912</v>
      </c>
      <c r="O18" s="41">
        <f>-O17*'Assumptions and Sensis'!$O$75</f>
        <v>-34373.047131621213</v>
      </c>
      <c r="P18" s="41">
        <f>-P17*'Assumptions and Sensis'!$O$75</f>
        <v>-35060.508074253637</v>
      </c>
      <c r="Q18" s="41">
        <f>-Q17*'Assumptions and Sensis'!$O$75</f>
        <v>-35761.718235738714</v>
      </c>
      <c r="R18" s="41">
        <f>-R17*'Assumptions and Sensis'!$O$75</f>
        <v>-36476.952600453486</v>
      </c>
      <c r="S18" s="41">
        <f>-S17*'Assumptions and Sensis'!$O$75</f>
        <v>-37206.491652462551</v>
      </c>
      <c r="T18" s="41">
        <f>-T17*'Assumptions and Sensis'!$O$75</f>
        <v>-37950.621485511809</v>
      </c>
      <c r="U18" s="41">
        <f>-U17*'Assumptions and Sensis'!$O$75</f>
        <v>-38709.633915222039</v>
      </c>
      <c r="V18" s="41">
        <f>-V17*'Assumptions and Sensis'!$O$75</f>
        <v>-39483.826593526486</v>
      </c>
      <c r="W18" s="41">
        <f>-W17*'Assumptions and Sensis'!$O$75</f>
        <v>-40273.503125397016</v>
      </c>
      <c r="X18" s="41">
        <f>-X17*'Assumptions and Sensis'!$O$75</f>
        <v>-41078.973187904965</v>
      </c>
      <c r="Y18" s="41">
        <f>-Y17*'Assumptions and Sensis'!$O$75</f>
        <v>-41900.552651663056</v>
      </c>
      <c r="Z18" s="41">
        <f>-Z17*'Assumptions and Sensis'!$O$75</f>
        <v>-42738.563704696324</v>
      </c>
    </row>
    <row r="19" spans="2:26" x14ac:dyDescent="0.2">
      <c r="B19" s="32" t="s">
        <v>379</v>
      </c>
      <c r="C19" s="32"/>
      <c r="D19" s="39"/>
      <c r="E19" s="39"/>
      <c r="F19" s="150">
        <f>+F11*'Assumptions and Sensis'!$G$116*(1-'Assumptions and Sensis'!$O$75)*12</f>
        <v>0</v>
      </c>
      <c r="G19" s="150">
        <f>+G11*'Assumptions and Sensis'!$G$116*(1-'Assumptions and Sensis'!$O$75)*12</f>
        <v>0</v>
      </c>
      <c r="H19" s="150">
        <f>+H11*'Assumptions and Sensis'!$G$116*(1-'Assumptions and Sensis'!$O$75)*12</f>
        <v>0</v>
      </c>
      <c r="I19" s="150">
        <f>+I11*'Assumptions and Sensis'!$G$116*(1-'Assumptions and Sensis'!$O$75)*12</f>
        <v>3023.7774841909095</v>
      </c>
      <c r="J19" s="150">
        <f>+J11*'Assumptions and Sensis'!$G$116*(1-'Assumptions and Sensis'!$O$75)*12</f>
        <v>6047.554968381819</v>
      </c>
      <c r="K19" s="150">
        <f>+K11*'Assumptions and Sensis'!$G$116*(1-'Assumptions and Sensis'!$O$75)*12</f>
        <v>6047.554968381819</v>
      </c>
      <c r="L19" s="150">
        <f>+L11*'Assumptions and Sensis'!$G$116*(1-'Assumptions and Sensis'!$O$75)*12</f>
        <v>6047.554968381819</v>
      </c>
      <c r="M19" s="150">
        <f>+M11*'Assumptions and Sensis'!$G$116*(1-'Assumptions and Sensis'!$O$75)*12</f>
        <v>6047.554968381819</v>
      </c>
      <c r="N19" s="150">
        <f>+N11*'Assumptions and Sensis'!$G$116*(1-'Assumptions and Sensis'!$O$75)*12</f>
        <v>6047.554968381819</v>
      </c>
      <c r="O19" s="150">
        <f>+O11*'Assumptions and Sensis'!$G$116*(1-'Assumptions and Sensis'!$O$75)*12</f>
        <v>6047.554968381819</v>
      </c>
      <c r="P19" s="150">
        <f>+P11*'Assumptions and Sensis'!$G$116*(1-'Assumptions and Sensis'!$O$75)*12</f>
        <v>6047.554968381819</v>
      </c>
      <c r="Q19" s="150">
        <f>+Q11*'Assumptions and Sensis'!$G$116*(1-'Assumptions and Sensis'!$O$75)*12</f>
        <v>6047.554968381819</v>
      </c>
      <c r="R19" s="150">
        <f>+R11*'Assumptions and Sensis'!$G$116*(1-'Assumptions and Sensis'!$O$75)*12</f>
        <v>6047.554968381819</v>
      </c>
      <c r="S19" s="150">
        <f>+S11*'Assumptions and Sensis'!$G$116*(1-'Assumptions and Sensis'!$O$75)*12</f>
        <v>6047.554968381819</v>
      </c>
      <c r="T19" s="150">
        <f>+T11*'Assumptions and Sensis'!$G$116*(1-'Assumptions and Sensis'!$O$75)*12</f>
        <v>6047.554968381819</v>
      </c>
      <c r="U19" s="150">
        <f>+U11*'Assumptions and Sensis'!$G$116*(1-'Assumptions and Sensis'!$O$75)*12</f>
        <v>6047.554968381819</v>
      </c>
      <c r="V19" s="150">
        <f>+V11*'Assumptions and Sensis'!$G$116*(1-'Assumptions and Sensis'!$O$75)*12</f>
        <v>6047.554968381819</v>
      </c>
      <c r="W19" s="150">
        <f>+W11*'Assumptions and Sensis'!$G$116*(1-'Assumptions and Sensis'!$O$75)*12</f>
        <v>6047.554968381819</v>
      </c>
      <c r="X19" s="150">
        <f>+X11*'Assumptions and Sensis'!$G$116*(1-'Assumptions and Sensis'!$O$75)*12</f>
        <v>6047.554968381819</v>
      </c>
      <c r="Y19" s="150">
        <f>+Y11*'Assumptions and Sensis'!$G$116*(1-'Assumptions and Sensis'!$O$75)*12</f>
        <v>6047.554968381819</v>
      </c>
      <c r="Z19" s="150">
        <f>+Z11*'Assumptions and Sensis'!$G$116*(1-'Assumptions and Sensis'!$O$75)*12</f>
        <v>6047.554968381819</v>
      </c>
    </row>
    <row r="20" spans="2:26" x14ac:dyDescent="0.2">
      <c r="B20" s="136" t="s">
        <v>253</v>
      </c>
      <c r="C20" s="136"/>
      <c r="D20" s="136"/>
      <c r="E20" s="136"/>
      <c r="F20" s="128">
        <f t="shared" ref="F20:Z20" si="24">+SUM(F17:F19)</f>
        <v>0</v>
      </c>
      <c r="G20" s="128">
        <f t="shared" si="24"/>
        <v>0</v>
      </c>
      <c r="H20" s="128">
        <f t="shared" si="24"/>
        <v>0</v>
      </c>
      <c r="I20" s="128">
        <f t="shared" si="24"/>
        <v>496467.33925542928</v>
      </c>
      <c r="J20" s="128">
        <f t="shared" si="24"/>
        <v>1012672.4209817081</v>
      </c>
      <c r="K20" s="128">
        <f t="shared" si="24"/>
        <v>1032804.9183019747</v>
      </c>
      <c r="L20" s="128">
        <f t="shared" si="24"/>
        <v>1053340.0655686466</v>
      </c>
      <c r="M20" s="128">
        <f t="shared" si="24"/>
        <v>1074285.9157806518</v>
      </c>
      <c r="N20" s="128">
        <f t="shared" si="24"/>
        <v>1095650.6829968973</v>
      </c>
      <c r="O20" s="128">
        <f t="shared" si="24"/>
        <v>1117442.7455574677</v>
      </c>
      <c r="P20" s="128">
        <f t="shared" si="24"/>
        <v>1139670.6493692496</v>
      </c>
      <c r="Q20" s="128">
        <f t="shared" si="24"/>
        <v>1162343.1112572667</v>
      </c>
      <c r="R20" s="128">
        <f t="shared" si="24"/>
        <v>1185469.0223830445</v>
      </c>
      <c r="S20" s="128">
        <f t="shared" si="24"/>
        <v>1209057.4517313375</v>
      </c>
      <c r="T20" s="128">
        <f t="shared" si="24"/>
        <v>1233117.6496665969</v>
      </c>
      <c r="U20" s="128">
        <f t="shared" si="24"/>
        <v>1257659.0515605612</v>
      </c>
      <c r="V20" s="128">
        <f t="shared" si="24"/>
        <v>1282691.2814924049</v>
      </c>
      <c r="W20" s="128">
        <f t="shared" si="24"/>
        <v>1308224.1560228853</v>
      </c>
      <c r="X20" s="128">
        <f t="shared" si="24"/>
        <v>1334267.6880439755</v>
      </c>
      <c r="Y20" s="128">
        <f t="shared" si="24"/>
        <v>1360832.0907054872</v>
      </c>
      <c r="Z20" s="128">
        <f t="shared" si="24"/>
        <v>1387927.7814202297</v>
      </c>
    </row>
    <row r="22" spans="2:26" x14ac:dyDescent="0.2">
      <c r="B22" s="32" t="s">
        <v>389</v>
      </c>
      <c r="F22" s="33">
        <f>+F11*'Assumptions and Sensis'!$O$117*F15</f>
        <v>0</v>
      </c>
      <c r="G22" s="33">
        <f>+G11*'Assumptions and Sensis'!$O$117*G15</f>
        <v>0</v>
      </c>
      <c r="H22" s="33">
        <f>+H11*'Assumptions and Sensis'!$O$117*H15</f>
        <v>0</v>
      </c>
      <c r="I22" s="33">
        <f>+I11*'Assumptions and Sensis'!$O$117*I15</f>
        <v>342583.82608634786</v>
      </c>
      <c r="J22" s="33">
        <f>+J11*'Assumptions and Sensis'!$O$117*J15</f>
        <v>705722.68173787661</v>
      </c>
      <c r="K22" s="33">
        <f>+K11*'Assumptions and Sensis'!$O$117*K15</f>
        <v>726894.36219001294</v>
      </c>
      <c r="L22" s="33">
        <f>+L11*'Assumptions and Sensis'!$O$117*L15</f>
        <v>748701.19305571332</v>
      </c>
      <c r="M22" s="33">
        <f>+M11*'Assumptions and Sensis'!$O$117*M15</f>
        <v>771162.2288473848</v>
      </c>
      <c r="N22" s="33">
        <f>+N11*'Assumptions and Sensis'!$O$117*N15</f>
        <v>794297.09571280633</v>
      </c>
      <c r="O22" s="33">
        <f>+O11*'Assumptions and Sensis'!$O$117*O15</f>
        <v>818126.00858419063</v>
      </c>
      <c r="P22" s="33">
        <f>+P11*'Assumptions and Sensis'!$O$117*P15</f>
        <v>842669.78884171625</v>
      </c>
      <c r="Q22" s="33">
        <f>+Q11*'Assumptions and Sensis'!$O$117*Q15</f>
        <v>867949.88250696776</v>
      </c>
      <c r="R22" s="33">
        <f>+R11*'Assumptions and Sensis'!$O$117*R15</f>
        <v>893988.37898217677</v>
      </c>
      <c r="S22" s="33">
        <f>+S11*'Assumptions and Sensis'!$O$117*S15</f>
        <v>920808.03035164217</v>
      </c>
      <c r="T22" s="33">
        <f>+T11*'Assumptions and Sensis'!$O$117*T15</f>
        <v>948432.27126219159</v>
      </c>
      <c r="U22" s="33">
        <f>+U11*'Assumptions and Sensis'!$O$117*U15</f>
        <v>976885.23940005735</v>
      </c>
      <c r="V22" s="33">
        <f>+V11*'Assumptions and Sensis'!$O$117*V15</f>
        <v>1006191.7965820591</v>
      </c>
      <c r="W22" s="33">
        <f>+W11*'Assumptions and Sensis'!$O$117*W15</f>
        <v>1036377.5504795209</v>
      </c>
      <c r="X22" s="33">
        <f>+X11*'Assumptions and Sensis'!$O$117*X15</f>
        <v>1067468.8769939065</v>
      </c>
      <c r="Y22" s="33">
        <f>+Y11*'Assumptions and Sensis'!$O$117*Y15</f>
        <v>1099492.9433037238</v>
      </c>
      <c r="Z22" s="33">
        <f>+Z11*'Assumptions and Sensis'!$O$117*Z15</f>
        <v>1132477.7316028357</v>
      </c>
    </row>
    <row r="23" spans="2:26" x14ac:dyDescent="0.2">
      <c r="B23" s="32" t="s">
        <v>325</v>
      </c>
      <c r="F23" s="150">
        <f ca="1">+IFERROR(INDEX('Taxes and TIF'!$AC$11:$AC$45,MATCH('Phase II Pro Forma'!F$7,'Taxes and TIF'!$R$11:$R$45,0)),0)*'Loan Sizing'!$K$17*F12</f>
        <v>0</v>
      </c>
      <c r="G23" s="150">
        <f ca="1">+IFERROR(INDEX('Taxes and TIF'!$AC$11:$AC$45,MATCH('Phase II Pro Forma'!G$7,'Taxes and TIF'!$R$11:$R$45,0)),0)*'Loan Sizing'!$K$17*G12</f>
        <v>0</v>
      </c>
      <c r="H23" s="150">
        <f ca="1">+IFERROR(INDEX('Taxes and TIF'!$AC$11:$AC$45,MATCH('Phase II Pro Forma'!H$7,'Taxes and TIF'!$R$11:$R$45,0)),0)*'Loan Sizing'!$K$17*H12</f>
        <v>0</v>
      </c>
      <c r="I23" s="150">
        <f ca="1">+IFERROR(INDEX('Taxes and TIF'!$AC$11:$AC$45,MATCH('Phase II Pro Forma'!I$7,'Taxes and TIF'!$R$11:$R$45,0)),0)*'Loan Sizing'!$K$17*I12</f>
        <v>39912.378647743913</v>
      </c>
      <c r="J23" s="150">
        <f ca="1">+IFERROR(INDEX('Taxes and TIF'!$AC$11:$AC$45,MATCH('Phase II Pro Forma'!J$7,'Taxes and TIF'!$R$11:$R$45,0)),0)*'Loan Sizing'!$K$17*J12</f>
        <v>81421.252441397563</v>
      </c>
      <c r="K23" s="150">
        <f ca="1">+IFERROR(INDEX('Taxes and TIF'!$AC$11:$AC$45,MATCH('Phase II Pro Forma'!K$7,'Taxes and TIF'!$R$11:$R$45,0)),0)*'Loan Sizing'!$K$17*K12</f>
        <v>81421.252441397563</v>
      </c>
      <c r="L23" s="150">
        <f ca="1">+IFERROR(INDEX('Taxes and TIF'!$AC$11:$AC$45,MATCH('Phase II Pro Forma'!L$7,'Taxes and TIF'!$R$11:$R$45,0)),0)*'Loan Sizing'!$K$17*L12</f>
        <v>81421.252441397563</v>
      </c>
      <c r="M23" s="150">
        <f ca="1">+IFERROR(INDEX('Taxes and TIF'!$AC$11:$AC$45,MATCH('Phase II Pro Forma'!M$7,'Taxes and TIF'!$R$11:$R$45,0)),0)*'Loan Sizing'!$K$17*M12</f>
        <v>83049.677490225527</v>
      </c>
      <c r="N23" s="150">
        <f ca="1">+IFERROR(INDEX('Taxes and TIF'!$AC$11:$AC$45,MATCH('Phase II Pro Forma'!N$7,'Taxes and TIF'!$R$11:$R$45,0)),0)*'Loan Sizing'!$K$17*N12</f>
        <v>83049.677490225527</v>
      </c>
      <c r="O23" s="150">
        <f ca="1">+IFERROR(INDEX('Taxes and TIF'!$AC$11:$AC$45,MATCH('Phase II Pro Forma'!O$7,'Taxes and TIF'!$R$11:$R$45,0)),0)*'Loan Sizing'!$K$17*O12</f>
        <v>83049.677490225527</v>
      </c>
      <c r="P23" s="150">
        <f ca="1">+IFERROR(INDEX('Taxes and TIF'!$AC$11:$AC$45,MATCH('Phase II Pro Forma'!P$7,'Taxes and TIF'!$R$11:$R$45,0)),0)*'Loan Sizing'!$K$17*P12</f>
        <v>84710.671040030036</v>
      </c>
      <c r="Q23" s="150">
        <f ca="1">+IFERROR(INDEX('Taxes and TIF'!$AC$11:$AC$45,MATCH('Phase II Pro Forma'!Q$7,'Taxes and TIF'!$R$11:$R$45,0)),0)*'Loan Sizing'!$K$17*Q12</f>
        <v>84710.671040030036</v>
      </c>
      <c r="R23" s="150">
        <f ca="1">+IFERROR(INDEX('Taxes and TIF'!$AC$11:$AC$45,MATCH('Phase II Pro Forma'!R$7,'Taxes and TIF'!$R$11:$R$45,0)),0)*'Loan Sizing'!$K$17*R12</f>
        <v>84710.671040030036</v>
      </c>
      <c r="S23" s="150">
        <f ca="1">+IFERROR(INDEX('Taxes and TIF'!$AC$11:$AC$45,MATCH('Phase II Pro Forma'!S$7,'Taxes and TIF'!$R$11:$R$45,0)),0)*'Loan Sizing'!$K$17*S12</f>
        <v>86404.884460830639</v>
      </c>
      <c r="T23" s="150">
        <f ca="1">+IFERROR(INDEX('Taxes and TIF'!$AC$11:$AC$45,MATCH('Phase II Pro Forma'!T$7,'Taxes and TIF'!$R$11:$R$45,0)),0)*'Loan Sizing'!$K$17*T12</f>
        <v>86404.884460830639</v>
      </c>
      <c r="U23" s="150">
        <f ca="1">+IFERROR(INDEX('Taxes and TIF'!$AC$11:$AC$45,MATCH('Phase II Pro Forma'!U$7,'Taxes and TIF'!$R$11:$R$45,0)),0)*'Loan Sizing'!$K$17*U12</f>
        <v>86404.884460830639</v>
      </c>
      <c r="V23" s="150">
        <f ca="1">+IFERROR(INDEX('Taxes and TIF'!$AC$11:$AC$45,MATCH('Phase II Pro Forma'!V$7,'Taxes and TIF'!$R$11:$R$45,0)),0)*'Loan Sizing'!$K$17*V12</f>
        <v>88132.982150047261</v>
      </c>
      <c r="W23" s="150">
        <f ca="1">+IFERROR(INDEX('Taxes and TIF'!$AC$11:$AC$45,MATCH('Phase II Pro Forma'!W$7,'Taxes and TIF'!$R$11:$R$45,0)),0)*'Loan Sizing'!$K$17*W12</f>
        <v>88132.982150047261</v>
      </c>
      <c r="X23" s="150">
        <f ca="1">+IFERROR(INDEX('Taxes and TIF'!$AC$11:$AC$45,MATCH('Phase II Pro Forma'!X$7,'Taxes and TIF'!$R$11:$R$45,0)),0)*'Loan Sizing'!$K$17*X12</f>
        <v>88132.982150047261</v>
      </c>
      <c r="Y23" s="150">
        <f ca="1">+IFERROR(INDEX('Taxes and TIF'!$AC$11:$AC$45,MATCH('Phase II Pro Forma'!Y$7,'Taxes and TIF'!$R$11:$R$45,0)),0)*'Loan Sizing'!$K$17*Y12</f>
        <v>89895.641793048213</v>
      </c>
      <c r="Z23" s="150">
        <f ca="1">+IFERROR(INDEX('Taxes and TIF'!$AC$11:$AC$45,MATCH('Phase II Pro Forma'!Z$7,'Taxes and TIF'!$R$11:$R$45,0)),0)*'Loan Sizing'!$K$17*Z12</f>
        <v>89895.641793048213</v>
      </c>
    </row>
    <row r="24" spans="2:26" x14ac:dyDescent="0.2">
      <c r="B24" s="136" t="s">
        <v>249</v>
      </c>
      <c r="C24" s="136"/>
      <c r="D24" s="136"/>
      <c r="E24" s="136"/>
      <c r="F24" s="128">
        <f t="shared" ref="F24:Z24" ca="1" si="25">+SUM(F22:F23)</f>
        <v>0</v>
      </c>
      <c r="G24" s="128">
        <f t="shared" ca="1" si="25"/>
        <v>0</v>
      </c>
      <c r="H24" s="128">
        <f t="shared" ca="1" si="25"/>
        <v>0</v>
      </c>
      <c r="I24" s="128">
        <f t="shared" ca="1" si="25"/>
        <v>382496.20473409176</v>
      </c>
      <c r="J24" s="128">
        <f t="shared" ca="1" si="25"/>
        <v>787143.93417927413</v>
      </c>
      <c r="K24" s="128">
        <f t="shared" ca="1" si="25"/>
        <v>808315.61463141046</v>
      </c>
      <c r="L24" s="128">
        <f t="shared" ca="1" si="25"/>
        <v>830122.44549711084</v>
      </c>
      <c r="M24" s="128">
        <f t="shared" ca="1" si="25"/>
        <v>854211.90633761033</v>
      </c>
      <c r="N24" s="128">
        <f t="shared" ca="1" si="25"/>
        <v>877346.77320303186</v>
      </c>
      <c r="O24" s="128">
        <f t="shared" ca="1" si="25"/>
        <v>901175.68607441615</v>
      </c>
      <c r="P24" s="128">
        <f t="shared" ca="1" si="25"/>
        <v>927380.45988174633</v>
      </c>
      <c r="Q24" s="128">
        <f t="shared" ca="1" si="25"/>
        <v>952660.55354699783</v>
      </c>
      <c r="R24" s="128">
        <f t="shared" ca="1" si="25"/>
        <v>978699.05002220685</v>
      </c>
      <c r="S24" s="128">
        <f t="shared" ca="1" si="25"/>
        <v>1007212.9148124728</v>
      </c>
      <c r="T24" s="128">
        <f t="shared" ca="1" si="25"/>
        <v>1034837.1557230222</v>
      </c>
      <c r="U24" s="128">
        <f t="shared" ca="1" si="25"/>
        <v>1063290.123860888</v>
      </c>
      <c r="V24" s="128">
        <f t="shared" ca="1" si="25"/>
        <v>1094324.7787321063</v>
      </c>
      <c r="W24" s="128">
        <f t="shared" ca="1" si="25"/>
        <v>1124510.5326295681</v>
      </c>
      <c r="X24" s="128">
        <f t="shared" ca="1" si="25"/>
        <v>1155601.8591439538</v>
      </c>
      <c r="Y24" s="128">
        <f t="shared" ca="1" si="25"/>
        <v>1189388.5850967721</v>
      </c>
      <c r="Z24" s="128">
        <f t="shared" ca="1" si="25"/>
        <v>1222373.3733958839</v>
      </c>
    </row>
    <row r="25" spans="2:26" x14ac:dyDescent="0.2">
      <c r="B25" s="32"/>
    </row>
    <row r="26" spans="2:26" x14ac:dyDescent="0.2">
      <c r="B26" s="137" t="s">
        <v>248</v>
      </c>
      <c r="C26" s="137"/>
      <c r="D26" s="137"/>
      <c r="E26" s="137"/>
      <c r="F26" s="138">
        <f t="shared" ref="F26:Z26" ca="1" si="26">+F20-F24</f>
        <v>0</v>
      </c>
      <c r="G26" s="138">
        <f t="shared" ca="1" si="26"/>
        <v>0</v>
      </c>
      <c r="H26" s="138">
        <f t="shared" ca="1" si="26"/>
        <v>0</v>
      </c>
      <c r="I26" s="138">
        <f t="shared" ca="1" si="26"/>
        <v>113971.13452133752</v>
      </c>
      <c r="J26" s="138">
        <f t="shared" ca="1" si="26"/>
        <v>225528.48680243397</v>
      </c>
      <c r="K26" s="138">
        <f t="shared" ca="1" si="26"/>
        <v>224489.3036705642</v>
      </c>
      <c r="L26" s="138">
        <f t="shared" ca="1" si="26"/>
        <v>223217.62007153581</v>
      </c>
      <c r="M26" s="138">
        <f t="shared" ca="1" si="26"/>
        <v>220074.00944304152</v>
      </c>
      <c r="N26" s="138">
        <f t="shared" ca="1" si="26"/>
        <v>218303.9097938654</v>
      </c>
      <c r="O26" s="138">
        <f t="shared" ca="1" si="26"/>
        <v>216267.05948305153</v>
      </c>
      <c r="P26" s="138">
        <f t="shared" ca="1" si="26"/>
        <v>212290.18948750326</v>
      </c>
      <c r="Q26" s="138">
        <f t="shared" ca="1" si="26"/>
        <v>209682.55771026888</v>
      </c>
      <c r="R26" s="138">
        <f t="shared" ca="1" si="26"/>
        <v>206769.97236083762</v>
      </c>
      <c r="S26" s="138">
        <f t="shared" ca="1" si="26"/>
        <v>201844.5369188647</v>
      </c>
      <c r="T26" s="138">
        <f t="shared" ca="1" si="26"/>
        <v>198280.49394357472</v>
      </c>
      <c r="U26" s="138">
        <f t="shared" ca="1" si="26"/>
        <v>194368.92769967322</v>
      </c>
      <c r="V26" s="138">
        <f t="shared" ca="1" si="26"/>
        <v>188366.50276029855</v>
      </c>
      <c r="W26" s="138">
        <f t="shared" ca="1" si="26"/>
        <v>183713.62339331722</v>
      </c>
      <c r="X26" s="138">
        <f t="shared" ca="1" si="26"/>
        <v>178665.82890002173</v>
      </c>
      <c r="Y26" s="138">
        <f t="shared" ca="1" si="26"/>
        <v>171443.50560871512</v>
      </c>
      <c r="Z26" s="138">
        <f t="shared" ca="1" si="26"/>
        <v>165554.40802434576</v>
      </c>
    </row>
    <row r="27" spans="2:26" x14ac:dyDescent="0.2">
      <c r="B27" s="142" t="s">
        <v>254</v>
      </c>
      <c r="C27" s="140"/>
      <c r="D27" s="140"/>
      <c r="E27" s="140"/>
      <c r="F27" s="143" t="str">
        <f t="shared" ref="F27:Z27" ca="1" si="27">+IFERROR(F26/F20,"")</f>
        <v/>
      </c>
      <c r="G27" s="143" t="str">
        <f t="shared" ca="1" si="27"/>
        <v/>
      </c>
      <c r="H27" s="143" t="str">
        <f t="shared" ca="1" si="27"/>
        <v/>
      </c>
      <c r="I27" s="144">
        <f t="shared" ca="1" si="27"/>
        <v>0.22956421401710797</v>
      </c>
      <c r="J27" s="144">
        <f t="shared" ca="1" si="27"/>
        <v>0.22270625932895599</v>
      </c>
      <c r="K27" s="144">
        <f t="shared" ca="1" si="27"/>
        <v>0.21735886389817455</v>
      </c>
      <c r="L27" s="144">
        <f t="shared" ca="1" si="27"/>
        <v>0.2119141076733197</v>
      </c>
      <c r="M27" s="144">
        <f t="shared" ca="1" si="27"/>
        <v>0.20485608738817007</v>
      </c>
      <c r="N27" s="144">
        <f t="shared" ca="1" si="27"/>
        <v>0.19924590307993592</v>
      </c>
      <c r="O27" s="144">
        <f t="shared" ca="1" si="27"/>
        <v>0.19353748578425881</v>
      </c>
      <c r="P27" s="144">
        <f t="shared" ca="1" si="27"/>
        <v>0.18627327956984346</v>
      </c>
      <c r="Q27" s="144">
        <f t="shared" ca="1" si="27"/>
        <v>0.18039643860706711</v>
      </c>
      <c r="R27" s="144">
        <f t="shared" ca="1" si="27"/>
        <v>0.17442039265200374</v>
      </c>
      <c r="S27" s="144">
        <f t="shared" ca="1" si="27"/>
        <v>0.16694371026772037</v>
      </c>
      <c r="T27" s="144">
        <f t="shared" ca="1" si="27"/>
        <v>0.16079608786492078</v>
      </c>
      <c r="U27" s="144">
        <f t="shared" ca="1" si="27"/>
        <v>0.15454818812657636</v>
      </c>
      <c r="V27" s="144">
        <f t="shared" ca="1" si="27"/>
        <v>0.1468525634173915</v>
      </c>
      <c r="W27" s="144">
        <f t="shared" ca="1" si="27"/>
        <v>0.14042977462809014</v>
      </c>
      <c r="X27" s="144">
        <f t="shared" ca="1" si="27"/>
        <v>0.13390553522430287</v>
      </c>
      <c r="Y27" s="144">
        <f t="shared" ca="1" si="27"/>
        <v>0.12598432001984522</v>
      </c>
      <c r="Z27" s="144">
        <f t="shared" ca="1" si="27"/>
        <v>0.11928171641246227</v>
      </c>
    </row>
    <row r="28" spans="2:26" x14ac:dyDescent="0.2">
      <c r="B28" s="142" t="s">
        <v>188</v>
      </c>
      <c r="C28" s="140"/>
      <c r="D28" s="140"/>
      <c r="E28" s="140"/>
      <c r="F28" s="141">
        <f ca="1">+F26/'Assumptions and Sensis'!$O$153</f>
        <v>0</v>
      </c>
      <c r="G28" s="141">
        <f ca="1">+G26/'Assumptions and Sensis'!$O$153</f>
        <v>0</v>
      </c>
      <c r="H28" s="141">
        <f ca="1">+H26/'Assumptions and Sensis'!$O$153</f>
        <v>0</v>
      </c>
      <c r="I28" s="141">
        <f ca="1">+I26/'Assumptions and Sensis'!$O$153</f>
        <v>1982106.6873276089</v>
      </c>
      <c r="J28" s="141">
        <f ca="1">+J26/'Assumptions and Sensis'!$O$153</f>
        <v>3922234.5530858082</v>
      </c>
      <c r="K28" s="141">
        <f ca="1">+K26/'Assumptions and Sensis'!$O$153</f>
        <v>3904161.8029663339</v>
      </c>
      <c r="L28" s="141">
        <f ca="1">+L26/'Assumptions and Sensis'!$O$153</f>
        <v>3882045.5664614923</v>
      </c>
      <c r="M28" s="141">
        <f ca="1">+M26/'Assumptions and Sensis'!$O$153</f>
        <v>3827374.0772702871</v>
      </c>
      <c r="N28" s="141">
        <f ca="1">+N26/'Assumptions and Sensis'!$O$153</f>
        <v>3796589.7355454853</v>
      </c>
      <c r="O28" s="141">
        <f ca="1">+O26/'Assumptions and Sensis'!$O$153</f>
        <v>3761166.251879157</v>
      </c>
      <c r="P28" s="141">
        <f ca="1">+P26/'Assumptions and Sensis'!$O$153</f>
        <v>3692003.2954348391</v>
      </c>
      <c r="Q28" s="141">
        <f ca="1">+Q26/'Assumptions and Sensis'!$O$153</f>
        <v>3646653.1775698937</v>
      </c>
      <c r="R28" s="141">
        <f ca="1">+R26/'Assumptions and Sensis'!$O$153</f>
        <v>3595999.519318915</v>
      </c>
      <c r="S28" s="141">
        <f ca="1">+S26/'Assumptions and Sensis'!$O$153</f>
        <v>3510339.7725019949</v>
      </c>
      <c r="T28" s="141">
        <f ca="1">+T26/'Assumptions and Sensis'!$O$153</f>
        <v>3448356.4164099949</v>
      </c>
      <c r="U28" s="141">
        <f ca="1">+U26/'Assumptions and Sensis'!$O$153</f>
        <v>3380329.1773856212</v>
      </c>
      <c r="V28" s="141">
        <f ca="1">+V26/'Assumptions and Sensis'!$O$153</f>
        <v>3275939.1784399748</v>
      </c>
      <c r="W28" s="141">
        <f ca="1">+W26/'Assumptions and Sensis'!$O$153</f>
        <v>3195019.537275082</v>
      </c>
      <c r="X28" s="141">
        <f ca="1">+X26/'Assumptions and Sensis'!$O$153</f>
        <v>3107231.8069568994</v>
      </c>
      <c r="Y28" s="141">
        <f ca="1">+Y26/'Assumptions and Sensis'!$O$153</f>
        <v>2981626.1844993932</v>
      </c>
      <c r="Z28" s="141">
        <f ca="1">+Z26/'Assumptions and Sensis'!$O$153</f>
        <v>2879207.0960755781</v>
      </c>
    </row>
    <row r="30" spans="2:26" x14ac:dyDescent="0.2">
      <c r="B30" s="147" t="s">
        <v>930</v>
      </c>
      <c r="C30" s="148"/>
      <c r="D30" s="148"/>
      <c r="E30" s="148"/>
      <c r="F30" s="149">
        <f>+'Assumptions and Sensis'!$G$43</f>
        <v>44926</v>
      </c>
      <c r="G30" s="149">
        <f>+EOMONTH(F30,12)</f>
        <v>45291</v>
      </c>
      <c r="H30" s="149">
        <f t="shared" ref="H30:Z30" si="28">+EOMONTH(G30,12)</f>
        <v>45657</v>
      </c>
      <c r="I30" s="149">
        <f t="shared" si="28"/>
        <v>46022</v>
      </c>
      <c r="J30" s="149">
        <f t="shared" si="28"/>
        <v>46387</v>
      </c>
      <c r="K30" s="149">
        <f t="shared" si="28"/>
        <v>46752</v>
      </c>
      <c r="L30" s="149">
        <f t="shared" si="28"/>
        <v>47118</v>
      </c>
      <c r="M30" s="149">
        <f t="shared" si="28"/>
        <v>47483</v>
      </c>
      <c r="N30" s="149">
        <f t="shared" si="28"/>
        <v>47848</v>
      </c>
      <c r="O30" s="149">
        <f t="shared" si="28"/>
        <v>48213</v>
      </c>
      <c r="P30" s="149">
        <f t="shared" si="28"/>
        <v>48579</v>
      </c>
      <c r="Q30" s="149">
        <f t="shared" si="28"/>
        <v>48944</v>
      </c>
      <c r="R30" s="149">
        <f t="shared" si="28"/>
        <v>49309</v>
      </c>
      <c r="S30" s="149">
        <f t="shared" si="28"/>
        <v>49674</v>
      </c>
      <c r="T30" s="149">
        <f t="shared" si="28"/>
        <v>50040</v>
      </c>
      <c r="U30" s="149">
        <f t="shared" si="28"/>
        <v>50405</v>
      </c>
      <c r="V30" s="149">
        <f t="shared" si="28"/>
        <v>50770</v>
      </c>
      <c r="W30" s="149">
        <f t="shared" si="28"/>
        <v>51135</v>
      </c>
      <c r="X30" s="149">
        <f t="shared" si="28"/>
        <v>51501</v>
      </c>
      <c r="Y30" s="149">
        <f t="shared" si="28"/>
        <v>51866</v>
      </c>
      <c r="Z30" s="149">
        <f t="shared" si="28"/>
        <v>52231</v>
      </c>
    </row>
    <row r="31" spans="2:26" x14ac:dyDescent="0.2">
      <c r="B31" s="32" t="s">
        <v>756</v>
      </c>
      <c r="C31" s="32"/>
      <c r="D31" s="39"/>
      <c r="E31" s="39"/>
      <c r="F31" s="41">
        <f>+IF(AND(F30&gt;='Assumptions and Sensis'!$G$47,F30&lt;'Assumptions and Sensis'!$G$49),'Assumptions and Sensis'!$G$110/ROUNDUP(('Assumptions and Sensis'!$G$48/12),0),0)</f>
        <v>0</v>
      </c>
      <c r="G31" s="41">
        <f>+IF(AND(G30&gt;='Assumptions and Sensis'!$G$47,G30&lt;'Assumptions and Sensis'!$G$49),'Assumptions and Sensis'!$G$110/ROUNDUP(('Assumptions and Sensis'!$G$48/12),0),0)</f>
        <v>0</v>
      </c>
      <c r="H31" s="41">
        <f>+IF(AND(H30&gt;='Assumptions and Sensis'!$G$47,H30&lt;'Assumptions and Sensis'!$G$49),'Assumptions and Sensis'!$G$110/ROUNDUP(('Assumptions and Sensis'!$G$48/12),0),0)</f>
        <v>0</v>
      </c>
      <c r="I31" s="41">
        <f>+IF(AND(I30&gt;='Assumptions and Sensis'!$G$47,I30&lt;'Assumptions and Sensis'!$G$49),'Assumptions and Sensis'!$G$110/ROUNDUP(('Assumptions and Sensis'!$G$48/12),0),0)</f>
        <v>151894.84000000003</v>
      </c>
      <c r="J31" s="41">
        <f>+IF(AND(J30&gt;='Assumptions and Sensis'!$G$47,J30&lt;'Assumptions and Sensis'!$G$49),'Assumptions and Sensis'!$G$110/ROUNDUP(('Assumptions and Sensis'!$G$48/12),0),0)</f>
        <v>151894.84000000003</v>
      </c>
      <c r="K31" s="41">
        <f>+IF(AND(K30&gt;='Assumptions and Sensis'!$G$47,K30&lt;'Assumptions and Sensis'!$G$49),'Assumptions and Sensis'!$G$110/ROUNDUP(('Assumptions and Sensis'!$G$48/12),0),0)</f>
        <v>0</v>
      </c>
      <c r="L31" s="41">
        <f>+IF(AND(L30&gt;='Assumptions and Sensis'!$G$47,L30&lt;'Assumptions and Sensis'!$G$49),'Assumptions and Sensis'!$G$110/ROUNDUP(('Assumptions and Sensis'!$G$48/12),0),0)</f>
        <v>0</v>
      </c>
      <c r="M31" s="41">
        <f>+IF(AND(M30&gt;='Assumptions and Sensis'!$G$47,M30&lt;'Assumptions and Sensis'!$G$49),'Assumptions and Sensis'!$G$110/ROUNDUP(('Assumptions and Sensis'!$G$48/12),0),0)</f>
        <v>0</v>
      </c>
      <c r="N31" s="41">
        <f>+IF(AND(N30&gt;='Assumptions and Sensis'!$G$47,N30&lt;'Assumptions and Sensis'!$G$49),'Assumptions and Sensis'!$G$110/ROUNDUP(('Assumptions and Sensis'!$G$48/12),0),0)</f>
        <v>0</v>
      </c>
      <c r="O31" s="41">
        <f>+IF(AND(O30&gt;='Assumptions and Sensis'!$G$47,O30&lt;'Assumptions and Sensis'!$G$49),'Assumptions and Sensis'!$G$110/ROUNDUP(('Assumptions and Sensis'!$G$48/12),0),0)</f>
        <v>0</v>
      </c>
      <c r="P31" s="41">
        <f>+IF(AND(P30&gt;='Assumptions and Sensis'!$G$47,P30&lt;'Assumptions and Sensis'!$G$49),'Assumptions and Sensis'!$G$110/ROUNDUP(('Assumptions and Sensis'!$G$48/12),0),0)</f>
        <v>0</v>
      </c>
      <c r="Q31" s="41">
        <f>+IF(AND(Q30&gt;='Assumptions and Sensis'!$G$47,Q30&lt;'Assumptions and Sensis'!$G$49),'Assumptions and Sensis'!$G$110/ROUNDUP(('Assumptions and Sensis'!$G$48/12),0),0)</f>
        <v>0</v>
      </c>
      <c r="R31" s="41">
        <f>+IF(AND(R30&gt;='Assumptions and Sensis'!$G$47,R30&lt;'Assumptions and Sensis'!$G$49),'Assumptions and Sensis'!$G$110/ROUNDUP(('Assumptions and Sensis'!$G$48/12),0),0)</f>
        <v>0</v>
      </c>
      <c r="S31" s="41">
        <f>+IF(AND(S30&gt;='Assumptions and Sensis'!$G$47,S30&lt;'Assumptions and Sensis'!$G$49),'Assumptions and Sensis'!$G$110/ROUNDUP(('Assumptions and Sensis'!$G$48/12),0),0)</f>
        <v>0</v>
      </c>
      <c r="T31" s="41">
        <f>+IF(AND(T30&gt;='Assumptions and Sensis'!$G$47,T30&lt;'Assumptions and Sensis'!$G$49),'Assumptions and Sensis'!$G$110/ROUNDUP(('Assumptions and Sensis'!$G$48/12),0),0)</f>
        <v>0</v>
      </c>
      <c r="U31" s="41">
        <f>+IF(AND(U30&gt;='Assumptions and Sensis'!$G$47,U30&lt;'Assumptions and Sensis'!$G$49),'Assumptions and Sensis'!$G$110/ROUNDUP(('Assumptions and Sensis'!$G$48/12),0),0)</f>
        <v>0</v>
      </c>
      <c r="V31" s="41">
        <f>+IF(AND(V30&gt;='Assumptions and Sensis'!$G$47,V30&lt;'Assumptions and Sensis'!$G$49),'Assumptions and Sensis'!$G$110/ROUNDUP(('Assumptions and Sensis'!$G$48/12),0),0)</f>
        <v>0</v>
      </c>
      <c r="W31" s="41">
        <f>+IF(AND(W30&gt;='Assumptions and Sensis'!$G$47,W30&lt;'Assumptions and Sensis'!$G$49),'Assumptions and Sensis'!$G$110/ROUNDUP(('Assumptions and Sensis'!$G$48/12),0),0)</f>
        <v>0</v>
      </c>
      <c r="X31" s="41">
        <f>+IF(AND(X30&gt;='Assumptions and Sensis'!$G$47,X30&lt;'Assumptions and Sensis'!$G$49),'Assumptions and Sensis'!$G$110/ROUNDUP(('Assumptions and Sensis'!$G$48/12),0),0)</f>
        <v>0</v>
      </c>
      <c r="Y31" s="41">
        <f>+IF(AND(Y30&gt;='Assumptions and Sensis'!$G$47,Y30&lt;'Assumptions and Sensis'!$G$49),'Assumptions and Sensis'!$G$110/ROUNDUP(('Assumptions and Sensis'!$G$48/12),0),0)</f>
        <v>0</v>
      </c>
      <c r="Z31" s="41">
        <f>+IF(AND(Z30&gt;='Assumptions and Sensis'!$G$47,Z30&lt;'Assumptions and Sensis'!$G$49),'Assumptions and Sensis'!$G$110/ROUNDUP(('Assumptions and Sensis'!$G$48/12),0),0)</f>
        <v>0</v>
      </c>
    </row>
    <row r="32" spans="2:26" x14ac:dyDescent="0.2">
      <c r="B32" s="32" t="s">
        <v>246</v>
      </c>
      <c r="C32" s="32"/>
      <c r="D32" s="41">
        <v>0</v>
      </c>
      <c r="E32" s="41"/>
      <c r="F32" s="41">
        <f>+D32+F31</f>
        <v>0</v>
      </c>
      <c r="G32" s="41">
        <f t="shared" ref="G32:Z32" si="29">+F32+G31</f>
        <v>0</v>
      </c>
      <c r="H32" s="41">
        <f t="shared" si="29"/>
        <v>0</v>
      </c>
      <c r="I32" s="41">
        <f t="shared" si="29"/>
        <v>151894.84000000003</v>
      </c>
      <c r="J32" s="41">
        <f t="shared" si="29"/>
        <v>303789.68000000005</v>
      </c>
      <c r="K32" s="41">
        <f t="shared" si="29"/>
        <v>303789.68000000005</v>
      </c>
      <c r="L32" s="41">
        <f t="shared" si="29"/>
        <v>303789.68000000005</v>
      </c>
      <c r="M32" s="41">
        <f t="shared" si="29"/>
        <v>303789.68000000005</v>
      </c>
      <c r="N32" s="41">
        <f t="shared" si="29"/>
        <v>303789.68000000005</v>
      </c>
      <c r="O32" s="41">
        <f t="shared" si="29"/>
        <v>303789.68000000005</v>
      </c>
      <c r="P32" s="41">
        <f t="shared" si="29"/>
        <v>303789.68000000005</v>
      </c>
      <c r="Q32" s="41">
        <f t="shared" si="29"/>
        <v>303789.68000000005</v>
      </c>
      <c r="R32" s="41">
        <f t="shared" si="29"/>
        <v>303789.68000000005</v>
      </c>
      <c r="S32" s="41">
        <f t="shared" si="29"/>
        <v>303789.68000000005</v>
      </c>
      <c r="T32" s="41">
        <f t="shared" si="29"/>
        <v>303789.68000000005</v>
      </c>
      <c r="U32" s="41">
        <f t="shared" si="29"/>
        <v>303789.68000000005</v>
      </c>
      <c r="V32" s="41">
        <f t="shared" si="29"/>
        <v>303789.68000000005</v>
      </c>
      <c r="W32" s="41">
        <f t="shared" si="29"/>
        <v>303789.68000000005</v>
      </c>
      <c r="X32" s="41">
        <f t="shared" si="29"/>
        <v>303789.68000000005</v>
      </c>
      <c r="Y32" s="41">
        <f t="shared" si="29"/>
        <v>303789.68000000005</v>
      </c>
      <c r="Z32" s="41">
        <f t="shared" si="29"/>
        <v>303789.68000000005</v>
      </c>
    </row>
    <row r="33" spans="2:26" x14ac:dyDescent="0.2">
      <c r="B33" s="32" t="s">
        <v>490</v>
      </c>
      <c r="C33" s="32"/>
      <c r="D33" s="41"/>
      <c r="E33" s="41"/>
      <c r="F33" s="41">
        <f>+F34-E34</f>
        <v>0</v>
      </c>
      <c r="G33" s="41">
        <f t="shared" ref="G33" si="30">+G34-F34</f>
        <v>0</v>
      </c>
      <c r="H33" s="41">
        <f t="shared" ref="H33" si="31">+H34-G34</f>
        <v>0</v>
      </c>
      <c r="I33" s="41">
        <f t="shared" ref="I33" si="32">+I34-H34</f>
        <v>207.8197583636364</v>
      </c>
      <c r="J33" s="41">
        <f t="shared" ref="J33" si="33">+J34-I34</f>
        <v>207.8197583636364</v>
      </c>
      <c r="K33" s="41">
        <f t="shared" ref="K33" si="34">+K34-J34</f>
        <v>0</v>
      </c>
      <c r="L33" s="41">
        <f t="shared" ref="L33" si="35">+L34-K34</f>
        <v>0</v>
      </c>
      <c r="M33" s="41">
        <f t="shared" ref="M33" si="36">+M34-L34</f>
        <v>0</v>
      </c>
      <c r="N33" s="41">
        <f t="shared" ref="N33" si="37">+N34-M34</f>
        <v>0</v>
      </c>
      <c r="O33" s="41">
        <f t="shared" ref="O33" si="38">+O34-N34</f>
        <v>0</v>
      </c>
      <c r="P33" s="41">
        <f t="shared" ref="P33" si="39">+P34-O34</f>
        <v>0</v>
      </c>
      <c r="Q33" s="41">
        <f t="shared" ref="Q33" si="40">+Q34-P34</f>
        <v>0</v>
      </c>
      <c r="R33" s="41">
        <f t="shared" ref="R33" si="41">+R34-Q34</f>
        <v>0</v>
      </c>
      <c r="S33" s="41">
        <f t="shared" ref="S33" si="42">+S34-R34</f>
        <v>0</v>
      </c>
      <c r="T33" s="41">
        <f t="shared" ref="T33" si="43">+T34-S34</f>
        <v>0</v>
      </c>
      <c r="U33" s="41">
        <f t="shared" ref="U33" si="44">+U34-T34</f>
        <v>0</v>
      </c>
      <c r="V33" s="41">
        <f t="shared" ref="V33" si="45">+V34-U34</f>
        <v>0</v>
      </c>
      <c r="W33" s="41">
        <f t="shared" ref="W33" si="46">+W34-V34</f>
        <v>0</v>
      </c>
      <c r="X33" s="41">
        <f t="shared" ref="X33" si="47">+X34-W34</f>
        <v>0</v>
      </c>
      <c r="Y33" s="41">
        <f t="shared" ref="Y33" si="48">+Y34-X34</f>
        <v>0</v>
      </c>
      <c r="Z33" s="41">
        <f t="shared" ref="Z33" si="49">+Z34-Y34</f>
        <v>0</v>
      </c>
    </row>
    <row r="34" spans="2:26" x14ac:dyDescent="0.2">
      <c r="B34" s="32" t="s">
        <v>247</v>
      </c>
      <c r="C34" s="32"/>
      <c r="D34" s="41"/>
      <c r="E34" s="41"/>
      <c r="F34" s="41">
        <f>+F35*'Assumptions and Sensis'!$G$111</f>
        <v>0</v>
      </c>
      <c r="G34" s="41">
        <f>+G35*'Assumptions and Sensis'!$G$111</f>
        <v>0</v>
      </c>
      <c r="H34" s="41">
        <f>+H35*'Assumptions and Sensis'!$G$111</f>
        <v>0</v>
      </c>
      <c r="I34" s="41">
        <f>+I35*'Assumptions and Sensis'!$G$111</f>
        <v>207.8197583636364</v>
      </c>
      <c r="J34" s="41">
        <f>+J35*'Assumptions and Sensis'!$G$111</f>
        <v>415.63951672727279</v>
      </c>
      <c r="K34" s="41">
        <f>+K35*'Assumptions and Sensis'!$G$111</f>
        <v>415.63951672727279</v>
      </c>
      <c r="L34" s="41">
        <f>+L35*'Assumptions and Sensis'!$G$111</f>
        <v>415.63951672727279</v>
      </c>
      <c r="M34" s="41">
        <f>+M35*'Assumptions and Sensis'!$G$111</f>
        <v>415.63951672727279</v>
      </c>
      <c r="N34" s="41">
        <f>+N35*'Assumptions and Sensis'!$G$111</f>
        <v>415.63951672727279</v>
      </c>
      <c r="O34" s="41">
        <f>+O35*'Assumptions and Sensis'!$G$111</f>
        <v>415.63951672727279</v>
      </c>
      <c r="P34" s="41">
        <f>+P35*'Assumptions and Sensis'!$G$111</f>
        <v>415.63951672727279</v>
      </c>
      <c r="Q34" s="41">
        <f>+Q35*'Assumptions and Sensis'!$G$111</f>
        <v>415.63951672727279</v>
      </c>
      <c r="R34" s="41">
        <f>+R35*'Assumptions and Sensis'!$G$111</f>
        <v>415.63951672727279</v>
      </c>
      <c r="S34" s="41">
        <f>+S35*'Assumptions and Sensis'!$G$111</f>
        <v>415.63951672727279</v>
      </c>
      <c r="T34" s="41">
        <f>+T35*'Assumptions and Sensis'!$G$111</f>
        <v>415.63951672727279</v>
      </c>
      <c r="U34" s="41">
        <f>+U35*'Assumptions and Sensis'!$G$111</f>
        <v>415.63951672727279</v>
      </c>
      <c r="V34" s="41">
        <f>+V35*'Assumptions and Sensis'!$G$111</f>
        <v>415.63951672727279</v>
      </c>
      <c r="W34" s="41">
        <f>+W35*'Assumptions and Sensis'!$G$111</f>
        <v>415.63951672727279</v>
      </c>
      <c r="X34" s="41">
        <f>+X35*'Assumptions and Sensis'!$G$111</f>
        <v>415.63951672727279</v>
      </c>
      <c r="Y34" s="41">
        <f>+Y35*'Assumptions and Sensis'!$G$111</f>
        <v>415.63951672727279</v>
      </c>
      <c r="Z34" s="41">
        <f>+Z35*'Assumptions and Sensis'!$G$111</f>
        <v>415.63951672727279</v>
      </c>
    </row>
    <row r="35" spans="2:26" x14ac:dyDescent="0.2">
      <c r="B35" s="32" t="s">
        <v>301</v>
      </c>
      <c r="C35" s="32"/>
      <c r="D35" s="41"/>
      <c r="E35" s="41"/>
      <c r="F35" s="107">
        <f>+F32/SUM($F31:$Z31)</f>
        <v>0</v>
      </c>
      <c r="G35" s="107">
        <f t="shared" ref="G35:Z35" si="50">+G32/SUM($F31:$Z31)</f>
        <v>0</v>
      </c>
      <c r="H35" s="107">
        <f t="shared" si="50"/>
        <v>0</v>
      </c>
      <c r="I35" s="107">
        <f t="shared" si="50"/>
        <v>0.5</v>
      </c>
      <c r="J35" s="107">
        <f t="shared" si="50"/>
        <v>1</v>
      </c>
      <c r="K35" s="107">
        <f t="shared" si="50"/>
        <v>1</v>
      </c>
      <c r="L35" s="107">
        <f t="shared" si="50"/>
        <v>1</v>
      </c>
      <c r="M35" s="107">
        <f t="shared" si="50"/>
        <v>1</v>
      </c>
      <c r="N35" s="107">
        <f t="shared" si="50"/>
        <v>1</v>
      </c>
      <c r="O35" s="107">
        <f t="shared" si="50"/>
        <v>1</v>
      </c>
      <c r="P35" s="107">
        <f t="shared" si="50"/>
        <v>1</v>
      </c>
      <c r="Q35" s="107">
        <f t="shared" si="50"/>
        <v>1</v>
      </c>
      <c r="R35" s="107">
        <f t="shared" si="50"/>
        <v>1</v>
      </c>
      <c r="S35" s="107">
        <f t="shared" si="50"/>
        <v>1</v>
      </c>
      <c r="T35" s="107">
        <f t="shared" si="50"/>
        <v>1</v>
      </c>
      <c r="U35" s="107">
        <f t="shared" si="50"/>
        <v>1</v>
      </c>
      <c r="V35" s="107">
        <f t="shared" si="50"/>
        <v>1</v>
      </c>
      <c r="W35" s="107">
        <f t="shared" si="50"/>
        <v>1</v>
      </c>
      <c r="X35" s="107">
        <f t="shared" si="50"/>
        <v>1</v>
      </c>
      <c r="Y35" s="107">
        <f t="shared" si="50"/>
        <v>1</v>
      </c>
      <c r="Z35" s="107">
        <f t="shared" si="50"/>
        <v>1</v>
      </c>
    </row>
    <row r="36" spans="2:26" x14ac:dyDescent="0.2">
      <c r="B36" s="32"/>
      <c r="C36" s="32"/>
      <c r="D36" s="39"/>
      <c r="E36" s="39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2:26" x14ac:dyDescent="0.2">
      <c r="B37" s="32" t="s">
        <v>251</v>
      </c>
      <c r="C37" s="32"/>
      <c r="D37" s="41"/>
      <c r="E37" s="41"/>
      <c r="F37" s="107">
        <v>1</v>
      </c>
      <c r="G37" s="107">
        <f>+F37*(1+'Assumptions and Sensis'!$O$86)</f>
        <v>1.03</v>
      </c>
      <c r="H37" s="107">
        <f>+G37*(1+'Assumptions and Sensis'!$O$86)</f>
        <v>1.0609</v>
      </c>
      <c r="I37" s="107">
        <f>+H37*(1+'Assumptions and Sensis'!$O$86)</f>
        <v>1.092727</v>
      </c>
      <c r="J37" s="107">
        <f>+I37*(1+'Assumptions and Sensis'!$O$86)</f>
        <v>1.1255088100000001</v>
      </c>
      <c r="K37" s="107">
        <f>+J37*(1+'Assumptions and Sensis'!$O$86)</f>
        <v>1.1592740743000001</v>
      </c>
      <c r="L37" s="107">
        <f>+K37*(1+'Assumptions and Sensis'!$O$86)</f>
        <v>1.1940522965290001</v>
      </c>
      <c r="M37" s="107">
        <f>+L37*(1+'Assumptions and Sensis'!$O$86)</f>
        <v>1.2298738654248702</v>
      </c>
      <c r="N37" s="107">
        <f>+M37*(1+'Assumptions and Sensis'!$O$86)</f>
        <v>1.2667700813876164</v>
      </c>
      <c r="O37" s="107">
        <f>+N37*(1+'Assumptions and Sensis'!$O$86)</f>
        <v>1.3047731838292449</v>
      </c>
      <c r="P37" s="107">
        <f>+O37*(1+'Assumptions and Sensis'!$O$86)</f>
        <v>1.3439163793441222</v>
      </c>
      <c r="Q37" s="107">
        <f>+P37*(1+'Assumptions and Sensis'!$O$86)</f>
        <v>1.3842338707244459</v>
      </c>
      <c r="R37" s="107">
        <f>+Q37*(1+'Assumptions and Sensis'!$O$86)</f>
        <v>1.4257608868461793</v>
      </c>
      <c r="S37" s="107">
        <f>+R37*(1+'Assumptions and Sensis'!$O$86)</f>
        <v>1.4685337134515648</v>
      </c>
      <c r="T37" s="107">
        <f>+S37*(1+'Assumptions and Sensis'!$O$86)</f>
        <v>1.5125897248551119</v>
      </c>
      <c r="U37" s="107">
        <f>+T37*(1+'Assumptions and Sensis'!$O$86)</f>
        <v>1.5579674166007653</v>
      </c>
      <c r="V37" s="107">
        <f>+U37*(1+'Assumptions and Sensis'!$O$86)</f>
        <v>1.6047064390987884</v>
      </c>
      <c r="W37" s="107">
        <f>+V37*(1+'Assumptions and Sensis'!$O$86)</f>
        <v>1.652847632271752</v>
      </c>
      <c r="X37" s="107">
        <f>+W37*(1+'Assumptions and Sensis'!$O$86)</f>
        <v>1.7024330612399046</v>
      </c>
      <c r="Y37" s="107">
        <f>+X37*(1+'Assumptions and Sensis'!$O$86)</f>
        <v>1.7535060530771018</v>
      </c>
      <c r="Z37" s="107">
        <f>+Y37*(1+'Assumptions and Sensis'!$O$86)</f>
        <v>1.806111234669415</v>
      </c>
    </row>
    <row r="38" spans="2:26" x14ac:dyDescent="0.2">
      <c r="B38" s="32" t="s">
        <v>252</v>
      </c>
      <c r="C38" s="32"/>
      <c r="D38" s="41"/>
      <c r="E38" s="41"/>
      <c r="F38" s="107">
        <v>1</v>
      </c>
      <c r="G38" s="107">
        <f>+F38*(1+'Assumptions and Sensis'!$O$99)</f>
        <v>1.03</v>
      </c>
      <c r="H38" s="107">
        <f>+G38*(1+'Assumptions and Sensis'!$O$99)</f>
        <v>1.0609</v>
      </c>
      <c r="I38" s="107">
        <f>+H38*(1+'Assumptions and Sensis'!$O$99)</f>
        <v>1.092727</v>
      </c>
      <c r="J38" s="107">
        <f>+I38*(1+'Assumptions and Sensis'!$O$99)</f>
        <v>1.1255088100000001</v>
      </c>
      <c r="K38" s="107">
        <f>+J38*(1+'Assumptions and Sensis'!$O$99)</f>
        <v>1.1592740743000001</v>
      </c>
      <c r="L38" s="107">
        <f>+K38*(1+'Assumptions and Sensis'!$O$99)</f>
        <v>1.1940522965290001</v>
      </c>
      <c r="M38" s="107">
        <f>+L38*(1+'Assumptions and Sensis'!$O$99)</f>
        <v>1.2298738654248702</v>
      </c>
      <c r="N38" s="107">
        <f>+M38*(1+'Assumptions and Sensis'!$O$99)</f>
        <v>1.2667700813876164</v>
      </c>
      <c r="O38" s="107">
        <f>+N38*(1+'Assumptions and Sensis'!$O$99)</f>
        <v>1.3047731838292449</v>
      </c>
      <c r="P38" s="107">
        <f>+O38*(1+'Assumptions and Sensis'!$O$99)</f>
        <v>1.3439163793441222</v>
      </c>
      <c r="Q38" s="107">
        <f>+P38*(1+'Assumptions and Sensis'!$O$99)</f>
        <v>1.3842338707244459</v>
      </c>
      <c r="R38" s="107">
        <f>+Q38*(1+'Assumptions and Sensis'!$O$99)</f>
        <v>1.4257608868461793</v>
      </c>
      <c r="S38" s="107">
        <f>+R38*(1+'Assumptions and Sensis'!$O$99)</f>
        <v>1.4685337134515648</v>
      </c>
      <c r="T38" s="107">
        <f>+S38*(1+'Assumptions and Sensis'!$O$99)</f>
        <v>1.5125897248551119</v>
      </c>
      <c r="U38" s="107">
        <f>+T38*(1+'Assumptions and Sensis'!$O$99)</f>
        <v>1.5579674166007653</v>
      </c>
      <c r="V38" s="107">
        <f>+U38*(1+'Assumptions and Sensis'!$O$99)</f>
        <v>1.6047064390987884</v>
      </c>
      <c r="W38" s="107">
        <f>+V38*(1+'Assumptions and Sensis'!$O$99)</f>
        <v>1.652847632271752</v>
      </c>
      <c r="X38" s="107">
        <f>+W38*(1+'Assumptions and Sensis'!$O$99)</f>
        <v>1.7024330612399046</v>
      </c>
      <c r="Y38" s="107">
        <f>+X38*(1+'Assumptions and Sensis'!$O$99)</f>
        <v>1.7535060530771018</v>
      </c>
      <c r="Z38" s="107">
        <f>+Y38*(1+'Assumptions and Sensis'!$O$99)</f>
        <v>1.806111234669415</v>
      </c>
    </row>
    <row r="39" spans="2:26" x14ac:dyDescent="0.2">
      <c r="B39" s="32"/>
      <c r="C39" s="32"/>
      <c r="D39" s="39"/>
      <c r="E39" s="39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2:26" x14ac:dyDescent="0.2">
      <c r="B40" s="32" t="s">
        <v>243</v>
      </c>
      <c r="C40" s="32"/>
      <c r="D40" s="39"/>
      <c r="E40" s="39"/>
      <c r="F40" s="33">
        <f>+F35*'Assumptions and Sensis'!$G$109*F37</f>
        <v>0</v>
      </c>
      <c r="G40" s="33">
        <f>+G35*'Assumptions and Sensis'!$G$109*G37</f>
        <v>0</v>
      </c>
      <c r="H40" s="33">
        <f>+H35*'Assumptions and Sensis'!$G$109*H37</f>
        <v>0</v>
      </c>
      <c r="I40" s="33">
        <f>+I35*'Assumptions and Sensis'!$G$109*I37</f>
        <v>4979926.2830157522</v>
      </c>
      <c r="J40" s="33">
        <f>+J35*'Assumptions and Sensis'!$G$109*J37</f>
        <v>10258648.143012451</v>
      </c>
      <c r="K40" s="33">
        <f>+K35*'Assumptions and Sensis'!$G$109*K37</f>
        <v>10566407.587302824</v>
      </c>
      <c r="L40" s="33">
        <f>+L35*'Assumptions and Sensis'!$G$109*L37</f>
        <v>10883399.81492191</v>
      </c>
      <c r="M40" s="33">
        <f>+M35*'Assumptions and Sensis'!$G$109*M37</f>
        <v>11209901.809369568</v>
      </c>
      <c r="N40" s="33">
        <f>+N35*'Assumptions and Sensis'!$G$109*N37</f>
        <v>11546198.863650655</v>
      </c>
      <c r="O40" s="33">
        <f>+O35*'Assumptions and Sensis'!$G$109*O37</f>
        <v>11892584.829560176</v>
      </c>
      <c r="P40" s="33">
        <f>+P35*'Assumptions and Sensis'!$G$109*P37</f>
        <v>12249362.374446981</v>
      </c>
      <c r="Q40" s="33">
        <f>+Q35*'Assumptions and Sensis'!$G$109*Q37</f>
        <v>12616843.24568039</v>
      </c>
      <c r="R40" s="33">
        <f>+R35*'Assumptions and Sensis'!$G$109*R37</f>
        <v>12995348.543050801</v>
      </c>
      <c r="S40" s="33">
        <f>+S35*'Assumptions and Sensis'!$G$109*S37</f>
        <v>13385208.999342326</v>
      </c>
      <c r="T40" s="33">
        <f>+T35*'Assumptions and Sensis'!$G$109*T37</f>
        <v>13786765.269322598</v>
      </c>
      <c r="U40" s="33">
        <f>+U35*'Assumptions and Sensis'!$G$109*U37</f>
        <v>14200368.227402275</v>
      </c>
      <c r="V40" s="33">
        <f>+V35*'Assumptions and Sensis'!$G$109*V37</f>
        <v>14626379.274224347</v>
      </c>
      <c r="W40" s="33">
        <f>+W35*'Assumptions and Sensis'!$G$109*W37</f>
        <v>15065170.652451076</v>
      </c>
      <c r="X40" s="33">
        <f>+X35*'Assumptions and Sensis'!$G$109*X37</f>
        <v>15517125.772024607</v>
      </c>
      <c r="Y40" s="33">
        <f>+Y35*'Assumptions and Sensis'!$G$109*Y37</f>
        <v>15982639.545185348</v>
      </c>
      <c r="Z40" s="33">
        <f>+Z35*'Assumptions and Sensis'!$G$109*Z37</f>
        <v>16462118.731540909</v>
      </c>
    </row>
    <row r="41" spans="2:26" x14ac:dyDescent="0.2">
      <c r="B41" s="32" t="s">
        <v>244</v>
      </c>
      <c r="C41" s="32"/>
      <c r="D41" s="39"/>
      <c r="E41" s="39"/>
      <c r="F41" s="41">
        <f>-F40*'Assumptions and Sensis'!$O$76</f>
        <v>0</v>
      </c>
      <c r="G41" s="41">
        <f>-G40*'Assumptions and Sensis'!$O$76</f>
        <v>0</v>
      </c>
      <c r="H41" s="41">
        <f>-H40*'Assumptions and Sensis'!$O$76</f>
        <v>0</v>
      </c>
      <c r="I41" s="41">
        <f>-I40*'Assumptions and Sensis'!$O$76</f>
        <v>-248996.31415078763</v>
      </c>
      <c r="J41" s="41">
        <f>-J40*'Assumptions and Sensis'!$O$76</f>
        <v>-512932.40715062257</v>
      </c>
      <c r="K41" s="41">
        <f>-K40*'Assumptions and Sensis'!$O$76</f>
        <v>-528320.37936514127</v>
      </c>
      <c r="L41" s="41">
        <f>-L40*'Assumptions and Sensis'!$O$76</f>
        <v>-544169.99074609554</v>
      </c>
      <c r="M41" s="41">
        <f>-M40*'Assumptions and Sensis'!$O$76</f>
        <v>-560495.09046847839</v>
      </c>
      <c r="N41" s="41">
        <f>-N40*'Assumptions and Sensis'!$O$76</f>
        <v>-577309.94318253279</v>
      </c>
      <c r="O41" s="41">
        <f>-O40*'Assumptions and Sensis'!$O$76</f>
        <v>-594629.2414780088</v>
      </c>
      <c r="P41" s="41">
        <f>-P40*'Assumptions and Sensis'!$O$76</f>
        <v>-612468.11872234906</v>
      </c>
      <c r="Q41" s="41">
        <f>-Q40*'Assumptions and Sensis'!$O$76</f>
        <v>-630842.16228401952</v>
      </c>
      <c r="R41" s="41">
        <f>-R40*'Assumptions and Sensis'!$O$76</f>
        <v>-649767.42715254007</v>
      </c>
      <c r="S41" s="41">
        <f>-S40*'Assumptions and Sensis'!$O$76</f>
        <v>-669260.44996711635</v>
      </c>
      <c r="T41" s="41">
        <f>-T40*'Assumptions and Sensis'!$O$76</f>
        <v>-689338.26346613001</v>
      </c>
      <c r="U41" s="41">
        <f>-U40*'Assumptions and Sensis'!$O$76</f>
        <v>-710018.41137011384</v>
      </c>
      <c r="V41" s="41">
        <f>-V40*'Assumptions and Sensis'!$O$76</f>
        <v>-731318.9637112174</v>
      </c>
      <c r="W41" s="41">
        <f>-W40*'Assumptions and Sensis'!$O$76</f>
        <v>-753258.53262255387</v>
      </c>
      <c r="X41" s="41">
        <f>-X40*'Assumptions and Sensis'!$O$76</f>
        <v>-775856.28860123036</v>
      </c>
      <c r="Y41" s="41">
        <f>-Y40*'Assumptions and Sensis'!$O$76</f>
        <v>-799131.97725926747</v>
      </c>
      <c r="Z41" s="41">
        <f>-Z40*'Assumptions and Sensis'!$O$76</f>
        <v>-823105.93657704548</v>
      </c>
    </row>
    <row r="42" spans="2:26" x14ac:dyDescent="0.2">
      <c r="B42" s="32" t="s">
        <v>344</v>
      </c>
      <c r="C42" s="32"/>
      <c r="D42" s="39"/>
      <c r="E42" s="39"/>
      <c r="F42" s="150">
        <f>+F34*'Assumptions and Sensis'!$G$117*(1-'Assumptions and Sensis'!$O$76)*12</f>
        <v>0</v>
      </c>
      <c r="G42" s="150">
        <f>+G34*'Assumptions and Sensis'!$G$117*(1-'Assumptions and Sensis'!$O$76)*12</f>
        <v>0</v>
      </c>
      <c r="H42" s="150">
        <f>+H34*'Assumptions and Sensis'!$G$117*(1-'Assumptions and Sensis'!$O$76)*12</f>
        <v>0</v>
      </c>
      <c r="I42" s="150">
        <f>+I34*'Assumptions and Sensis'!$G$117*(1-'Assumptions and Sensis'!$O$76)*12</f>
        <v>130302.98849400002</v>
      </c>
      <c r="J42" s="150">
        <f>+J34*'Assumptions and Sensis'!$G$117*(1-'Assumptions and Sensis'!$O$76)*12</f>
        <v>260605.97698800004</v>
      </c>
      <c r="K42" s="150">
        <f>+K34*'Assumptions and Sensis'!$G$117*(1-'Assumptions and Sensis'!$O$76)*12</f>
        <v>260605.97698800004</v>
      </c>
      <c r="L42" s="150">
        <f>+L34*'Assumptions and Sensis'!$G$117*(1-'Assumptions and Sensis'!$O$76)*12</f>
        <v>260605.97698800004</v>
      </c>
      <c r="M42" s="150">
        <f>+M34*'Assumptions and Sensis'!$G$117*(1-'Assumptions and Sensis'!$O$76)*12</f>
        <v>260605.97698800004</v>
      </c>
      <c r="N42" s="150">
        <f>+N34*'Assumptions and Sensis'!$G$117*(1-'Assumptions and Sensis'!$O$76)*12</f>
        <v>260605.97698800004</v>
      </c>
      <c r="O42" s="150">
        <f>+O34*'Assumptions and Sensis'!$G$117*(1-'Assumptions and Sensis'!$O$76)*12</f>
        <v>260605.97698800004</v>
      </c>
      <c r="P42" s="150">
        <f>+P34*'Assumptions and Sensis'!$G$117*(1-'Assumptions and Sensis'!$O$76)*12</f>
        <v>260605.97698800004</v>
      </c>
      <c r="Q42" s="150">
        <f>+Q34*'Assumptions and Sensis'!$G$117*(1-'Assumptions and Sensis'!$O$76)*12</f>
        <v>260605.97698800004</v>
      </c>
      <c r="R42" s="150">
        <f>+R34*'Assumptions and Sensis'!$G$117*(1-'Assumptions and Sensis'!$O$76)*12</f>
        <v>260605.97698800004</v>
      </c>
      <c r="S42" s="150">
        <f>+S34*'Assumptions and Sensis'!$G$117*(1-'Assumptions and Sensis'!$O$76)*12</f>
        <v>260605.97698800004</v>
      </c>
      <c r="T42" s="150">
        <f>+T34*'Assumptions and Sensis'!$G$117*(1-'Assumptions and Sensis'!$O$76)*12</f>
        <v>260605.97698800004</v>
      </c>
      <c r="U42" s="150">
        <f>+U34*'Assumptions and Sensis'!$G$117*(1-'Assumptions and Sensis'!$O$76)*12</f>
        <v>260605.97698800004</v>
      </c>
      <c r="V42" s="150">
        <f>+V34*'Assumptions and Sensis'!$G$117*(1-'Assumptions and Sensis'!$O$76)*12</f>
        <v>260605.97698800004</v>
      </c>
      <c r="W42" s="150">
        <f>+W34*'Assumptions and Sensis'!$G$117*(1-'Assumptions and Sensis'!$O$76)*12</f>
        <v>260605.97698800004</v>
      </c>
      <c r="X42" s="150">
        <f>+X34*'Assumptions and Sensis'!$G$117*(1-'Assumptions and Sensis'!$O$76)*12</f>
        <v>260605.97698800004</v>
      </c>
      <c r="Y42" s="150">
        <f>+Y34*'Assumptions and Sensis'!$G$117*(1-'Assumptions and Sensis'!$O$76)*12</f>
        <v>260605.97698800004</v>
      </c>
      <c r="Z42" s="150">
        <f>+Z34*'Assumptions and Sensis'!$G$117*(1-'Assumptions and Sensis'!$O$76)*12</f>
        <v>260605.97698800004</v>
      </c>
    </row>
    <row r="43" spans="2:26" x14ac:dyDescent="0.2">
      <c r="B43" s="136" t="s">
        <v>253</v>
      </c>
      <c r="C43" s="136"/>
      <c r="D43" s="136"/>
      <c r="E43" s="136"/>
      <c r="F43" s="128">
        <f t="shared" ref="F43:Z43" si="51">+SUM(F40:F42)</f>
        <v>0</v>
      </c>
      <c r="G43" s="128">
        <f t="shared" si="51"/>
        <v>0</v>
      </c>
      <c r="H43" s="128">
        <f t="shared" si="51"/>
        <v>0</v>
      </c>
      <c r="I43" s="128">
        <f t="shared" si="51"/>
        <v>4861232.9573589647</v>
      </c>
      <c r="J43" s="128">
        <f t="shared" si="51"/>
        <v>10006321.712849829</v>
      </c>
      <c r="K43" s="128">
        <f t="shared" si="51"/>
        <v>10298693.184925685</v>
      </c>
      <c r="L43" s="128">
        <f t="shared" si="51"/>
        <v>10599835.801163815</v>
      </c>
      <c r="M43" s="128">
        <f t="shared" si="51"/>
        <v>10910012.695889091</v>
      </c>
      <c r="N43" s="128">
        <f t="shared" si="51"/>
        <v>11229494.897456123</v>
      </c>
      <c r="O43" s="128">
        <f t="shared" si="51"/>
        <v>11558561.565070167</v>
      </c>
      <c r="P43" s="128">
        <f t="shared" si="51"/>
        <v>11897500.232712632</v>
      </c>
      <c r="Q43" s="128">
        <f t="shared" si="51"/>
        <v>12246607.06038437</v>
      </c>
      <c r="R43" s="128">
        <f t="shared" si="51"/>
        <v>12606187.092886262</v>
      </c>
      <c r="S43" s="128">
        <f t="shared" si="51"/>
        <v>12976554.526363211</v>
      </c>
      <c r="T43" s="128">
        <f t="shared" si="51"/>
        <v>13358032.98284447</v>
      </c>
      <c r="U43" s="128">
        <f t="shared" si="51"/>
        <v>13750955.793020163</v>
      </c>
      <c r="V43" s="128">
        <f t="shared" si="51"/>
        <v>14155666.28750113</v>
      </c>
      <c r="W43" s="128">
        <f t="shared" si="51"/>
        <v>14572518.096816523</v>
      </c>
      <c r="X43" s="128">
        <f t="shared" si="51"/>
        <v>15001875.460411377</v>
      </c>
      <c r="Y43" s="128">
        <f t="shared" si="51"/>
        <v>15444113.544914082</v>
      </c>
      <c r="Z43" s="128">
        <f t="shared" si="51"/>
        <v>15899618.771951864</v>
      </c>
    </row>
    <row r="45" spans="2:26" x14ac:dyDescent="0.2">
      <c r="B45" s="32" t="s">
        <v>389</v>
      </c>
      <c r="F45" s="33">
        <f>+F34*'Assumptions and Sensis'!$O$118*F38</f>
        <v>0</v>
      </c>
      <c r="G45" s="33">
        <f>+G34*'Assumptions and Sensis'!$O$118*G38</f>
        <v>0</v>
      </c>
      <c r="H45" s="33">
        <f>+H34*'Assumptions and Sensis'!$O$118*H38</f>
        <v>0</v>
      </c>
      <c r="I45" s="33">
        <f>+I34*'Assumptions and Sensis'!$O$118*I38</f>
        <v>1417588.2458745427</v>
      </c>
      <c r="J45" s="33">
        <f>+J34*'Assumptions and Sensis'!$O$118*J38</f>
        <v>2920231.7865015585</v>
      </c>
      <c r="K45" s="33">
        <f>+K34*'Assumptions and Sensis'!$O$118*K38</f>
        <v>3007838.7400966049</v>
      </c>
      <c r="L45" s="33">
        <f>+L34*'Assumptions and Sensis'!$O$118*L38</f>
        <v>3098073.9022995033</v>
      </c>
      <c r="M45" s="33">
        <f>+M34*'Assumptions and Sensis'!$O$118*M38</f>
        <v>3191016.1193684884</v>
      </c>
      <c r="N45" s="33">
        <f>+N34*'Assumptions and Sensis'!$O$118*N38</f>
        <v>3286746.6029495434</v>
      </c>
      <c r="O45" s="33">
        <f>+O34*'Assumptions and Sensis'!$O$118*O38</f>
        <v>3385349.0010380298</v>
      </c>
      <c r="P45" s="33">
        <f>+P34*'Assumptions and Sensis'!$O$118*P38</f>
        <v>3486909.4710691706</v>
      </c>
      <c r="Q45" s="33">
        <f>+Q34*'Assumptions and Sensis'!$O$118*Q38</f>
        <v>3591516.7552012457</v>
      </c>
      <c r="R45" s="33">
        <f>+R34*'Assumptions and Sensis'!$O$118*R38</f>
        <v>3699262.2578572831</v>
      </c>
      <c r="S45" s="33">
        <f>+S34*'Assumptions and Sensis'!$O$118*S38</f>
        <v>3810240.125593002</v>
      </c>
      <c r="T45" s="33">
        <f>+T34*'Assumptions and Sensis'!$O$118*T38</f>
        <v>3924547.3293607924</v>
      </c>
      <c r="U45" s="33">
        <f>+U34*'Assumptions and Sensis'!$O$118*U38</f>
        <v>4042283.7492416161</v>
      </c>
      <c r="V45" s="33">
        <f>+V34*'Assumptions and Sensis'!$O$118*V38</f>
        <v>4163552.261718865</v>
      </c>
      <c r="W45" s="33">
        <f>+W34*'Assumptions and Sensis'!$O$118*W38</f>
        <v>4288458.8295704313</v>
      </c>
      <c r="X45" s="33">
        <f>+X34*'Assumptions and Sensis'!$O$118*X38</f>
        <v>4417112.5944575435</v>
      </c>
      <c r="Y45" s="33">
        <f>+Y34*'Assumptions and Sensis'!$O$118*Y38</f>
        <v>4549625.9722912703</v>
      </c>
      <c r="Z45" s="33">
        <f>+Z34*'Assumptions and Sensis'!$O$118*Z38</f>
        <v>4686114.7514600093</v>
      </c>
    </row>
    <row r="46" spans="2:26" x14ac:dyDescent="0.2">
      <c r="B46" s="32" t="s">
        <v>325</v>
      </c>
      <c r="F46" s="150">
        <f ca="1">+IFERROR(INDEX('Taxes and TIF'!$AC$11:$AC$45,MATCH('Phase II Pro Forma'!F$7,'Taxes and TIF'!$R$11:$R$45,0)),0)*'Loan Sizing'!$K$18*F35</f>
        <v>0</v>
      </c>
      <c r="G46" s="150">
        <f ca="1">+IFERROR(INDEX('Taxes and TIF'!$AC$11:$AC$45,MATCH('Phase II Pro Forma'!G$7,'Taxes and TIF'!$R$11:$R$45,0)),0)*'Loan Sizing'!$K$18*G35</f>
        <v>0</v>
      </c>
      <c r="H46" s="150">
        <f ca="1">+IFERROR(INDEX('Taxes and TIF'!$AC$11:$AC$45,MATCH('Phase II Pro Forma'!H$7,'Taxes and TIF'!$R$11:$R$45,0)),0)*'Loan Sizing'!$K$18*H35</f>
        <v>0</v>
      </c>
      <c r="I46" s="150">
        <f ca="1">+IFERROR(INDEX('Taxes and TIF'!$AC$11:$AC$45,MATCH('Phase II Pro Forma'!I$7,'Taxes and TIF'!$R$11:$R$45,0)),0)*'Loan Sizing'!$K$18*I35</f>
        <v>951243.22274482809</v>
      </c>
      <c r="J46" s="150">
        <f ca="1">+IFERROR(INDEX('Taxes and TIF'!$AC$11:$AC$45,MATCH('Phase II Pro Forma'!J$7,'Taxes and TIF'!$R$11:$R$45,0)),0)*'Loan Sizing'!$K$18*J35</f>
        <v>1940536.174399449</v>
      </c>
      <c r="K46" s="150">
        <f ca="1">+IFERROR(INDEX('Taxes and TIF'!$AC$11:$AC$45,MATCH('Phase II Pro Forma'!K$7,'Taxes and TIF'!$R$11:$R$45,0)),0)*'Loan Sizing'!$K$18*K35</f>
        <v>1940536.174399449</v>
      </c>
      <c r="L46" s="150">
        <f ca="1">+IFERROR(INDEX('Taxes and TIF'!$AC$11:$AC$45,MATCH('Phase II Pro Forma'!L$7,'Taxes and TIF'!$R$11:$R$45,0)),0)*'Loan Sizing'!$K$18*L35</f>
        <v>1940536.174399449</v>
      </c>
      <c r="M46" s="150">
        <f ca="1">+IFERROR(INDEX('Taxes and TIF'!$AC$11:$AC$45,MATCH('Phase II Pro Forma'!M$7,'Taxes and TIF'!$R$11:$R$45,0)),0)*'Loan Sizing'!$K$18*M35</f>
        <v>1979346.8978874383</v>
      </c>
      <c r="N46" s="150">
        <f ca="1">+IFERROR(INDEX('Taxes and TIF'!$AC$11:$AC$45,MATCH('Phase II Pro Forma'!N$7,'Taxes and TIF'!$R$11:$R$45,0)),0)*'Loan Sizing'!$K$18*N35</f>
        <v>1979346.8978874383</v>
      </c>
      <c r="O46" s="150">
        <f ca="1">+IFERROR(INDEX('Taxes and TIF'!$AC$11:$AC$45,MATCH('Phase II Pro Forma'!O$7,'Taxes and TIF'!$R$11:$R$45,0)),0)*'Loan Sizing'!$K$18*O35</f>
        <v>1979346.8978874383</v>
      </c>
      <c r="P46" s="150">
        <f ca="1">+IFERROR(INDEX('Taxes and TIF'!$AC$11:$AC$45,MATCH('Phase II Pro Forma'!P$7,'Taxes and TIF'!$R$11:$R$45,0)),0)*'Loan Sizing'!$K$18*P35</f>
        <v>2018933.8358451871</v>
      </c>
      <c r="Q46" s="150">
        <f ca="1">+IFERROR(INDEX('Taxes and TIF'!$AC$11:$AC$45,MATCH('Phase II Pro Forma'!Q$7,'Taxes and TIF'!$R$11:$R$45,0)),0)*'Loan Sizing'!$K$18*Q35</f>
        <v>2018933.8358451871</v>
      </c>
      <c r="R46" s="150">
        <f ca="1">+IFERROR(INDEX('Taxes and TIF'!$AC$11:$AC$45,MATCH('Phase II Pro Forma'!R$7,'Taxes and TIF'!$R$11:$R$45,0)),0)*'Loan Sizing'!$K$18*R35</f>
        <v>2018933.8358451871</v>
      </c>
      <c r="S46" s="150">
        <f ca="1">+IFERROR(INDEX('Taxes and TIF'!$AC$11:$AC$45,MATCH('Phase II Pro Forma'!S$7,'Taxes and TIF'!$R$11:$R$45,0)),0)*'Loan Sizing'!$K$18*S35</f>
        <v>2059312.5125620908</v>
      </c>
      <c r="T46" s="150">
        <f ca="1">+IFERROR(INDEX('Taxes and TIF'!$AC$11:$AC$45,MATCH('Phase II Pro Forma'!T$7,'Taxes and TIF'!$R$11:$R$45,0)),0)*'Loan Sizing'!$K$18*T35</f>
        <v>2059312.5125620908</v>
      </c>
      <c r="U46" s="150">
        <f ca="1">+IFERROR(INDEX('Taxes and TIF'!$AC$11:$AC$45,MATCH('Phase II Pro Forma'!U$7,'Taxes and TIF'!$R$11:$R$45,0)),0)*'Loan Sizing'!$K$18*U35</f>
        <v>2059312.5125620908</v>
      </c>
      <c r="V46" s="150">
        <f ca="1">+IFERROR(INDEX('Taxes and TIF'!$AC$11:$AC$45,MATCH('Phase II Pro Forma'!V$7,'Taxes and TIF'!$R$11:$R$45,0)),0)*'Loan Sizing'!$K$18*V35</f>
        <v>2100498.762813333</v>
      </c>
      <c r="W46" s="150">
        <f ca="1">+IFERROR(INDEX('Taxes and TIF'!$AC$11:$AC$45,MATCH('Phase II Pro Forma'!W$7,'Taxes and TIF'!$R$11:$R$45,0)),0)*'Loan Sizing'!$K$18*W35</f>
        <v>2100498.762813333</v>
      </c>
      <c r="X46" s="150">
        <f ca="1">+IFERROR(INDEX('Taxes and TIF'!$AC$11:$AC$45,MATCH('Phase II Pro Forma'!X$7,'Taxes and TIF'!$R$11:$R$45,0)),0)*'Loan Sizing'!$K$18*X35</f>
        <v>2100498.762813333</v>
      </c>
      <c r="Y46" s="150">
        <f ca="1">+IFERROR(INDEX('Taxes and TIF'!$AC$11:$AC$45,MATCH('Phase II Pro Forma'!Y$7,'Taxes and TIF'!$R$11:$R$45,0)),0)*'Loan Sizing'!$K$18*Y35</f>
        <v>2142508.7380695995</v>
      </c>
      <c r="Z46" s="150">
        <f ca="1">+IFERROR(INDEX('Taxes and TIF'!$AC$11:$AC$45,MATCH('Phase II Pro Forma'!Z$7,'Taxes and TIF'!$R$11:$R$45,0)),0)*'Loan Sizing'!$K$18*Z35</f>
        <v>2142508.7380695995</v>
      </c>
    </row>
    <row r="47" spans="2:26" x14ac:dyDescent="0.2">
      <c r="B47" s="136" t="s">
        <v>249</v>
      </c>
      <c r="C47" s="136"/>
      <c r="D47" s="136"/>
      <c r="E47" s="136"/>
      <c r="F47" s="128">
        <f ca="1">+SUM(F45:F46)</f>
        <v>0</v>
      </c>
      <c r="G47" s="128">
        <f t="shared" ref="G47" ca="1" si="52">+SUM(G45:G46)</f>
        <v>0</v>
      </c>
      <c r="H47" s="128">
        <f t="shared" ref="H47:Z47" ca="1" si="53">+SUM(H45:H46)</f>
        <v>0</v>
      </c>
      <c r="I47" s="128">
        <f t="shared" ca="1" si="53"/>
        <v>2368831.4686193708</v>
      </c>
      <c r="J47" s="128">
        <f t="shared" ca="1" si="53"/>
        <v>4860767.9609010071</v>
      </c>
      <c r="K47" s="128">
        <f t="shared" ca="1" si="53"/>
        <v>4948374.9144960539</v>
      </c>
      <c r="L47" s="128">
        <f t="shared" ca="1" si="53"/>
        <v>5038610.0766989524</v>
      </c>
      <c r="M47" s="128">
        <f t="shared" ca="1" si="53"/>
        <v>5170363.0172559265</v>
      </c>
      <c r="N47" s="128">
        <f t="shared" ca="1" si="53"/>
        <v>5266093.5008369815</v>
      </c>
      <c r="O47" s="128">
        <f t="shared" ca="1" si="53"/>
        <v>5364695.8989254683</v>
      </c>
      <c r="P47" s="128">
        <f t="shared" ca="1" si="53"/>
        <v>5505843.3069143575</v>
      </c>
      <c r="Q47" s="128">
        <f t="shared" ca="1" si="53"/>
        <v>5610450.591046433</v>
      </c>
      <c r="R47" s="128">
        <f t="shared" ca="1" si="53"/>
        <v>5718196.09370247</v>
      </c>
      <c r="S47" s="128">
        <f t="shared" ca="1" si="53"/>
        <v>5869552.6381550925</v>
      </c>
      <c r="T47" s="128">
        <f t="shared" ca="1" si="53"/>
        <v>5983859.8419228829</v>
      </c>
      <c r="U47" s="128">
        <f t="shared" ca="1" si="53"/>
        <v>6101596.2618037071</v>
      </c>
      <c r="V47" s="128">
        <f t="shared" ca="1" si="53"/>
        <v>6264051.024532198</v>
      </c>
      <c r="W47" s="128">
        <f t="shared" ca="1" si="53"/>
        <v>6388957.5923837647</v>
      </c>
      <c r="X47" s="128">
        <f t="shared" ca="1" si="53"/>
        <v>6517611.3572708759</v>
      </c>
      <c r="Y47" s="128">
        <f t="shared" ca="1" si="53"/>
        <v>6692134.7103608698</v>
      </c>
      <c r="Z47" s="128">
        <f t="shared" ca="1" si="53"/>
        <v>6828623.4895296087</v>
      </c>
    </row>
    <row r="48" spans="2:26" x14ac:dyDescent="0.2">
      <c r="B48" s="32"/>
    </row>
    <row r="49" spans="1:26" x14ac:dyDescent="0.2">
      <c r="A49" s="107"/>
      <c r="B49" s="137" t="s">
        <v>248</v>
      </c>
      <c r="C49" s="137"/>
      <c r="D49" s="137"/>
      <c r="E49" s="137"/>
      <c r="F49" s="138">
        <f ca="1">+F43-F47</f>
        <v>0</v>
      </c>
      <c r="G49" s="138">
        <f t="shared" ref="G49:Z49" ca="1" si="54">+G43-G47</f>
        <v>0</v>
      </c>
      <c r="H49" s="138">
        <f t="shared" ca="1" si="54"/>
        <v>0</v>
      </c>
      <c r="I49" s="138">
        <f t="shared" ca="1" si="54"/>
        <v>2492401.4887395939</v>
      </c>
      <c r="J49" s="138">
        <f t="shared" ca="1" si="54"/>
        <v>5145553.7519488223</v>
      </c>
      <c r="K49" s="138">
        <f t="shared" ca="1" si="54"/>
        <v>5350318.2704296308</v>
      </c>
      <c r="L49" s="138">
        <f t="shared" ca="1" si="54"/>
        <v>5561225.7244648626</v>
      </c>
      <c r="M49" s="138">
        <f t="shared" ca="1" si="54"/>
        <v>5739649.6786331646</v>
      </c>
      <c r="N49" s="138">
        <f t="shared" ca="1" si="54"/>
        <v>5963401.3966191411</v>
      </c>
      <c r="O49" s="138">
        <f t="shared" ca="1" si="54"/>
        <v>6193865.6661446989</v>
      </c>
      <c r="P49" s="138">
        <f t="shared" ca="1" si="54"/>
        <v>6391656.9257982746</v>
      </c>
      <c r="Q49" s="138">
        <f t="shared" ca="1" si="54"/>
        <v>6636156.4693379374</v>
      </c>
      <c r="R49" s="138">
        <f t="shared" ca="1" si="54"/>
        <v>6887990.9991837917</v>
      </c>
      <c r="S49" s="138">
        <f t="shared" ca="1" si="54"/>
        <v>7107001.8882081183</v>
      </c>
      <c r="T49" s="138">
        <f t="shared" ca="1" si="54"/>
        <v>7374173.1409215871</v>
      </c>
      <c r="U49" s="138">
        <f t="shared" ca="1" si="54"/>
        <v>7649359.5312164556</v>
      </c>
      <c r="V49" s="138">
        <f t="shared" ca="1" si="54"/>
        <v>7891615.2629689323</v>
      </c>
      <c r="W49" s="138">
        <f t="shared" ca="1" si="54"/>
        <v>8183560.5044327583</v>
      </c>
      <c r="X49" s="138">
        <f t="shared" ca="1" si="54"/>
        <v>8484264.1031405013</v>
      </c>
      <c r="Y49" s="138">
        <f t="shared" ca="1" si="54"/>
        <v>8751978.8345532119</v>
      </c>
      <c r="Z49" s="138">
        <f t="shared" ca="1" si="54"/>
        <v>9070995.2824222557</v>
      </c>
    </row>
    <row r="50" spans="1:26" x14ac:dyDescent="0.2">
      <c r="B50" s="142" t="s">
        <v>254</v>
      </c>
      <c r="C50" s="140"/>
      <c r="D50" s="140"/>
      <c r="E50" s="140"/>
      <c r="F50" s="143" t="str">
        <f ca="1">+IFERROR(F49/F43,"")</f>
        <v/>
      </c>
      <c r="G50" s="143" t="str">
        <f t="shared" ref="G50:Z50" ca="1" si="55">+IFERROR(G49/G43,"")</f>
        <v/>
      </c>
      <c r="H50" s="143" t="str">
        <f t="shared" ca="1" si="55"/>
        <v/>
      </c>
      <c r="I50" s="144">
        <f t="shared" ca="1" si="55"/>
        <v>0.51270974063618591</v>
      </c>
      <c r="J50" s="144">
        <f t="shared" ca="1" si="55"/>
        <v>0.51423029356941929</v>
      </c>
      <c r="K50" s="144">
        <f t="shared" ca="1" si="55"/>
        <v>0.51951428927516285</v>
      </c>
      <c r="L50" s="144">
        <f t="shared" ca="1" si="55"/>
        <v>0.52465206337010095</v>
      </c>
      <c r="M50" s="144">
        <f t="shared" ca="1" si="55"/>
        <v>0.52609010077466478</v>
      </c>
      <c r="N50" s="144">
        <f t="shared" ca="1" si="55"/>
        <v>0.53104805256824705</v>
      </c>
      <c r="O50" s="144">
        <f t="shared" ca="1" si="55"/>
        <v>0.53586820741280516</v>
      </c>
      <c r="P50" s="144">
        <f t="shared" ca="1" si="55"/>
        <v>0.53722687966201244</v>
      </c>
      <c r="Q50" s="144">
        <f t="shared" ca="1" si="55"/>
        <v>0.54187714496080641</v>
      </c>
      <c r="R50" s="144">
        <f t="shared" ca="1" si="55"/>
        <v>0.54639764969621318</v>
      </c>
      <c r="S50" s="144">
        <f t="shared" ca="1" si="55"/>
        <v>0.54768019305660143</v>
      </c>
      <c r="T50" s="144">
        <f t="shared" ca="1" si="55"/>
        <v>0.55204034534067492</v>
      </c>
      <c r="U50" s="144">
        <f t="shared" ca="1" si="55"/>
        <v>0.55627838867020341</v>
      </c>
      <c r="V50" s="144">
        <f t="shared" ca="1" si="55"/>
        <v>0.55748808305384423</v>
      </c>
      <c r="W50" s="144">
        <f t="shared" ca="1" si="55"/>
        <v>0.56157490764897522</v>
      </c>
      <c r="X50" s="144">
        <f t="shared" ca="1" si="55"/>
        <v>0.5655468961550657</v>
      </c>
      <c r="Y50" s="144">
        <f t="shared" ca="1" si="55"/>
        <v>0.56668702992249986</v>
      </c>
      <c r="Z50" s="144">
        <f t="shared" ca="1" si="55"/>
        <v>0.57051652700152666</v>
      </c>
    </row>
    <row r="51" spans="1:26" x14ac:dyDescent="0.2">
      <c r="B51" s="142" t="s">
        <v>188</v>
      </c>
      <c r="C51" s="140"/>
      <c r="D51" s="140"/>
      <c r="E51" s="140"/>
      <c r="F51" s="141">
        <f ca="1">+F49/'Assumptions and Sensis'!$O$154</f>
        <v>0</v>
      </c>
      <c r="G51" s="141">
        <f ca="1">+G49/'Assumptions and Sensis'!$O$154</f>
        <v>0</v>
      </c>
      <c r="H51" s="141">
        <f ca="1">+H49/'Assumptions and Sensis'!$O$154</f>
        <v>0</v>
      </c>
      <c r="I51" s="141">
        <f ca="1">+I49/'Assumptions and Sensis'!$O$154</f>
        <v>45316390.704356253</v>
      </c>
      <c r="J51" s="141">
        <f ca="1">+J49/'Assumptions and Sensis'!$O$154</f>
        <v>93555522.762705863</v>
      </c>
      <c r="K51" s="141">
        <f ca="1">+K49/'Assumptions and Sensis'!$O$154</f>
        <v>97278514.007811472</v>
      </c>
      <c r="L51" s="141">
        <f ca="1">+L49/'Assumptions and Sensis'!$O$154</f>
        <v>101113194.99027023</v>
      </c>
      <c r="M51" s="141">
        <f ca="1">+M49/'Assumptions and Sensis'!$O$154</f>
        <v>104357266.88423936</v>
      </c>
      <c r="N51" s="141">
        <f ca="1">+N49/'Assumptions and Sensis'!$O$154</f>
        <v>108425479.93852983</v>
      </c>
      <c r="O51" s="141">
        <f ca="1">+O49/'Assumptions and Sensis'!$O$154</f>
        <v>112615739.38444906</v>
      </c>
      <c r="P51" s="141">
        <f ca="1">+P49/'Assumptions and Sensis'!$O$154</f>
        <v>116211944.10542317</v>
      </c>
      <c r="Q51" s="141">
        <f ca="1">+Q49/'Assumptions and Sensis'!$O$154</f>
        <v>120657390.35159886</v>
      </c>
      <c r="R51" s="141">
        <f ca="1">+R49/'Assumptions and Sensis'!$O$154</f>
        <v>125236199.98515984</v>
      </c>
      <c r="S51" s="141">
        <f ca="1">+S49/'Assumptions and Sensis'!$O$154</f>
        <v>129218216.14923851</v>
      </c>
      <c r="T51" s="141">
        <f ca="1">+T49/'Assumptions and Sensis'!$O$154</f>
        <v>134075875.2894834</v>
      </c>
      <c r="U51" s="141">
        <f ca="1">+U49/'Assumptions and Sensis'!$O$154</f>
        <v>139079264.20393556</v>
      </c>
      <c r="V51" s="141">
        <f ca="1">+V49/'Assumptions and Sensis'!$O$154</f>
        <v>143483913.8721624</v>
      </c>
      <c r="W51" s="141">
        <f ca="1">+W49/'Assumptions and Sensis'!$O$154</f>
        <v>148792009.17150471</v>
      </c>
      <c r="X51" s="141">
        <f ca="1">+X49/'Assumptions and Sensis'!$O$154</f>
        <v>154259347.32982731</v>
      </c>
      <c r="Y51" s="141">
        <f ca="1">+Y49/'Assumptions and Sensis'!$O$154</f>
        <v>159126887.90096748</v>
      </c>
      <c r="Z51" s="141">
        <f ca="1">+Z49/'Assumptions and Sensis'!$O$154</f>
        <v>164927186.95313191</v>
      </c>
    </row>
    <row r="53" spans="1:26" x14ac:dyDescent="0.2">
      <c r="B53" s="147" t="s">
        <v>25</v>
      </c>
      <c r="C53" s="148"/>
      <c r="D53" s="148"/>
      <c r="E53" s="148"/>
      <c r="F53" s="149">
        <f>+'Assumptions and Sensis'!$G$43</f>
        <v>44926</v>
      </c>
      <c r="G53" s="149">
        <f>+EOMONTH(F53,12)</f>
        <v>45291</v>
      </c>
      <c r="H53" s="149">
        <f t="shared" ref="H53:Z53" si="56">+EOMONTH(G53,12)</f>
        <v>45657</v>
      </c>
      <c r="I53" s="149">
        <f t="shared" si="56"/>
        <v>46022</v>
      </c>
      <c r="J53" s="149">
        <f t="shared" si="56"/>
        <v>46387</v>
      </c>
      <c r="K53" s="149">
        <f t="shared" si="56"/>
        <v>46752</v>
      </c>
      <c r="L53" s="149">
        <f t="shared" si="56"/>
        <v>47118</v>
      </c>
      <c r="M53" s="149">
        <f t="shared" si="56"/>
        <v>47483</v>
      </c>
      <c r="N53" s="149">
        <f t="shared" si="56"/>
        <v>47848</v>
      </c>
      <c r="O53" s="149">
        <f t="shared" si="56"/>
        <v>48213</v>
      </c>
      <c r="P53" s="149">
        <f t="shared" si="56"/>
        <v>48579</v>
      </c>
      <c r="Q53" s="149">
        <f t="shared" si="56"/>
        <v>48944</v>
      </c>
      <c r="R53" s="149">
        <f t="shared" si="56"/>
        <v>49309</v>
      </c>
      <c r="S53" s="149">
        <f t="shared" si="56"/>
        <v>49674</v>
      </c>
      <c r="T53" s="149">
        <f t="shared" si="56"/>
        <v>50040</v>
      </c>
      <c r="U53" s="149">
        <f t="shared" si="56"/>
        <v>50405</v>
      </c>
      <c r="V53" s="149">
        <f t="shared" si="56"/>
        <v>50770</v>
      </c>
      <c r="W53" s="149">
        <f t="shared" si="56"/>
        <v>51135</v>
      </c>
      <c r="X53" s="149">
        <f t="shared" si="56"/>
        <v>51501</v>
      </c>
      <c r="Y53" s="149">
        <f t="shared" si="56"/>
        <v>51866</v>
      </c>
      <c r="Z53" s="149">
        <f t="shared" si="56"/>
        <v>52231</v>
      </c>
    </row>
    <row r="54" spans="1:26" x14ac:dyDescent="0.2">
      <c r="B54" s="32" t="s">
        <v>756</v>
      </c>
      <c r="C54" s="32"/>
      <c r="D54" s="39"/>
      <c r="E54" s="39"/>
      <c r="F54" s="41">
        <f>+IF(AND(F53&gt;='Assumptions and Sensis'!$G$47,F53&lt;'Assumptions and Sensis'!$G$49),'Assumptions and Sensis'!$G$167/ROUNDUP(('Assumptions and Sensis'!$G$48/12),0),0)</f>
        <v>0</v>
      </c>
      <c r="G54" s="41">
        <f>+IF(AND(G53&gt;='Assumptions and Sensis'!$G$47,G53&lt;'Assumptions and Sensis'!$G$49),'Assumptions and Sensis'!$G$167/ROUNDUP(('Assumptions and Sensis'!$G$48/12),0),0)</f>
        <v>0</v>
      </c>
      <c r="H54" s="41">
        <f>+IF(AND(H53&gt;='Assumptions and Sensis'!$G$47,H53&lt;'Assumptions and Sensis'!$G$49),'Assumptions and Sensis'!$G$167/ROUNDUP(('Assumptions and Sensis'!$G$48/12),0),0)</f>
        <v>0</v>
      </c>
      <c r="I54" s="41">
        <f>+IF(AND(I53&gt;='Assumptions and Sensis'!$G$47,I53&lt;'Assumptions and Sensis'!$G$49),'Assumptions and Sensis'!$G$167/ROUNDUP(('Assumptions and Sensis'!$G$48/12),0),0)</f>
        <v>69300</v>
      </c>
      <c r="J54" s="41">
        <f>+IF(AND(J53&gt;='Assumptions and Sensis'!$G$47,J53&lt;'Assumptions and Sensis'!$G$49),'Assumptions and Sensis'!$G$167/ROUNDUP(('Assumptions and Sensis'!$G$48/12),0),0)</f>
        <v>69300</v>
      </c>
      <c r="K54" s="41">
        <f>+IF(AND(K53&gt;='Assumptions and Sensis'!$G$47,K53&lt;'Assumptions and Sensis'!$G$49),'Assumptions and Sensis'!$G$167/ROUNDUP(('Assumptions and Sensis'!$G$48/12),0),0)</f>
        <v>0</v>
      </c>
      <c r="L54" s="41">
        <f>+IF(AND(L53&gt;='Assumptions and Sensis'!$G$47,L53&lt;'Assumptions and Sensis'!$G$49),'Assumptions and Sensis'!$G$167/ROUNDUP(('Assumptions and Sensis'!$G$48/12),0),0)</f>
        <v>0</v>
      </c>
      <c r="M54" s="41">
        <f>+IF(AND(M53&gt;='Assumptions and Sensis'!$G$47,M53&lt;'Assumptions and Sensis'!$G$49),'Assumptions and Sensis'!$G$167/ROUNDUP(('Assumptions and Sensis'!$G$48/12),0),0)</f>
        <v>0</v>
      </c>
      <c r="N54" s="41">
        <f>+IF(AND(N53&gt;='Assumptions and Sensis'!$G$47,N53&lt;'Assumptions and Sensis'!$G$49),'Assumptions and Sensis'!$G$167/ROUNDUP(('Assumptions and Sensis'!$G$48/12),0),0)</f>
        <v>0</v>
      </c>
      <c r="O54" s="41">
        <f>+IF(AND(O53&gt;='Assumptions and Sensis'!$G$47,O53&lt;'Assumptions and Sensis'!$G$49),'Assumptions and Sensis'!$G$167/ROUNDUP(('Assumptions and Sensis'!$G$48/12),0),0)</f>
        <v>0</v>
      </c>
      <c r="P54" s="41">
        <f>+IF(AND(P53&gt;='Assumptions and Sensis'!$G$47,P53&lt;'Assumptions and Sensis'!$G$49),'Assumptions and Sensis'!$G$167/ROUNDUP(('Assumptions and Sensis'!$G$48/12),0),0)</f>
        <v>0</v>
      </c>
      <c r="Q54" s="41">
        <f>+IF(AND(Q53&gt;='Assumptions and Sensis'!$G$47,Q53&lt;'Assumptions and Sensis'!$G$49),'Assumptions and Sensis'!$G$167/ROUNDUP(('Assumptions and Sensis'!$G$48/12),0),0)</f>
        <v>0</v>
      </c>
      <c r="R54" s="41">
        <f>+IF(AND(R53&gt;='Assumptions and Sensis'!$G$47,R53&lt;'Assumptions and Sensis'!$G$49),'Assumptions and Sensis'!$G$167/ROUNDUP(('Assumptions and Sensis'!$G$48/12),0),0)</f>
        <v>0</v>
      </c>
      <c r="S54" s="41">
        <f>+IF(AND(S53&gt;='Assumptions and Sensis'!$G$47,S53&lt;'Assumptions and Sensis'!$G$49),'Assumptions and Sensis'!$G$167/ROUNDUP(('Assumptions and Sensis'!$G$48/12),0),0)</f>
        <v>0</v>
      </c>
      <c r="T54" s="41">
        <f>+IF(AND(T53&gt;='Assumptions and Sensis'!$G$47,T53&lt;'Assumptions and Sensis'!$G$49),'Assumptions and Sensis'!$G$167/ROUNDUP(('Assumptions and Sensis'!$G$48/12),0),0)</f>
        <v>0</v>
      </c>
      <c r="U54" s="41">
        <f>+IF(AND(U53&gt;='Assumptions and Sensis'!$G$47,U53&lt;'Assumptions and Sensis'!$G$49),'Assumptions and Sensis'!$G$167/ROUNDUP(('Assumptions and Sensis'!$G$48/12),0),0)</f>
        <v>0</v>
      </c>
      <c r="V54" s="41">
        <f>+IF(AND(V53&gt;='Assumptions and Sensis'!$G$47,V53&lt;'Assumptions and Sensis'!$G$49),'Assumptions and Sensis'!$G$167/ROUNDUP(('Assumptions and Sensis'!$G$48/12),0),0)</f>
        <v>0</v>
      </c>
      <c r="W54" s="41">
        <f>+IF(AND(W53&gt;='Assumptions and Sensis'!$G$47,W53&lt;'Assumptions and Sensis'!$G$49),'Assumptions and Sensis'!$G$167/ROUNDUP(('Assumptions and Sensis'!$G$48/12),0),0)</f>
        <v>0</v>
      </c>
      <c r="X54" s="41">
        <f>+IF(AND(X53&gt;='Assumptions and Sensis'!$G$47,X53&lt;'Assumptions and Sensis'!$G$49),'Assumptions and Sensis'!$G$167/ROUNDUP(('Assumptions and Sensis'!$G$48/12),0),0)</f>
        <v>0</v>
      </c>
      <c r="Y54" s="41">
        <f>+IF(AND(Y53&gt;='Assumptions and Sensis'!$G$47,Y53&lt;'Assumptions and Sensis'!$G$49),'Assumptions and Sensis'!$G$167/ROUNDUP(('Assumptions and Sensis'!$G$48/12),0),0)</f>
        <v>0</v>
      </c>
      <c r="Z54" s="41">
        <f>+IF(AND(Z53&gt;='Assumptions and Sensis'!$G$47,Z53&lt;'Assumptions and Sensis'!$G$49),'Assumptions and Sensis'!$G$167/ROUNDUP(('Assumptions and Sensis'!$G$48/12),0),0)</f>
        <v>0</v>
      </c>
    </row>
    <row r="55" spans="1:26" x14ac:dyDescent="0.2">
      <c r="B55" s="32" t="s">
        <v>246</v>
      </c>
      <c r="C55" s="32"/>
      <c r="D55" s="41">
        <v>0</v>
      </c>
      <c r="E55" s="41"/>
      <c r="F55" s="41">
        <f>+D55+F54</f>
        <v>0</v>
      </c>
      <c r="G55" s="41">
        <f t="shared" ref="G55:Z55" si="57">+F55+G54</f>
        <v>0</v>
      </c>
      <c r="H55" s="41">
        <f t="shared" si="57"/>
        <v>0</v>
      </c>
      <c r="I55" s="41">
        <f t="shared" si="57"/>
        <v>69300</v>
      </c>
      <c r="J55" s="41">
        <f t="shared" si="57"/>
        <v>138600</v>
      </c>
      <c r="K55" s="41">
        <f t="shared" si="57"/>
        <v>138600</v>
      </c>
      <c r="L55" s="41">
        <f t="shared" si="57"/>
        <v>138600</v>
      </c>
      <c r="M55" s="41">
        <f t="shared" si="57"/>
        <v>138600</v>
      </c>
      <c r="N55" s="41">
        <f t="shared" si="57"/>
        <v>138600</v>
      </c>
      <c r="O55" s="41">
        <f t="shared" si="57"/>
        <v>138600</v>
      </c>
      <c r="P55" s="41">
        <f t="shared" si="57"/>
        <v>138600</v>
      </c>
      <c r="Q55" s="41">
        <f t="shared" si="57"/>
        <v>138600</v>
      </c>
      <c r="R55" s="41">
        <f t="shared" si="57"/>
        <v>138600</v>
      </c>
      <c r="S55" s="41">
        <f t="shared" si="57"/>
        <v>138600</v>
      </c>
      <c r="T55" s="41">
        <f t="shared" si="57"/>
        <v>138600</v>
      </c>
      <c r="U55" s="41">
        <f t="shared" si="57"/>
        <v>138600</v>
      </c>
      <c r="V55" s="41">
        <f t="shared" si="57"/>
        <v>138600</v>
      </c>
      <c r="W55" s="41">
        <f t="shared" si="57"/>
        <v>138600</v>
      </c>
      <c r="X55" s="41">
        <f t="shared" si="57"/>
        <v>138600</v>
      </c>
      <c r="Y55" s="41">
        <f t="shared" si="57"/>
        <v>138600</v>
      </c>
      <c r="Z55" s="41">
        <f t="shared" si="57"/>
        <v>138600</v>
      </c>
    </row>
    <row r="56" spans="1:26" x14ac:dyDescent="0.2">
      <c r="B56" s="32" t="s">
        <v>301</v>
      </c>
      <c r="C56" s="32"/>
      <c r="D56" s="41"/>
      <c r="E56" s="41"/>
      <c r="F56" s="107">
        <f t="shared" ref="F56:Z56" si="58">+F55/SUM($F54:$Z54)</f>
        <v>0</v>
      </c>
      <c r="G56" s="107">
        <f t="shared" si="58"/>
        <v>0</v>
      </c>
      <c r="H56" s="107">
        <f t="shared" si="58"/>
        <v>0</v>
      </c>
      <c r="I56" s="107">
        <f t="shared" si="58"/>
        <v>0.5</v>
      </c>
      <c r="J56" s="107">
        <f t="shared" si="58"/>
        <v>1</v>
      </c>
      <c r="K56" s="107">
        <f t="shared" si="58"/>
        <v>1</v>
      </c>
      <c r="L56" s="107">
        <f t="shared" si="58"/>
        <v>1</v>
      </c>
      <c r="M56" s="107">
        <f t="shared" si="58"/>
        <v>1</v>
      </c>
      <c r="N56" s="107">
        <f t="shared" si="58"/>
        <v>1</v>
      </c>
      <c r="O56" s="107">
        <f t="shared" si="58"/>
        <v>1</v>
      </c>
      <c r="P56" s="107">
        <f t="shared" si="58"/>
        <v>1</v>
      </c>
      <c r="Q56" s="107">
        <f t="shared" si="58"/>
        <v>1</v>
      </c>
      <c r="R56" s="107">
        <f t="shared" si="58"/>
        <v>1</v>
      </c>
      <c r="S56" s="107">
        <f t="shared" si="58"/>
        <v>1</v>
      </c>
      <c r="T56" s="107">
        <f t="shared" si="58"/>
        <v>1</v>
      </c>
      <c r="U56" s="107">
        <f t="shared" si="58"/>
        <v>1</v>
      </c>
      <c r="V56" s="107">
        <f t="shared" si="58"/>
        <v>1</v>
      </c>
      <c r="W56" s="107">
        <f t="shared" si="58"/>
        <v>1</v>
      </c>
      <c r="X56" s="107">
        <f t="shared" si="58"/>
        <v>1</v>
      </c>
      <c r="Y56" s="107">
        <f t="shared" si="58"/>
        <v>1</v>
      </c>
      <c r="Z56" s="107">
        <f t="shared" si="58"/>
        <v>1</v>
      </c>
    </row>
    <row r="57" spans="1:26" x14ac:dyDescent="0.2">
      <c r="B57" s="32"/>
      <c r="C57" s="32"/>
      <c r="D57" s="39"/>
      <c r="E57" s="39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">
      <c r="B58" s="32" t="s">
        <v>251</v>
      </c>
      <c r="C58" s="32"/>
      <c r="D58" s="41"/>
      <c r="E58" s="41"/>
      <c r="F58" s="107">
        <v>1</v>
      </c>
      <c r="G58" s="107">
        <f>+IF(MOD(G$2,'Assumptions and Sensis'!$O$88)=('Assumptions and Sensis'!$O$88-1),F58*(1+'Assumptions and Sensis'!$O$87),'Phase II Pro Forma'!F58)</f>
        <v>1</v>
      </c>
      <c r="H58" s="107">
        <f>+IF(MOD(H$2,'Assumptions and Sensis'!$O$88)=('Assumptions and Sensis'!$O$88-1),G58*(1+'Assumptions and Sensis'!$O$87),'Phase II Pro Forma'!G58)</f>
        <v>1</v>
      </c>
      <c r="I58" s="107">
        <f>+IF(MOD(I$2,'Assumptions and Sensis'!$O$88)=('Assumptions and Sensis'!$O$88-1),H58*(1+'Assumptions and Sensis'!$O$87),'Phase II Pro Forma'!H58)</f>
        <v>1</v>
      </c>
      <c r="J58" s="107">
        <f>+IF(MOD(J$2,'Assumptions and Sensis'!$O$88)=('Assumptions and Sensis'!$O$88-1),I58*(1+'Assumptions and Sensis'!$O$87),'Phase II Pro Forma'!I58)</f>
        <v>1</v>
      </c>
      <c r="K58" s="107">
        <f>+IF(MOD(K$2,'Assumptions and Sensis'!$O$88)=('Assumptions and Sensis'!$O$88-1),J58*(1+'Assumptions and Sensis'!$O$87),'Phase II Pro Forma'!J58)</f>
        <v>1</v>
      </c>
      <c r="L58" s="107">
        <f>+IF(MOD(L$2,'Assumptions and Sensis'!$O$88)=('Assumptions and Sensis'!$O$88-1),K58*(1+'Assumptions and Sensis'!$O$87),'Phase II Pro Forma'!K58)</f>
        <v>1.1000000000000001</v>
      </c>
      <c r="M58" s="107">
        <f>+IF(MOD(M$2,'Assumptions and Sensis'!$O$88)=('Assumptions and Sensis'!$O$88-1),L58*(1+'Assumptions and Sensis'!$O$87),'Phase II Pro Forma'!L58)</f>
        <v>1.1000000000000001</v>
      </c>
      <c r="N58" s="107">
        <f>+IF(MOD(N$2,'Assumptions and Sensis'!$O$88)=('Assumptions and Sensis'!$O$88-1),M58*(1+'Assumptions and Sensis'!$O$87),'Phase II Pro Forma'!M58)</f>
        <v>1.1000000000000001</v>
      </c>
      <c r="O58" s="107">
        <f>+IF(MOD(O$2,'Assumptions and Sensis'!$O$88)=('Assumptions and Sensis'!$O$88-1),N58*(1+'Assumptions and Sensis'!$O$87),'Phase II Pro Forma'!N58)</f>
        <v>1.1000000000000001</v>
      </c>
      <c r="P58" s="107">
        <f>+IF(MOD(P$2,'Assumptions and Sensis'!$O$88)=('Assumptions and Sensis'!$O$88-1),O58*(1+'Assumptions and Sensis'!$O$87),'Phase II Pro Forma'!O58)</f>
        <v>1.1000000000000001</v>
      </c>
      <c r="Q58" s="107">
        <f>+IF(MOD(Q$2,'Assumptions and Sensis'!$O$88)=('Assumptions and Sensis'!$O$88-1),P58*(1+'Assumptions and Sensis'!$O$87),'Phase II Pro Forma'!P58)</f>
        <v>1.2100000000000002</v>
      </c>
      <c r="R58" s="107">
        <f>+IF(MOD(R$2,'Assumptions and Sensis'!$O$88)=('Assumptions and Sensis'!$O$88-1),Q58*(1+'Assumptions and Sensis'!$O$87),'Phase II Pro Forma'!Q58)</f>
        <v>1.2100000000000002</v>
      </c>
      <c r="S58" s="107">
        <f>+IF(MOD(S$2,'Assumptions and Sensis'!$O$88)=('Assumptions and Sensis'!$O$88-1),R58*(1+'Assumptions and Sensis'!$O$87),'Phase II Pro Forma'!R58)</f>
        <v>1.2100000000000002</v>
      </c>
      <c r="T58" s="107">
        <f>+IF(MOD(T$2,'Assumptions and Sensis'!$O$88)=('Assumptions and Sensis'!$O$88-1),S58*(1+'Assumptions and Sensis'!$O$87),'Phase II Pro Forma'!S58)</f>
        <v>1.2100000000000002</v>
      </c>
      <c r="U58" s="107">
        <f>+IF(MOD(U$2,'Assumptions and Sensis'!$O$88)=('Assumptions and Sensis'!$O$88-1),T58*(1+'Assumptions and Sensis'!$O$87),'Phase II Pro Forma'!T58)</f>
        <v>1.2100000000000002</v>
      </c>
      <c r="V58" s="107">
        <f>+IF(MOD(V$2,'Assumptions and Sensis'!$O$88)=('Assumptions and Sensis'!$O$88-1),U58*(1+'Assumptions and Sensis'!$O$87),'Phase II Pro Forma'!U58)</f>
        <v>1.3310000000000004</v>
      </c>
      <c r="W58" s="107">
        <f>+IF(MOD(W$2,'Assumptions and Sensis'!$O$88)=('Assumptions and Sensis'!$O$88-1),V58*(1+'Assumptions and Sensis'!$O$87),'Phase II Pro Forma'!V58)</f>
        <v>1.3310000000000004</v>
      </c>
      <c r="X58" s="107">
        <f>+IF(MOD(X$2,'Assumptions and Sensis'!$O$88)=('Assumptions and Sensis'!$O$88-1),W58*(1+'Assumptions and Sensis'!$O$87),'Phase II Pro Forma'!W58)</f>
        <v>1.3310000000000004</v>
      </c>
      <c r="Y58" s="107">
        <f>+IF(MOD(Y$2,'Assumptions and Sensis'!$O$88)=('Assumptions and Sensis'!$O$88-1),X58*(1+'Assumptions and Sensis'!$O$87),'Phase II Pro Forma'!X58)</f>
        <v>1.3310000000000004</v>
      </c>
      <c r="Z58" s="107">
        <f>+IF(MOD(Z$2,'Assumptions and Sensis'!$O$88)=('Assumptions and Sensis'!$O$88-1),Y58*(1+'Assumptions and Sensis'!$O$87),'Phase II Pro Forma'!Y58)</f>
        <v>1.3310000000000004</v>
      </c>
    </row>
    <row r="59" spans="1:26" x14ac:dyDescent="0.2">
      <c r="B59" s="32" t="s">
        <v>252</v>
      </c>
      <c r="C59" s="32"/>
      <c r="D59" s="41"/>
      <c r="E59" s="41"/>
      <c r="F59" s="107">
        <v>1</v>
      </c>
      <c r="G59" s="107">
        <f>+F59*(1+'Assumptions and Sensis'!$O$100)</f>
        <v>1.03</v>
      </c>
      <c r="H59" s="107">
        <f>+G59*(1+'Assumptions and Sensis'!$O$100)</f>
        <v>1.0609</v>
      </c>
      <c r="I59" s="107">
        <f>+H59*(1+'Assumptions and Sensis'!$O$100)</f>
        <v>1.092727</v>
      </c>
      <c r="J59" s="107">
        <f>+I59*(1+'Assumptions and Sensis'!$O$100)</f>
        <v>1.1255088100000001</v>
      </c>
      <c r="K59" s="107">
        <f>+J59*(1+'Assumptions and Sensis'!$O$100)</f>
        <v>1.1592740743000001</v>
      </c>
      <c r="L59" s="107">
        <f>+K59*(1+'Assumptions and Sensis'!$O$100)</f>
        <v>1.1940522965290001</v>
      </c>
      <c r="M59" s="107">
        <f>+L59*(1+'Assumptions and Sensis'!$O$100)</f>
        <v>1.2298738654248702</v>
      </c>
      <c r="N59" s="107">
        <f>+M59*(1+'Assumptions and Sensis'!$O$100)</f>
        <v>1.2667700813876164</v>
      </c>
      <c r="O59" s="107">
        <f>+N59*(1+'Assumptions and Sensis'!$O$100)</f>
        <v>1.3047731838292449</v>
      </c>
      <c r="P59" s="107">
        <f>+O59*(1+'Assumptions and Sensis'!$O$100)</f>
        <v>1.3439163793441222</v>
      </c>
      <c r="Q59" s="107">
        <f>+P59*(1+'Assumptions and Sensis'!$O$100)</f>
        <v>1.3842338707244459</v>
      </c>
      <c r="R59" s="107">
        <f>+Q59*(1+'Assumptions and Sensis'!$O$100)</f>
        <v>1.4257608868461793</v>
      </c>
      <c r="S59" s="107">
        <f>+R59*(1+'Assumptions and Sensis'!$O$100)</f>
        <v>1.4685337134515648</v>
      </c>
      <c r="T59" s="107">
        <f>+S59*(1+'Assumptions and Sensis'!$O$100)</f>
        <v>1.5125897248551119</v>
      </c>
      <c r="U59" s="107">
        <f>+T59*(1+'Assumptions and Sensis'!$O$100)</f>
        <v>1.5579674166007653</v>
      </c>
      <c r="V59" s="107">
        <f>+U59*(1+'Assumptions and Sensis'!$O$100)</f>
        <v>1.6047064390987884</v>
      </c>
      <c r="W59" s="107">
        <f>+V59*(1+'Assumptions and Sensis'!$O$100)</f>
        <v>1.652847632271752</v>
      </c>
      <c r="X59" s="107">
        <f>+W59*(1+'Assumptions and Sensis'!$O$100)</f>
        <v>1.7024330612399046</v>
      </c>
      <c r="Y59" s="107">
        <f>+X59*(1+'Assumptions and Sensis'!$O$100)</f>
        <v>1.7535060530771018</v>
      </c>
      <c r="Z59" s="107">
        <f>+Y59*(1+'Assumptions and Sensis'!$O$100)</f>
        <v>1.806111234669415</v>
      </c>
    </row>
    <row r="60" spans="1:26" x14ac:dyDescent="0.2">
      <c r="B60" s="32"/>
      <c r="C60" s="32"/>
      <c r="D60" s="39"/>
      <c r="E60" s="39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">
      <c r="B61" s="32" t="s">
        <v>243</v>
      </c>
      <c r="C61" s="32"/>
      <c r="D61" s="39"/>
      <c r="E61" s="39"/>
      <c r="F61" s="33">
        <f>+F56*'Assumptions and Sensis'!$G$166*F58</f>
        <v>0</v>
      </c>
      <c r="G61" s="33">
        <f>+G56*'Assumptions and Sensis'!$G$166*G58</f>
        <v>0</v>
      </c>
      <c r="H61" s="33">
        <f>+H56*'Assumptions and Sensis'!$G$166*H58</f>
        <v>0</v>
      </c>
      <c r="I61" s="33">
        <f>+I56*'Assumptions and Sensis'!$G$166*I58</f>
        <v>1658293.56</v>
      </c>
      <c r="J61" s="33">
        <f>+J56*'Assumptions and Sensis'!$G$166*J58</f>
        <v>3316587.12</v>
      </c>
      <c r="K61" s="33">
        <f>+K56*'Assumptions and Sensis'!$G$166*K58</f>
        <v>3316587.12</v>
      </c>
      <c r="L61" s="33">
        <f>+L56*'Assumptions and Sensis'!$G$166*L58</f>
        <v>3648245.8320000004</v>
      </c>
      <c r="M61" s="33">
        <f>+M56*'Assumptions and Sensis'!$G$166*M58</f>
        <v>3648245.8320000004</v>
      </c>
      <c r="N61" s="33">
        <f>+N56*'Assumptions and Sensis'!$G$166*N58</f>
        <v>3648245.8320000004</v>
      </c>
      <c r="O61" s="33">
        <f>+O56*'Assumptions and Sensis'!$G$166*O58</f>
        <v>3648245.8320000004</v>
      </c>
      <c r="P61" s="33">
        <f>+P56*'Assumptions and Sensis'!$G$166*P58</f>
        <v>3648245.8320000004</v>
      </c>
      <c r="Q61" s="33">
        <f>+Q56*'Assumptions and Sensis'!$G$166*Q58</f>
        <v>4013070.4152000006</v>
      </c>
      <c r="R61" s="33">
        <f>+R56*'Assumptions and Sensis'!$G$166*R58</f>
        <v>4013070.4152000006</v>
      </c>
      <c r="S61" s="33">
        <f>+S56*'Assumptions and Sensis'!$G$166*S58</f>
        <v>4013070.4152000006</v>
      </c>
      <c r="T61" s="33">
        <f>+T56*'Assumptions and Sensis'!$G$166*T58</f>
        <v>4013070.4152000006</v>
      </c>
      <c r="U61" s="33">
        <f>+U56*'Assumptions and Sensis'!$G$166*U58</f>
        <v>4013070.4152000006</v>
      </c>
      <c r="V61" s="33">
        <f>+V56*'Assumptions and Sensis'!$G$166*V58</f>
        <v>4414377.4567200011</v>
      </c>
      <c r="W61" s="33">
        <f>+W56*'Assumptions and Sensis'!$G$166*W58</f>
        <v>4414377.4567200011</v>
      </c>
      <c r="X61" s="33">
        <f>+X56*'Assumptions and Sensis'!$G$166*X58</f>
        <v>4414377.4567200011</v>
      </c>
      <c r="Y61" s="33">
        <f>+Y56*'Assumptions and Sensis'!$G$166*Y58</f>
        <v>4414377.4567200011</v>
      </c>
      <c r="Z61" s="33">
        <f>+Z56*'Assumptions and Sensis'!$G$166*Z58</f>
        <v>4414377.4567200011</v>
      </c>
    </row>
    <row r="62" spans="1:26" x14ac:dyDescent="0.2">
      <c r="B62" s="32" t="s">
        <v>244</v>
      </c>
      <c r="C62" s="32"/>
      <c r="D62" s="39"/>
      <c r="E62" s="39"/>
      <c r="F62" s="41">
        <f>-F61*'Assumptions and Sensis'!$O$77</f>
        <v>0</v>
      </c>
      <c r="G62" s="41">
        <f>-G61*'Assumptions and Sensis'!$O$77</f>
        <v>0</v>
      </c>
      <c r="H62" s="41">
        <f>-H61*'Assumptions and Sensis'!$O$77</f>
        <v>0</v>
      </c>
      <c r="I62" s="41">
        <f>-I61*'Assumptions and Sensis'!$O$77</f>
        <v>-165829.35600000003</v>
      </c>
      <c r="J62" s="41">
        <f>-J61*'Assumptions and Sensis'!$O$77</f>
        <v>-331658.71200000006</v>
      </c>
      <c r="K62" s="41">
        <f>-K61*'Assumptions and Sensis'!$O$77</f>
        <v>-331658.71200000006</v>
      </c>
      <c r="L62" s="41">
        <f>-L61*'Assumptions and Sensis'!$O$77</f>
        <v>-364824.58320000005</v>
      </c>
      <c r="M62" s="41">
        <f>-M61*'Assumptions and Sensis'!$O$77</f>
        <v>-364824.58320000005</v>
      </c>
      <c r="N62" s="41">
        <f>-N61*'Assumptions and Sensis'!$O$77</f>
        <v>-364824.58320000005</v>
      </c>
      <c r="O62" s="41">
        <f>-O61*'Assumptions and Sensis'!$O$77</f>
        <v>-364824.58320000005</v>
      </c>
      <c r="P62" s="41">
        <f>-P61*'Assumptions and Sensis'!$O$77</f>
        <v>-364824.58320000005</v>
      </c>
      <c r="Q62" s="41">
        <f>-Q61*'Assumptions and Sensis'!$O$77</f>
        <v>-401307.04152000009</v>
      </c>
      <c r="R62" s="41">
        <f>-R61*'Assumptions and Sensis'!$O$77</f>
        <v>-401307.04152000009</v>
      </c>
      <c r="S62" s="41">
        <f>-S61*'Assumptions and Sensis'!$O$77</f>
        <v>-401307.04152000009</v>
      </c>
      <c r="T62" s="41">
        <f>-T61*'Assumptions and Sensis'!$O$77</f>
        <v>-401307.04152000009</v>
      </c>
      <c r="U62" s="41">
        <f>-U61*'Assumptions and Sensis'!$O$77</f>
        <v>-401307.04152000009</v>
      </c>
      <c r="V62" s="41">
        <f>-V61*'Assumptions and Sensis'!$O$77</f>
        <v>-441437.74567200011</v>
      </c>
      <c r="W62" s="41">
        <f>-W61*'Assumptions and Sensis'!$O$77</f>
        <v>-441437.74567200011</v>
      </c>
      <c r="X62" s="41">
        <f>-X61*'Assumptions and Sensis'!$O$77</f>
        <v>-441437.74567200011</v>
      </c>
      <c r="Y62" s="41">
        <f>-Y61*'Assumptions and Sensis'!$O$77</f>
        <v>-441437.74567200011</v>
      </c>
      <c r="Z62" s="41">
        <f>-Z61*'Assumptions and Sensis'!$O$77</f>
        <v>-441437.74567200011</v>
      </c>
    </row>
    <row r="63" spans="1:26" x14ac:dyDescent="0.2">
      <c r="B63" s="32" t="s">
        <v>259</v>
      </c>
      <c r="C63" s="32"/>
      <c r="D63" s="39"/>
      <c r="E63" s="39"/>
      <c r="F63" s="150">
        <f ca="1">+F68*'Assumptions and Sensis'!$O$111</f>
        <v>0</v>
      </c>
      <c r="G63" s="150">
        <f ca="1">+G68*'Assumptions and Sensis'!$O$111</f>
        <v>0</v>
      </c>
      <c r="H63" s="150">
        <f ca="1">+H68*'Assumptions and Sensis'!$O$111</f>
        <v>0</v>
      </c>
      <c r="I63" s="150">
        <f ca="1">+I68*'Assumptions and Sensis'!$O$111</f>
        <v>939188.14237427351</v>
      </c>
      <c r="J63" s="150">
        <f ca="1">+J68*'Assumptions and Sensis'!$O$111</f>
        <v>1925870.7595963094</v>
      </c>
      <c r="K63" s="150">
        <f ca="1">+K68*'Assumptions and Sensis'!$O$111</f>
        <v>1956545.032478435</v>
      </c>
      <c r="L63" s="150">
        <f ca="1">+L68*'Assumptions and Sensis'!$O$111</f>
        <v>1988139.5335470245</v>
      </c>
      <c r="M63" s="150">
        <f ca="1">+M68*'Assumptions and Sensis'!$O$111</f>
        <v>2038749.7695848474</v>
      </c>
      <c r="N63" s="150">
        <f ca="1">+N68*'Assumptions and Sensis'!$O$111</f>
        <v>2072268.3757685137</v>
      </c>
      <c r="O63" s="150">
        <f ca="1">+O68*'Assumptions and Sensis'!$O$111</f>
        <v>2106792.54013769</v>
      </c>
      <c r="P63" s="150">
        <f ca="1">+P68*'Assumptions and Sensis'!$O$111</f>
        <v>2160781.6873738612</v>
      </c>
      <c r="Q63" s="150">
        <f ca="1">+Q68*'Assumptions and Sensis'!$O$111</f>
        <v>2197408.3733531204</v>
      </c>
      <c r="R63" s="150">
        <f ca="1">+R68*'Assumptions and Sensis'!$O$111</f>
        <v>2235133.8599117571</v>
      </c>
      <c r="S63" s="150">
        <f ca="1">+S68*'Assumptions and Sensis'!$O$111</f>
        <v>2292788.9541617911</v>
      </c>
      <c r="T63" s="150">
        <f ca="1">+T68*'Assumptions and Sensis'!$O$111</f>
        <v>2332811.9228518493</v>
      </c>
      <c r="U63" s="150">
        <f ca="1">+U68*'Assumptions and Sensis'!$O$111</f>
        <v>2374035.5806026096</v>
      </c>
      <c r="V63" s="150">
        <f ca="1">+V68*'Assumptions and Sensis'!$O$111</f>
        <v>2435669.7480424223</v>
      </c>
      <c r="W63" s="150">
        <f ca="1">+W68*'Assumptions and Sensis'!$O$111</f>
        <v>2479403.9265502039</v>
      </c>
      <c r="X63" s="150">
        <f ca="1">+X68*'Assumptions and Sensis'!$O$111</f>
        <v>2524450.1304132179</v>
      </c>
      <c r="Y63" s="150">
        <f ca="1">+Y68*'Assumptions and Sensis'!$O$111</f>
        <v>2590404.9963477845</v>
      </c>
      <c r="Z63" s="150">
        <f ca="1">+Z68*'Assumptions and Sensis'!$O$111</f>
        <v>2638194.514026056</v>
      </c>
    </row>
    <row r="64" spans="1:26" x14ac:dyDescent="0.2">
      <c r="B64" s="136" t="s">
        <v>253</v>
      </c>
      <c r="C64" s="136"/>
      <c r="D64" s="136"/>
      <c r="E64" s="136"/>
      <c r="F64" s="128">
        <f t="shared" ref="F64:Z64" ca="1" si="59">+SUM(F61:F63)</f>
        <v>0</v>
      </c>
      <c r="G64" s="128">
        <f t="shared" ca="1" si="59"/>
        <v>0</v>
      </c>
      <c r="H64" s="128">
        <f t="shared" ca="1" si="59"/>
        <v>0</v>
      </c>
      <c r="I64" s="128">
        <f t="shared" ca="1" si="59"/>
        <v>2431652.3463742733</v>
      </c>
      <c r="J64" s="128">
        <f t="shared" ca="1" si="59"/>
        <v>4910799.1675963094</v>
      </c>
      <c r="K64" s="128">
        <f t="shared" ca="1" si="59"/>
        <v>4941473.4404784348</v>
      </c>
      <c r="L64" s="128">
        <f t="shared" ca="1" si="59"/>
        <v>5271560.7823470244</v>
      </c>
      <c r="M64" s="128">
        <f t="shared" ca="1" si="59"/>
        <v>5322171.0183848478</v>
      </c>
      <c r="N64" s="128">
        <f t="shared" ca="1" si="59"/>
        <v>5355689.6245685136</v>
      </c>
      <c r="O64" s="128">
        <f t="shared" ca="1" si="59"/>
        <v>5390213.7889376897</v>
      </c>
      <c r="P64" s="128">
        <f t="shared" ca="1" si="59"/>
        <v>5444202.9361738618</v>
      </c>
      <c r="Q64" s="128">
        <f t="shared" ca="1" si="59"/>
        <v>5809171.7470331211</v>
      </c>
      <c r="R64" s="128">
        <f t="shared" ca="1" si="59"/>
        <v>5846897.2335917577</v>
      </c>
      <c r="S64" s="128">
        <f t="shared" ca="1" si="59"/>
        <v>5904552.3278417923</v>
      </c>
      <c r="T64" s="128">
        <f t="shared" ca="1" si="59"/>
        <v>5944575.2965318505</v>
      </c>
      <c r="U64" s="128">
        <f t="shared" ca="1" si="59"/>
        <v>5985798.9542826097</v>
      </c>
      <c r="V64" s="128">
        <f t="shared" ca="1" si="59"/>
        <v>6408609.4590904228</v>
      </c>
      <c r="W64" s="128">
        <f t="shared" ca="1" si="59"/>
        <v>6452343.6375982054</v>
      </c>
      <c r="X64" s="128">
        <f t="shared" ca="1" si="59"/>
        <v>6497389.8414612189</v>
      </c>
      <c r="Y64" s="128">
        <f t="shared" ca="1" si="59"/>
        <v>6563344.7073957855</v>
      </c>
      <c r="Z64" s="128">
        <f t="shared" ca="1" si="59"/>
        <v>6611134.2250740565</v>
      </c>
    </row>
    <row r="66" spans="2:26" x14ac:dyDescent="0.2">
      <c r="B66" s="32" t="s">
        <v>389</v>
      </c>
      <c r="F66" s="33">
        <f>+F55*'Assumptions and Sensis'!$O$145*'Phase II Pro Forma'!F59</f>
        <v>0</v>
      </c>
      <c r="G66" s="33">
        <f>+G55*'Assumptions and Sensis'!$O$145*'Phase II Pro Forma'!G59</f>
        <v>0</v>
      </c>
      <c r="H66" s="33">
        <f>+H55*'Assumptions and Sensis'!$O$145*'Phase II Pro Forma'!H59</f>
        <v>0</v>
      </c>
      <c r="I66" s="33">
        <f>+I55*'Assumptions and Sensis'!$O$145*'Phase II Pro Forma'!I59</f>
        <v>551497.17515507992</v>
      </c>
      <c r="J66" s="33">
        <f>+J55*'Assumptions and Sensis'!$O$145*'Phase II Pro Forma'!J59</f>
        <v>1136084.1808194648</v>
      </c>
      <c r="K66" s="33">
        <f>+K55*'Assumptions and Sensis'!$O$145*'Phase II Pro Forma'!K59</f>
        <v>1170166.7062440487</v>
      </c>
      <c r="L66" s="33">
        <f>+L55*'Assumptions and Sensis'!$O$145*'Phase II Pro Forma'!L59</f>
        <v>1205271.7074313704</v>
      </c>
      <c r="M66" s="33">
        <f>+M55*'Assumptions and Sensis'!$O$145*'Phase II Pro Forma'!M59</f>
        <v>1241429.8586543114</v>
      </c>
      <c r="N66" s="33">
        <f>+N55*'Assumptions and Sensis'!$O$145*'Phase II Pro Forma'!N59</f>
        <v>1278672.7544139409</v>
      </c>
      <c r="O66" s="33">
        <f>+O55*'Assumptions and Sensis'!$O$145*'Phase II Pro Forma'!O59</f>
        <v>1317032.9370463591</v>
      </c>
      <c r="P66" s="33">
        <f>+P55*'Assumptions and Sensis'!$O$145*'Phase II Pro Forma'!P59</f>
        <v>1356543.9251577498</v>
      </c>
      <c r="Q66" s="33">
        <f>+Q55*'Assumptions and Sensis'!$O$145*'Phase II Pro Forma'!Q59</f>
        <v>1397240.2429124825</v>
      </c>
      <c r="R66" s="33">
        <f>+R55*'Assumptions and Sensis'!$O$145*'Phase II Pro Forma'!R59</f>
        <v>1439157.4501998569</v>
      </c>
      <c r="S66" s="33">
        <f>+S55*'Assumptions and Sensis'!$O$145*'Phase II Pro Forma'!S59</f>
        <v>1482332.1737058528</v>
      </c>
      <c r="T66" s="33">
        <f>+T55*'Assumptions and Sensis'!$O$145*'Phase II Pro Forma'!T59</f>
        <v>1526802.1389170284</v>
      </c>
      <c r="U66" s="33">
        <f>+U55*'Assumptions and Sensis'!$O$145*'Phase II Pro Forma'!U59</f>
        <v>1572606.2030845394</v>
      </c>
      <c r="V66" s="33">
        <f>+V55*'Assumptions and Sensis'!$O$145*'Phase II Pro Forma'!V59</f>
        <v>1619784.3891770756</v>
      </c>
      <c r="W66" s="33">
        <f>+W55*'Assumptions and Sensis'!$O$145*'Phase II Pro Forma'!W59</f>
        <v>1668377.920852388</v>
      </c>
      <c r="X66" s="33">
        <f>+X55*'Assumptions and Sensis'!$O$145*'Phase II Pro Forma'!X59</f>
        <v>1718429.2584779595</v>
      </c>
      <c r="Y66" s="33">
        <f>+Y55*'Assumptions and Sensis'!$O$145*'Phase II Pro Forma'!Y59</f>
        <v>1769982.1362322986</v>
      </c>
      <c r="Z66" s="33">
        <f>+Z55*'Assumptions and Sensis'!$O$145*'Phase II Pro Forma'!Z59</f>
        <v>1823081.6003192675</v>
      </c>
    </row>
    <row r="67" spans="2:26" x14ac:dyDescent="0.2">
      <c r="B67" s="32" t="s">
        <v>325</v>
      </c>
      <c r="F67" s="150">
        <f ca="1">+IFERROR(INDEX('Taxes and TIF'!$AC$11:$AC$45,MATCH('Phase II Pro Forma'!F$7,'Taxes and TIF'!$R$11:$R$45,0)),0)*'Loan Sizing'!$K$19*F56</f>
        <v>0</v>
      </c>
      <c r="G67" s="150">
        <f ca="1">+IFERROR(INDEX('Taxes and TIF'!$AC$11:$AC$45,MATCH('Phase II Pro Forma'!G$7,'Taxes and TIF'!$R$11:$R$45,0)),0)*'Loan Sizing'!$K$19*G56</f>
        <v>0</v>
      </c>
      <c r="H67" s="150">
        <f ca="1">+IFERROR(INDEX('Taxes and TIF'!$AC$11:$AC$45,MATCH('Phase II Pro Forma'!H$7,'Taxes and TIF'!$R$11:$R$45,0)),0)*'Loan Sizing'!$K$19*H56</f>
        <v>0</v>
      </c>
      <c r="I67" s="150">
        <f ca="1">+IFERROR(INDEX('Taxes and TIF'!$AC$11:$AC$45,MATCH('Phase II Pro Forma'!I$7,'Taxes and TIF'!$R$11:$R$45,0)),0)*'Loan Sizing'!$K$19*I56</f>
        <v>492045.2052607793</v>
      </c>
      <c r="J67" s="150">
        <f ca="1">+IFERROR(INDEX('Taxes and TIF'!$AC$11:$AC$45,MATCH('Phase II Pro Forma'!J$7,'Taxes and TIF'!$R$11:$R$45,0)),0)*'Loan Sizing'!$K$19*J56</f>
        <v>1003772.2187319896</v>
      </c>
      <c r="K67" s="150">
        <f ca="1">+IFERROR(INDEX('Taxes and TIF'!$AC$11:$AC$45,MATCH('Phase II Pro Forma'!K$7,'Taxes and TIF'!$R$11:$R$45,0)),0)*'Loan Sizing'!$K$19*K56</f>
        <v>1003772.2187319896</v>
      </c>
      <c r="L67" s="150">
        <f ca="1">+IFERROR(INDEX('Taxes and TIF'!$AC$11:$AC$45,MATCH('Phase II Pro Forma'!L$7,'Taxes and TIF'!$R$11:$R$45,0)),0)*'Loan Sizing'!$K$19*L56</f>
        <v>1003772.2187319896</v>
      </c>
      <c r="M67" s="150">
        <f ca="1">+IFERROR(INDEX('Taxes and TIF'!$AC$11:$AC$45,MATCH('Phase II Pro Forma'!M$7,'Taxes and TIF'!$R$11:$R$45,0)),0)*'Loan Sizing'!$K$19*M56</f>
        <v>1023847.6631066295</v>
      </c>
      <c r="N67" s="150">
        <f ca="1">+IFERROR(INDEX('Taxes and TIF'!$AC$11:$AC$45,MATCH('Phase II Pro Forma'!N$7,'Taxes and TIF'!$R$11:$R$45,0)),0)*'Loan Sizing'!$K$19*N56</f>
        <v>1023847.6631066295</v>
      </c>
      <c r="O67" s="150">
        <f ca="1">+IFERROR(INDEX('Taxes and TIF'!$AC$11:$AC$45,MATCH('Phase II Pro Forma'!O$7,'Taxes and TIF'!$R$11:$R$45,0)),0)*'Loan Sizing'!$K$19*O56</f>
        <v>1023847.6631066295</v>
      </c>
      <c r="P67" s="150">
        <f ca="1">+IFERROR(INDEX('Taxes and TIF'!$AC$11:$AC$45,MATCH('Phase II Pro Forma'!P$7,'Taxes and TIF'!$R$11:$R$45,0)),0)*'Loan Sizing'!$K$19*P56</f>
        <v>1044324.6163687621</v>
      </c>
      <c r="Q67" s="150">
        <f ca="1">+IFERROR(INDEX('Taxes and TIF'!$AC$11:$AC$45,MATCH('Phase II Pro Forma'!Q$7,'Taxes and TIF'!$R$11:$R$45,0)),0)*'Loan Sizing'!$K$19*Q56</f>
        <v>1044324.6163687621</v>
      </c>
      <c r="R67" s="150">
        <f ca="1">+IFERROR(INDEX('Taxes and TIF'!$AC$11:$AC$45,MATCH('Phase II Pro Forma'!R$7,'Taxes and TIF'!$R$11:$R$45,0)),0)*'Loan Sizing'!$K$19*R56</f>
        <v>1044324.6163687621</v>
      </c>
      <c r="S67" s="150">
        <f ca="1">+IFERROR(INDEX('Taxes and TIF'!$AC$11:$AC$45,MATCH('Phase II Pro Forma'!S$7,'Taxes and TIF'!$R$11:$R$45,0)),0)*'Loan Sizing'!$K$19*S56</f>
        <v>1065211.1086961373</v>
      </c>
      <c r="T67" s="150">
        <f ca="1">+IFERROR(INDEX('Taxes and TIF'!$AC$11:$AC$45,MATCH('Phase II Pro Forma'!T$7,'Taxes and TIF'!$R$11:$R$45,0)),0)*'Loan Sizing'!$K$19*T56</f>
        <v>1065211.1086961373</v>
      </c>
      <c r="U67" s="150">
        <f ca="1">+IFERROR(INDEX('Taxes and TIF'!$AC$11:$AC$45,MATCH('Phase II Pro Forma'!U$7,'Taxes and TIF'!$R$11:$R$45,0)),0)*'Loan Sizing'!$K$19*U56</f>
        <v>1065211.1086961373</v>
      </c>
      <c r="V67" s="150">
        <f ca="1">+IFERROR(INDEX('Taxes and TIF'!$AC$11:$AC$45,MATCH('Phase II Pro Forma'!V$7,'Taxes and TIF'!$R$11:$R$45,0)),0)*'Loan Sizing'!$K$19*V56</f>
        <v>1086515.3308700603</v>
      </c>
      <c r="W67" s="150">
        <f ca="1">+IFERROR(INDEX('Taxes and TIF'!$AC$11:$AC$45,MATCH('Phase II Pro Forma'!W$7,'Taxes and TIF'!$R$11:$R$45,0)),0)*'Loan Sizing'!$K$19*W56</f>
        <v>1086515.3308700603</v>
      </c>
      <c r="X67" s="150">
        <f ca="1">+IFERROR(INDEX('Taxes and TIF'!$AC$11:$AC$45,MATCH('Phase II Pro Forma'!X$7,'Taxes and TIF'!$R$11:$R$45,0)),0)*'Loan Sizing'!$K$19*X56</f>
        <v>1086515.3308700603</v>
      </c>
      <c r="Y67" s="150">
        <f ca="1">+IFERROR(INDEX('Taxes and TIF'!$AC$11:$AC$45,MATCH('Phase II Pro Forma'!Y$7,'Taxes and TIF'!$R$11:$R$45,0)),0)*'Loan Sizing'!$K$19*Y56</f>
        <v>1108245.6374874613</v>
      </c>
      <c r="Z67" s="150">
        <f ca="1">+IFERROR(INDEX('Taxes and TIF'!$AC$11:$AC$45,MATCH('Phase II Pro Forma'!Z$7,'Taxes and TIF'!$R$11:$R$45,0)),0)*'Loan Sizing'!$K$19*Z56</f>
        <v>1108245.6374874613</v>
      </c>
    </row>
    <row r="68" spans="2:26" x14ac:dyDescent="0.2">
      <c r="B68" s="136" t="s">
        <v>249</v>
      </c>
      <c r="C68" s="136"/>
      <c r="D68" s="136"/>
      <c r="E68" s="136"/>
      <c r="F68" s="128">
        <f ca="1">+SUM(F66:F67)</f>
        <v>0</v>
      </c>
      <c r="G68" s="128">
        <f t="shared" ref="G68" ca="1" si="60">+SUM(G66:G67)</f>
        <v>0</v>
      </c>
      <c r="H68" s="128">
        <f t="shared" ref="H68:Z68" ca="1" si="61">+SUM(H66:H67)</f>
        <v>0</v>
      </c>
      <c r="I68" s="128">
        <f t="shared" ca="1" si="61"/>
        <v>1043542.3804158592</v>
      </c>
      <c r="J68" s="128">
        <f t="shared" ca="1" si="61"/>
        <v>2139856.3995514545</v>
      </c>
      <c r="K68" s="128">
        <f t="shared" ca="1" si="61"/>
        <v>2173938.9249760383</v>
      </c>
      <c r="L68" s="128">
        <f t="shared" ca="1" si="61"/>
        <v>2209043.92616336</v>
      </c>
      <c r="M68" s="128">
        <f t="shared" ca="1" si="61"/>
        <v>2265277.521760941</v>
      </c>
      <c r="N68" s="128">
        <f t="shared" ca="1" si="61"/>
        <v>2302520.4175205706</v>
      </c>
      <c r="O68" s="128">
        <f t="shared" ca="1" si="61"/>
        <v>2340880.6001529885</v>
      </c>
      <c r="P68" s="128">
        <f t="shared" ca="1" si="61"/>
        <v>2400868.5415265118</v>
      </c>
      <c r="Q68" s="128">
        <f t="shared" ca="1" si="61"/>
        <v>2441564.8592812447</v>
      </c>
      <c r="R68" s="128">
        <f t="shared" ca="1" si="61"/>
        <v>2483482.0665686191</v>
      </c>
      <c r="S68" s="128">
        <f t="shared" ca="1" si="61"/>
        <v>2547543.2824019901</v>
      </c>
      <c r="T68" s="128">
        <f t="shared" ca="1" si="61"/>
        <v>2592013.2476131655</v>
      </c>
      <c r="U68" s="128">
        <f t="shared" ca="1" si="61"/>
        <v>2637817.3117806767</v>
      </c>
      <c r="V68" s="128">
        <f t="shared" ca="1" si="61"/>
        <v>2706299.7200471358</v>
      </c>
      <c r="W68" s="128">
        <f t="shared" ca="1" si="61"/>
        <v>2754893.2517224485</v>
      </c>
      <c r="X68" s="128">
        <f t="shared" ca="1" si="61"/>
        <v>2804944.58934802</v>
      </c>
      <c r="Y68" s="128">
        <f t="shared" ca="1" si="61"/>
        <v>2878227.7737197597</v>
      </c>
      <c r="Z68" s="128">
        <f t="shared" ca="1" si="61"/>
        <v>2931327.237806729</v>
      </c>
    </row>
    <row r="69" spans="2:26" x14ac:dyDescent="0.2">
      <c r="B69" s="32"/>
    </row>
    <row r="70" spans="2:26" x14ac:dyDescent="0.2">
      <c r="B70" s="137" t="s">
        <v>248</v>
      </c>
      <c r="C70" s="137"/>
      <c r="D70" s="137"/>
      <c r="E70" s="137"/>
      <c r="F70" s="138">
        <f ca="1">+F64-F68</f>
        <v>0</v>
      </c>
      <c r="G70" s="138">
        <f t="shared" ref="G70:Z70" ca="1" si="62">+G64-G68</f>
        <v>0</v>
      </c>
      <c r="H70" s="138">
        <f t="shared" ca="1" si="62"/>
        <v>0</v>
      </c>
      <c r="I70" s="138">
        <f t="shared" ca="1" si="62"/>
        <v>1388109.9659584141</v>
      </c>
      <c r="J70" s="138">
        <f t="shared" ca="1" si="62"/>
        <v>2770942.768044855</v>
      </c>
      <c r="K70" s="138">
        <f t="shared" ca="1" si="62"/>
        <v>2767534.5155023965</v>
      </c>
      <c r="L70" s="138">
        <f t="shared" ca="1" si="62"/>
        <v>3062516.8561836644</v>
      </c>
      <c r="M70" s="138">
        <f t="shared" ca="1" si="62"/>
        <v>3056893.4966239068</v>
      </c>
      <c r="N70" s="138">
        <f t="shared" ca="1" si="62"/>
        <v>3053169.207047943</v>
      </c>
      <c r="O70" s="138">
        <f t="shared" ca="1" si="62"/>
        <v>3049333.1887847013</v>
      </c>
      <c r="P70" s="138">
        <f t="shared" ca="1" si="62"/>
        <v>3043334.3946473501</v>
      </c>
      <c r="Q70" s="138">
        <f t="shared" ca="1" si="62"/>
        <v>3367606.8877518764</v>
      </c>
      <c r="R70" s="138">
        <f t="shared" ca="1" si="62"/>
        <v>3363415.1670231386</v>
      </c>
      <c r="S70" s="138">
        <f t="shared" ca="1" si="62"/>
        <v>3357009.0454398021</v>
      </c>
      <c r="T70" s="138">
        <f t="shared" ca="1" si="62"/>
        <v>3352562.0489186849</v>
      </c>
      <c r="U70" s="138">
        <f t="shared" ca="1" si="62"/>
        <v>3347981.642501933</v>
      </c>
      <c r="V70" s="138">
        <f t="shared" ca="1" si="62"/>
        <v>3702309.739043287</v>
      </c>
      <c r="W70" s="138">
        <f t="shared" ca="1" si="62"/>
        <v>3697450.3858757569</v>
      </c>
      <c r="X70" s="138">
        <f t="shared" ca="1" si="62"/>
        <v>3692445.2521131989</v>
      </c>
      <c r="Y70" s="138">
        <f t="shared" ca="1" si="62"/>
        <v>3685116.9336760258</v>
      </c>
      <c r="Z70" s="138">
        <f t="shared" ca="1" si="62"/>
        <v>3679806.9872673275</v>
      </c>
    </row>
    <row r="71" spans="2:26" x14ac:dyDescent="0.2">
      <c r="B71" s="142" t="s">
        <v>254</v>
      </c>
      <c r="C71" s="140"/>
      <c r="D71" s="140"/>
      <c r="E71" s="140"/>
      <c r="F71" s="143" t="str">
        <f ca="1">+IFERROR(F70/F64,"")</f>
        <v/>
      </c>
      <c r="G71" s="143" t="str">
        <f t="shared" ref="G71:Z71" ca="1" si="63">+IFERROR(G70/G64,"")</f>
        <v/>
      </c>
      <c r="H71" s="143" t="str">
        <f t="shared" ca="1" si="63"/>
        <v/>
      </c>
      <c r="I71" s="144">
        <f t="shared" ca="1" si="63"/>
        <v>0.57085050337403787</v>
      </c>
      <c r="J71" s="144">
        <f t="shared" ca="1" si="63"/>
        <v>0.56425495596089492</v>
      </c>
      <c r="K71" s="144">
        <f t="shared" ca="1" si="63"/>
        <v>0.56006261064401131</v>
      </c>
      <c r="L71" s="144">
        <f t="shared" ca="1" si="63"/>
        <v>0.58095068664278193</v>
      </c>
      <c r="M71" s="144">
        <f t="shared" ca="1" si="63"/>
        <v>0.57436964841306459</v>
      </c>
      <c r="N71" s="144">
        <f t="shared" ca="1" si="63"/>
        <v>0.57007956417824057</v>
      </c>
      <c r="O71" s="144">
        <f t="shared" ca="1" si="63"/>
        <v>0.56571655748475758</v>
      </c>
      <c r="P71" s="144">
        <f t="shared" ca="1" si="63"/>
        <v>0.5590045834673053</v>
      </c>
      <c r="Q71" s="144">
        <f t="shared" ca="1" si="63"/>
        <v>0.57970516872251043</v>
      </c>
      <c r="R71" s="144">
        <f t="shared" ca="1" si="63"/>
        <v>0.575247867826298</v>
      </c>
      <c r="S71" s="144">
        <f t="shared" ca="1" si="63"/>
        <v>0.56854590476071576</v>
      </c>
      <c r="T71" s="144">
        <f t="shared" ca="1" si="63"/>
        <v>0.5639699863629648</v>
      </c>
      <c r="U71" s="144">
        <f t="shared" ca="1" si="63"/>
        <v>0.55932076370633543</v>
      </c>
      <c r="V71" s="144">
        <f t="shared" ca="1" si="63"/>
        <v>0.5777087467534272</v>
      </c>
      <c r="W71" s="144">
        <f t="shared" ca="1" si="63"/>
        <v>0.57303990511765135</v>
      </c>
      <c r="X71" s="144">
        <f t="shared" ca="1" si="63"/>
        <v>0.5682967071716899</v>
      </c>
      <c r="Y71" s="144">
        <f t="shared" ca="1" si="63"/>
        <v>0.56146935715924218</v>
      </c>
      <c r="Z71" s="144">
        <f t="shared" ca="1" si="63"/>
        <v>0.55660751423120702</v>
      </c>
    </row>
    <row r="72" spans="2:26" x14ac:dyDescent="0.2">
      <c r="B72" s="142" t="s">
        <v>188</v>
      </c>
      <c r="C72" s="140"/>
      <c r="D72" s="140"/>
      <c r="E72" s="140"/>
      <c r="F72" s="141">
        <f ca="1">+F70/'Assumptions and Sensis'!$O$155</f>
        <v>0</v>
      </c>
      <c r="G72" s="141">
        <f ca="1">+G70/'Assumptions and Sensis'!$O$155</f>
        <v>0</v>
      </c>
      <c r="H72" s="141">
        <f ca="1">+H70/'Assumptions and Sensis'!$O$155</f>
        <v>0</v>
      </c>
      <c r="I72" s="141">
        <f ca="1">+I70/'Assumptions and Sensis'!$O$155</f>
        <v>21355537.937821753</v>
      </c>
      <c r="J72" s="141">
        <f ca="1">+J70/'Assumptions and Sensis'!$O$155</f>
        <v>42629888.739151612</v>
      </c>
      <c r="K72" s="141">
        <f ca="1">+K70/'Assumptions and Sensis'!$O$155</f>
        <v>42577454.084652252</v>
      </c>
      <c r="L72" s="141">
        <f ca="1">+L70/'Assumptions and Sensis'!$O$155</f>
        <v>47115643.941287145</v>
      </c>
      <c r="M72" s="141">
        <f ca="1">+M70/'Assumptions and Sensis'!$O$155</f>
        <v>47029130.717290871</v>
      </c>
      <c r="N72" s="141">
        <f ca="1">+N70/'Assumptions and Sensis'!$O$155</f>
        <v>46971833.954583734</v>
      </c>
      <c r="O72" s="141">
        <f ca="1">+O70/'Assumptions and Sensis'!$O$155</f>
        <v>46912818.2889954</v>
      </c>
      <c r="P72" s="141">
        <f ca="1">+P70/'Assumptions and Sensis'!$O$155</f>
        <v>46820529.148420766</v>
      </c>
      <c r="Q72" s="141">
        <f ca="1">+Q70/'Assumptions and Sensis'!$O$155</f>
        <v>51809336.734644249</v>
      </c>
      <c r="R72" s="141">
        <f ca="1">+R70/'Assumptions and Sensis'!$O$155</f>
        <v>51744848.723432899</v>
      </c>
      <c r="S72" s="141">
        <f ca="1">+S70/'Assumptions and Sensis'!$O$155</f>
        <v>51646293.006766185</v>
      </c>
      <c r="T72" s="141">
        <f ca="1">+T70/'Assumptions and Sensis'!$O$155</f>
        <v>51577877.675672077</v>
      </c>
      <c r="U72" s="141">
        <f ca="1">+U70/'Assumptions and Sensis'!$O$155</f>
        <v>51507409.884645119</v>
      </c>
      <c r="V72" s="141">
        <f ca="1">+V70/'Assumptions and Sensis'!$O$155</f>
        <v>56958611.369896725</v>
      </c>
      <c r="W72" s="141">
        <f ca="1">+W70/'Assumptions and Sensis'!$O$155</f>
        <v>56883852.090396255</v>
      </c>
      <c r="X72" s="141">
        <f ca="1">+X70/'Assumptions and Sensis'!$O$155</f>
        <v>56806850.03251075</v>
      </c>
      <c r="Y72" s="141">
        <f ca="1">+Y70/'Assumptions and Sensis'!$O$155</f>
        <v>56694106.671938859</v>
      </c>
      <c r="Z72" s="141">
        <f ca="1">+Z70/'Assumptions and Sensis'!$O$155</f>
        <v>56612415.188728116</v>
      </c>
    </row>
    <row r="74" spans="2:26" x14ac:dyDescent="0.2">
      <c r="B74" s="147" t="s">
        <v>145</v>
      </c>
      <c r="C74" s="148"/>
      <c r="D74" s="148"/>
      <c r="E74" s="148"/>
      <c r="F74" s="149">
        <f>+'Assumptions and Sensis'!$G$43</f>
        <v>44926</v>
      </c>
      <c r="G74" s="149">
        <f>+EOMONTH(F74,12)</f>
        <v>45291</v>
      </c>
      <c r="H74" s="149">
        <f t="shared" ref="H74:Z74" si="64">+EOMONTH(G74,12)</f>
        <v>45657</v>
      </c>
      <c r="I74" s="149">
        <f t="shared" si="64"/>
        <v>46022</v>
      </c>
      <c r="J74" s="149">
        <f t="shared" si="64"/>
        <v>46387</v>
      </c>
      <c r="K74" s="149">
        <f t="shared" si="64"/>
        <v>46752</v>
      </c>
      <c r="L74" s="149">
        <f t="shared" si="64"/>
        <v>47118</v>
      </c>
      <c r="M74" s="149">
        <f t="shared" si="64"/>
        <v>47483</v>
      </c>
      <c r="N74" s="149">
        <f t="shared" si="64"/>
        <v>47848</v>
      </c>
      <c r="O74" s="149">
        <f t="shared" si="64"/>
        <v>48213</v>
      </c>
      <c r="P74" s="149">
        <f t="shared" si="64"/>
        <v>48579</v>
      </c>
      <c r="Q74" s="149">
        <f t="shared" si="64"/>
        <v>48944</v>
      </c>
      <c r="R74" s="149">
        <f t="shared" si="64"/>
        <v>49309</v>
      </c>
      <c r="S74" s="149">
        <f t="shared" si="64"/>
        <v>49674</v>
      </c>
      <c r="T74" s="149">
        <f t="shared" si="64"/>
        <v>50040</v>
      </c>
      <c r="U74" s="149">
        <f t="shared" si="64"/>
        <v>50405</v>
      </c>
      <c r="V74" s="149">
        <f t="shared" si="64"/>
        <v>50770</v>
      </c>
      <c r="W74" s="149">
        <f t="shared" si="64"/>
        <v>51135</v>
      </c>
      <c r="X74" s="149">
        <f t="shared" si="64"/>
        <v>51501</v>
      </c>
      <c r="Y74" s="149">
        <f t="shared" si="64"/>
        <v>51866</v>
      </c>
      <c r="Z74" s="149">
        <f t="shared" si="64"/>
        <v>52231</v>
      </c>
    </row>
    <row r="75" spans="2:26" x14ac:dyDescent="0.2">
      <c r="B75" s="32" t="s">
        <v>756</v>
      </c>
      <c r="C75" s="32"/>
      <c r="D75" s="39"/>
      <c r="E75" s="39"/>
      <c r="F75" s="41">
        <f>+IF(AND(F74&gt;='Assumptions and Sensis'!$G$47,F74&lt;'Assumptions and Sensis'!$G$49),'Assumptions and Sensis'!$G$184/ROUNDUP(('Assumptions and Sensis'!$G$48/12),0),0)</f>
        <v>0</v>
      </c>
      <c r="G75" s="41">
        <f>+IF(AND(G74&gt;='Assumptions and Sensis'!$G$47,G74&lt;'Assumptions and Sensis'!$G$49),'Assumptions and Sensis'!$G$184/ROUNDUP(('Assumptions and Sensis'!$G$48/12),0),0)</f>
        <v>0</v>
      </c>
      <c r="H75" s="41">
        <f>+IF(AND(H74&gt;='Assumptions and Sensis'!$G$47,H74&lt;'Assumptions and Sensis'!$G$49),'Assumptions and Sensis'!$G$184/ROUNDUP(('Assumptions and Sensis'!$G$48/12),0),0)</f>
        <v>0</v>
      </c>
      <c r="I75" s="41">
        <f>+IF(AND(I74&gt;='Assumptions and Sensis'!$G$47,I74&lt;'Assumptions and Sensis'!$G$49),'Assumptions and Sensis'!$G$184/ROUNDUP(('Assumptions and Sensis'!$G$48/12),0),0)</f>
        <v>5.0000000000000002E-5</v>
      </c>
      <c r="J75" s="41">
        <f>+IF(AND(J74&gt;='Assumptions and Sensis'!$G$47,J74&lt;'Assumptions and Sensis'!$G$49),'Assumptions and Sensis'!$G$184/ROUNDUP(('Assumptions and Sensis'!$G$48/12),0),0)</f>
        <v>5.0000000000000002E-5</v>
      </c>
      <c r="K75" s="41">
        <f>+IF(AND(K74&gt;='Assumptions and Sensis'!$G$47,K74&lt;'Assumptions and Sensis'!$G$49),'Assumptions and Sensis'!$G$184/ROUNDUP(('Assumptions and Sensis'!$G$48/12),0),0)</f>
        <v>0</v>
      </c>
      <c r="L75" s="41">
        <f>+IF(AND(L74&gt;='Assumptions and Sensis'!$G$47,L74&lt;'Assumptions and Sensis'!$G$49),'Assumptions and Sensis'!$G$184/ROUNDUP(('Assumptions and Sensis'!$G$48/12),0),0)</f>
        <v>0</v>
      </c>
      <c r="M75" s="41">
        <f>+IF(AND(M74&gt;='Assumptions and Sensis'!$G$47,M74&lt;'Assumptions and Sensis'!$G$49),'Assumptions and Sensis'!$G$184/ROUNDUP(('Assumptions and Sensis'!$G$48/12),0),0)</f>
        <v>0</v>
      </c>
      <c r="N75" s="41">
        <f>+IF(AND(N74&gt;='Assumptions and Sensis'!$G$47,N74&lt;'Assumptions and Sensis'!$G$49),'Assumptions and Sensis'!$G$184/ROUNDUP(('Assumptions and Sensis'!$G$48/12),0),0)</f>
        <v>0</v>
      </c>
      <c r="O75" s="41">
        <f>+IF(AND(O74&gt;='Assumptions and Sensis'!$G$47,O74&lt;'Assumptions and Sensis'!$G$49),'Assumptions and Sensis'!$G$184/ROUNDUP(('Assumptions and Sensis'!$G$48/12),0),0)</f>
        <v>0</v>
      </c>
      <c r="P75" s="41">
        <f>+IF(AND(P74&gt;='Assumptions and Sensis'!$G$47,P74&lt;'Assumptions and Sensis'!$G$49),'Assumptions and Sensis'!$G$184/ROUNDUP(('Assumptions and Sensis'!$G$48/12),0),0)</f>
        <v>0</v>
      </c>
      <c r="Q75" s="41">
        <f>+IF(AND(Q74&gt;='Assumptions and Sensis'!$G$47,Q74&lt;'Assumptions and Sensis'!$G$49),'Assumptions and Sensis'!$G$184/ROUNDUP(('Assumptions and Sensis'!$G$48/12),0),0)</f>
        <v>0</v>
      </c>
      <c r="R75" s="41">
        <f>+IF(AND(R74&gt;='Assumptions and Sensis'!$G$47,R74&lt;'Assumptions and Sensis'!$G$49),'Assumptions and Sensis'!$G$184/ROUNDUP(('Assumptions and Sensis'!$G$48/12),0),0)</f>
        <v>0</v>
      </c>
      <c r="S75" s="41">
        <f>+IF(AND(S74&gt;='Assumptions and Sensis'!$G$47,S74&lt;'Assumptions and Sensis'!$G$49),'Assumptions and Sensis'!$G$184/ROUNDUP(('Assumptions and Sensis'!$G$48/12),0),0)</f>
        <v>0</v>
      </c>
      <c r="T75" s="41">
        <f>+IF(AND(T74&gt;='Assumptions and Sensis'!$G$47,T74&lt;'Assumptions and Sensis'!$G$49),'Assumptions and Sensis'!$G$184/ROUNDUP(('Assumptions and Sensis'!$G$48/12),0),0)</f>
        <v>0</v>
      </c>
      <c r="U75" s="41">
        <f>+IF(AND(U74&gt;='Assumptions and Sensis'!$G$47,U74&lt;'Assumptions and Sensis'!$G$49),'Assumptions and Sensis'!$G$184/ROUNDUP(('Assumptions and Sensis'!$G$48/12),0),0)</f>
        <v>0</v>
      </c>
      <c r="V75" s="41">
        <f>+IF(AND(V74&gt;='Assumptions and Sensis'!$G$47,V74&lt;'Assumptions and Sensis'!$G$49),'Assumptions and Sensis'!$G$184/ROUNDUP(('Assumptions and Sensis'!$G$48/12),0),0)</f>
        <v>0</v>
      </c>
      <c r="W75" s="41">
        <f>+IF(AND(W74&gt;='Assumptions and Sensis'!$G$47,W74&lt;'Assumptions and Sensis'!$G$49),'Assumptions and Sensis'!$G$184/ROUNDUP(('Assumptions and Sensis'!$G$48/12),0),0)</f>
        <v>0</v>
      </c>
      <c r="X75" s="41">
        <f>+IF(AND(X74&gt;='Assumptions and Sensis'!$G$47,X74&lt;'Assumptions and Sensis'!$G$49),'Assumptions and Sensis'!$G$184/ROUNDUP(('Assumptions and Sensis'!$G$48/12),0),0)</f>
        <v>0</v>
      </c>
      <c r="Y75" s="41">
        <f>+IF(AND(Y74&gt;='Assumptions and Sensis'!$G$47,Y74&lt;'Assumptions and Sensis'!$G$49),'Assumptions and Sensis'!$G$184/ROUNDUP(('Assumptions and Sensis'!$G$48/12),0),0)</f>
        <v>0</v>
      </c>
      <c r="Z75" s="41">
        <f>+IF(AND(Z74&gt;='Assumptions and Sensis'!$G$47,Z74&lt;'Assumptions and Sensis'!$G$49),'Assumptions and Sensis'!$G$184/ROUNDUP(('Assumptions and Sensis'!$G$48/12),0),0)</f>
        <v>0</v>
      </c>
    </row>
    <row r="76" spans="2:26" x14ac:dyDescent="0.2">
      <c r="B76" s="32" t="s">
        <v>246</v>
      </c>
      <c r="C76" s="32"/>
      <c r="D76" s="41">
        <v>0</v>
      </c>
      <c r="E76" s="41"/>
      <c r="F76" s="41">
        <f>+D76+F75</f>
        <v>0</v>
      </c>
      <c r="G76" s="41">
        <f t="shared" ref="G76:Z76" si="65">+F76+G75</f>
        <v>0</v>
      </c>
      <c r="H76" s="41">
        <f t="shared" si="65"/>
        <v>0</v>
      </c>
      <c r="I76" s="41">
        <f t="shared" si="65"/>
        <v>5.0000000000000002E-5</v>
      </c>
      <c r="J76" s="41">
        <f t="shared" si="65"/>
        <v>1E-4</v>
      </c>
      <c r="K76" s="41">
        <f t="shared" si="65"/>
        <v>1E-4</v>
      </c>
      <c r="L76" s="41">
        <f t="shared" si="65"/>
        <v>1E-4</v>
      </c>
      <c r="M76" s="41">
        <f t="shared" si="65"/>
        <v>1E-4</v>
      </c>
      <c r="N76" s="41">
        <f t="shared" si="65"/>
        <v>1E-4</v>
      </c>
      <c r="O76" s="41">
        <f t="shared" si="65"/>
        <v>1E-4</v>
      </c>
      <c r="P76" s="41">
        <f t="shared" si="65"/>
        <v>1E-4</v>
      </c>
      <c r="Q76" s="41">
        <f t="shared" si="65"/>
        <v>1E-4</v>
      </c>
      <c r="R76" s="41">
        <f t="shared" si="65"/>
        <v>1E-4</v>
      </c>
      <c r="S76" s="41">
        <f t="shared" si="65"/>
        <v>1E-4</v>
      </c>
      <c r="T76" s="41">
        <f t="shared" si="65"/>
        <v>1E-4</v>
      </c>
      <c r="U76" s="41">
        <f t="shared" si="65"/>
        <v>1E-4</v>
      </c>
      <c r="V76" s="41">
        <f t="shared" si="65"/>
        <v>1E-4</v>
      </c>
      <c r="W76" s="41">
        <f t="shared" si="65"/>
        <v>1E-4</v>
      </c>
      <c r="X76" s="41">
        <f t="shared" si="65"/>
        <v>1E-4</v>
      </c>
      <c r="Y76" s="41">
        <f t="shared" si="65"/>
        <v>1E-4</v>
      </c>
      <c r="Z76" s="41">
        <f t="shared" si="65"/>
        <v>1E-4</v>
      </c>
    </row>
    <row r="77" spans="2:26" x14ac:dyDescent="0.2">
      <c r="B77" s="32" t="s">
        <v>301</v>
      </c>
      <c r="C77" s="32"/>
      <c r="D77" s="41"/>
      <c r="E77" s="41"/>
      <c r="F77" s="107">
        <f t="shared" ref="F77:Z77" si="66">+F76/SUM($F75:$Z75)</f>
        <v>0</v>
      </c>
      <c r="G77" s="107">
        <f t="shared" si="66"/>
        <v>0</v>
      </c>
      <c r="H77" s="107">
        <f t="shared" si="66"/>
        <v>0</v>
      </c>
      <c r="I77" s="107">
        <f t="shared" si="66"/>
        <v>0.5</v>
      </c>
      <c r="J77" s="107">
        <f t="shared" si="66"/>
        <v>1</v>
      </c>
      <c r="K77" s="107">
        <f t="shared" si="66"/>
        <v>1</v>
      </c>
      <c r="L77" s="107">
        <f t="shared" si="66"/>
        <v>1</v>
      </c>
      <c r="M77" s="107">
        <f t="shared" si="66"/>
        <v>1</v>
      </c>
      <c r="N77" s="107">
        <f t="shared" si="66"/>
        <v>1</v>
      </c>
      <c r="O77" s="107">
        <f t="shared" si="66"/>
        <v>1</v>
      </c>
      <c r="P77" s="107">
        <f t="shared" si="66"/>
        <v>1</v>
      </c>
      <c r="Q77" s="107">
        <f t="shared" si="66"/>
        <v>1</v>
      </c>
      <c r="R77" s="107">
        <f t="shared" si="66"/>
        <v>1</v>
      </c>
      <c r="S77" s="107">
        <f t="shared" si="66"/>
        <v>1</v>
      </c>
      <c r="T77" s="107">
        <f t="shared" si="66"/>
        <v>1</v>
      </c>
      <c r="U77" s="107">
        <f t="shared" si="66"/>
        <v>1</v>
      </c>
      <c r="V77" s="107">
        <f t="shared" si="66"/>
        <v>1</v>
      </c>
      <c r="W77" s="107">
        <f t="shared" si="66"/>
        <v>1</v>
      </c>
      <c r="X77" s="107">
        <f t="shared" si="66"/>
        <v>1</v>
      </c>
      <c r="Y77" s="107">
        <f t="shared" si="66"/>
        <v>1</v>
      </c>
      <c r="Z77" s="107">
        <f t="shared" si="66"/>
        <v>1</v>
      </c>
    </row>
    <row r="78" spans="2:26" x14ac:dyDescent="0.2">
      <c r="B78" s="32"/>
      <c r="C78" s="32"/>
      <c r="D78" s="39"/>
      <c r="E78" s="39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2:26" x14ac:dyDescent="0.2">
      <c r="B79" s="32" t="s">
        <v>251</v>
      </c>
      <c r="C79" s="32"/>
      <c r="D79" s="41"/>
      <c r="E79" s="41"/>
      <c r="F79" s="107">
        <v>1</v>
      </c>
      <c r="G79" s="107">
        <f>+IF(MOD(G$2,'Assumptions and Sensis'!$O$91)=('Assumptions and Sensis'!$O$91-1),F79*(1+'Assumptions and Sensis'!$O$90),'Phase II Pro Forma'!F79)</f>
        <v>1</v>
      </c>
      <c r="H79" s="107">
        <f>+IF(MOD(H$2,'Assumptions and Sensis'!$O$91)=('Assumptions and Sensis'!$O$91-1),G79*(1+'Assumptions and Sensis'!$O$90),'Phase II Pro Forma'!G79)</f>
        <v>1</v>
      </c>
      <c r="I79" s="107">
        <f>+IF(MOD(I$2,'Assumptions and Sensis'!$O$91)=('Assumptions and Sensis'!$O$91-1),H79*(1+'Assumptions and Sensis'!$O$90),'Phase II Pro Forma'!H79)</f>
        <v>1</v>
      </c>
      <c r="J79" s="107">
        <f>+IF(MOD(J$2,'Assumptions and Sensis'!$O$91)=('Assumptions and Sensis'!$O$91-1),I79*(1+'Assumptions and Sensis'!$O$90),'Phase II Pro Forma'!I79)</f>
        <v>1</v>
      </c>
      <c r="K79" s="107">
        <f>+IF(MOD(K$2,'Assumptions and Sensis'!$O$91)=('Assumptions and Sensis'!$O$91-1),J79*(1+'Assumptions and Sensis'!$O$90),'Phase II Pro Forma'!J79)</f>
        <v>1</v>
      </c>
      <c r="L79" s="107">
        <f>+IF(MOD(L$2,'Assumptions and Sensis'!$O$91)=('Assumptions and Sensis'!$O$91-1),K79*(1+'Assumptions and Sensis'!$O$90),'Phase II Pro Forma'!K79)</f>
        <v>1.05</v>
      </c>
      <c r="M79" s="107">
        <f>+IF(MOD(M$2,'Assumptions and Sensis'!$O$91)=('Assumptions and Sensis'!$O$91-1),L79*(1+'Assumptions and Sensis'!$O$90),'Phase II Pro Forma'!L79)</f>
        <v>1.05</v>
      </c>
      <c r="N79" s="107">
        <f>+IF(MOD(N$2,'Assumptions and Sensis'!$O$91)=('Assumptions and Sensis'!$O$91-1),M79*(1+'Assumptions and Sensis'!$O$90),'Phase II Pro Forma'!M79)</f>
        <v>1.05</v>
      </c>
      <c r="O79" s="107">
        <f>+IF(MOD(O$2,'Assumptions and Sensis'!$O$91)=('Assumptions and Sensis'!$O$91-1),N79*(1+'Assumptions and Sensis'!$O$90),'Phase II Pro Forma'!N79)</f>
        <v>1.05</v>
      </c>
      <c r="P79" s="107">
        <f>+IF(MOD(P$2,'Assumptions and Sensis'!$O$91)=('Assumptions and Sensis'!$O$91-1),O79*(1+'Assumptions and Sensis'!$O$90),'Phase II Pro Forma'!O79)</f>
        <v>1.05</v>
      </c>
      <c r="Q79" s="107">
        <f>+IF(MOD(Q$2,'Assumptions and Sensis'!$O$91)=('Assumptions and Sensis'!$O$91-1),P79*(1+'Assumptions and Sensis'!$O$90),'Phase II Pro Forma'!P79)</f>
        <v>1.1025</v>
      </c>
      <c r="R79" s="107">
        <f>+IF(MOD(R$2,'Assumptions and Sensis'!$O$91)=('Assumptions and Sensis'!$O$91-1),Q79*(1+'Assumptions and Sensis'!$O$90),'Phase II Pro Forma'!Q79)</f>
        <v>1.1025</v>
      </c>
      <c r="S79" s="107">
        <f>+IF(MOD(S$2,'Assumptions and Sensis'!$O$91)=('Assumptions and Sensis'!$O$91-1),R79*(1+'Assumptions and Sensis'!$O$90),'Phase II Pro Forma'!R79)</f>
        <v>1.1025</v>
      </c>
      <c r="T79" s="107">
        <f>+IF(MOD(T$2,'Assumptions and Sensis'!$O$91)=('Assumptions and Sensis'!$O$91-1),S79*(1+'Assumptions and Sensis'!$O$90),'Phase II Pro Forma'!S79)</f>
        <v>1.1025</v>
      </c>
      <c r="U79" s="107">
        <f>+IF(MOD(U$2,'Assumptions and Sensis'!$O$91)=('Assumptions and Sensis'!$O$91-1),T79*(1+'Assumptions and Sensis'!$O$90),'Phase II Pro Forma'!T79)</f>
        <v>1.1025</v>
      </c>
      <c r="V79" s="107">
        <f>+IF(MOD(V$2,'Assumptions and Sensis'!$O$91)=('Assumptions and Sensis'!$O$91-1),U79*(1+'Assumptions and Sensis'!$O$90),'Phase II Pro Forma'!U79)</f>
        <v>1.1576250000000001</v>
      </c>
      <c r="W79" s="107">
        <f>+IF(MOD(W$2,'Assumptions and Sensis'!$O$91)=('Assumptions and Sensis'!$O$91-1),V79*(1+'Assumptions and Sensis'!$O$90),'Phase II Pro Forma'!V79)</f>
        <v>1.1576250000000001</v>
      </c>
      <c r="X79" s="107">
        <f>+IF(MOD(X$2,'Assumptions and Sensis'!$O$91)=('Assumptions and Sensis'!$O$91-1),W79*(1+'Assumptions and Sensis'!$O$90),'Phase II Pro Forma'!W79)</f>
        <v>1.1576250000000001</v>
      </c>
      <c r="Y79" s="107">
        <f>+IF(MOD(Y$2,'Assumptions and Sensis'!$O$91)=('Assumptions and Sensis'!$O$91-1),X79*(1+'Assumptions and Sensis'!$O$90),'Phase II Pro Forma'!X79)</f>
        <v>1.1576250000000001</v>
      </c>
      <c r="Z79" s="107">
        <f>+IF(MOD(Z$2,'Assumptions and Sensis'!$O$91)=('Assumptions and Sensis'!$O$91-1),Y79*(1+'Assumptions and Sensis'!$O$90),'Phase II Pro Forma'!Y79)</f>
        <v>1.1576250000000001</v>
      </c>
    </row>
    <row r="80" spans="2:26" x14ac:dyDescent="0.2">
      <c r="B80" s="32" t="s">
        <v>252</v>
      </c>
      <c r="C80" s="32"/>
      <c r="D80" s="41"/>
      <c r="E80" s="41"/>
      <c r="F80" s="107">
        <v>1</v>
      </c>
      <c r="G80" s="107">
        <f>+F80*(1+'Assumptions and Sensis'!$O$101)</f>
        <v>1.03</v>
      </c>
      <c r="H80" s="107">
        <f>+G80*(1+'Assumptions and Sensis'!$O$101)</f>
        <v>1.0609</v>
      </c>
      <c r="I80" s="107">
        <f>+H80*(1+'Assumptions and Sensis'!$O$101)</f>
        <v>1.092727</v>
      </c>
      <c r="J80" s="107">
        <f>+I80*(1+'Assumptions and Sensis'!$O$101)</f>
        <v>1.1255088100000001</v>
      </c>
      <c r="K80" s="107">
        <f>+J80*(1+'Assumptions and Sensis'!$O$101)</f>
        <v>1.1592740743000001</v>
      </c>
      <c r="L80" s="107">
        <f>+K80*(1+'Assumptions and Sensis'!$O$101)</f>
        <v>1.1940522965290001</v>
      </c>
      <c r="M80" s="107">
        <f>+L80*(1+'Assumptions and Sensis'!$O$101)</f>
        <v>1.2298738654248702</v>
      </c>
      <c r="N80" s="107">
        <f>+M80*(1+'Assumptions and Sensis'!$O$101)</f>
        <v>1.2667700813876164</v>
      </c>
      <c r="O80" s="107">
        <f>+N80*(1+'Assumptions and Sensis'!$O$101)</f>
        <v>1.3047731838292449</v>
      </c>
      <c r="P80" s="107">
        <f>+O80*(1+'Assumptions and Sensis'!$O$101)</f>
        <v>1.3439163793441222</v>
      </c>
      <c r="Q80" s="107">
        <f>+P80*(1+'Assumptions and Sensis'!$O$101)</f>
        <v>1.3842338707244459</v>
      </c>
      <c r="R80" s="107">
        <f>+Q80*(1+'Assumptions and Sensis'!$O$101)</f>
        <v>1.4257608868461793</v>
      </c>
      <c r="S80" s="107">
        <f>+R80*(1+'Assumptions and Sensis'!$O$101)</f>
        <v>1.4685337134515648</v>
      </c>
      <c r="T80" s="107">
        <f>+S80*(1+'Assumptions and Sensis'!$O$101)</f>
        <v>1.5125897248551119</v>
      </c>
      <c r="U80" s="107">
        <f>+T80*(1+'Assumptions and Sensis'!$O$101)</f>
        <v>1.5579674166007653</v>
      </c>
      <c r="V80" s="107">
        <f>+U80*(1+'Assumptions and Sensis'!$O$101)</f>
        <v>1.6047064390987884</v>
      </c>
      <c r="W80" s="107">
        <f>+V80*(1+'Assumptions and Sensis'!$O$101)</f>
        <v>1.652847632271752</v>
      </c>
      <c r="X80" s="107">
        <f>+W80*(1+'Assumptions and Sensis'!$O$101)</f>
        <v>1.7024330612399046</v>
      </c>
      <c r="Y80" s="107">
        <f>+X80*(1+'Assumptions and Sensis'!$O$101)</f>
        <v>1.7535060530771018</v>
      </c>
      <c r="Z80" s="107">
        <f>+Y80*(1+'Assumptions and Sensis'!$O$101)</f>
        <v>1.806111234669415</v>
      </c>
    </row>
    <row r="81" spans="2:26" x14ac:dyDescent="0.2">
      <c r="B81" s="32"/>
      <c r="C81" s="32"/>
      <c r="D81" s="39"/>
      <c r="E81" s="39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2:26" x14ac:dyDescent="0.2">
      <c r="B82" s="32" t="s">
        <v>243</v>
      </c>
      <c r="C82" s="32"/>
      <c r="D82" s="39"/>
      <c r="E82" s="39"/>
      <c r="F82" s="33">
        <f>+F77*'Assumptions and Sensis'!$G$183*F79</f>
        <v>0</v>
      </c>
      <c r="G82" s="33">
        <f>+G77*'Assumptions and Sensis'!$G$183*G79</f>
        <v>0</v>
      </c>
      <c r="H82" s="33">
        <f>+H77*'Assumptions and Sensis'!$G$183*H79</f>
        <v>0</v>
      </c>
      <c r="I82" s="33">
        <f>+I77*'Assumptions and Sensis'!$G$183*I79</f>
        <v>0</v>
      </c>
      <c r="J82" s="33">
        <f>+J77*'Assumptions and Sensis'!$G$183*J79</f>
        <v>0</v>
      </c>
      <c r="K82" s="33">
        <f>+K77*'Assumptions and Sensis'!$G$183*K79</f>
        <v>0</v>
      </c>
      <c r="L82" s="33">
        <f>+L77*'Assumptions and Sensis'!$G$183*L79</f>
        <v>0</v>
      </c>
      <c r="M82" s="33">
        <f>+M77*'Assumptions and Sensis'!$G$183*M79</f>
        <v>0</v>
      </c>
      <c r="N82" s="33">
        <f>+N77*'Assumptions and Sensis'!$G$183*N79</f>
        <v>0</v>
      </c>
      <c r="O82" s="33">
        <f>+O77*'Assumptions and Sensis'!$G$183*O79</f>
        <v>0</v>
      </c>
      <c r="P82" s="33">
        <f>+P77*'Assumptions and Sensis'!$G$183*P79</f>
        <v>0</v>
      </c>
      <c r="Q82" s="33">
        <f>+Q77*'Assumptions and Sensis'!$G$183*Q79</f>
        <v>0</v>
      </c>
      <c r="R82" s="33">
        <f>+R77*'Assumptions and Sensis'!$G$183*R79</f>
        <v>0</v>
      </c>
      <c r="S82" s="33">
        <f>+S77*'Assumptions and Sensis'!$G$183*S79</f>
        <v>0</v>
      </c>
      <c r="T82" s="33">
        <f>+T77*'Assumptions and Sensis'!$G$183*T79</f>
        <v>0</v>
      </c>
      <c r="U82" s="33">
        <f>+U77*'Assumptions and Sensis'!$G$183*U79</f>
        <v>0</v>
      </c>
      <c r="V82" s="33">
        <f>+V77*'Assumptions and Sensis'!$G$183*V79</f>
        <v>0</v>
      </c>
      <c r="W82" s="33">
        <f>+W77*'Assumptions and Sensis'!$G$183*W79</f>
        <v>0</v>
      </c>
      <c r="X82" s="33">
        <f>+X77*'Assumptions and Sensis'!$G$183*X79</f>
        <v>0</v>
      </c>
      <c r="Y82" s="33">
        <f>+Y77*'Assumptions and Sensis'!$G$183*Y79</f>
        <v>0</v>
      </c>
      <c r="Z82" s="33">
        <f>+Z77*'Assumptions and Sensis'!$G$183*Z79</f>
        <v>0</v>
      </c>
    </row>
    <row r="83" spans="2:26" x14ac:dyDescent="0.2">
      <c r="B83" s="32" t="s">
        <v>244</v>
      </c>
      <c r="C83" s="32"/>
      <c r="D83" s="39"/>
      <c r="E83" s="39"/>
      <c r="F83" s="41">
        <f>-F82*'Assumptions and Sensis'!$O$78</f>
        <v>0</v>
      </c>
      <c r="G83" s="41">
        <f>-G82*'Assumptions and Sensis'!$O$78</f>
        <v>0</v>
      </c>
      <c r="H83" s="41">
        <f>-H82*'Assumptions and Sensis'!$O$78</f>
        <v>0</v>
      </c>
      <c r="I83" s="41">
        <f>-I82*'Assumptions and Sensis'!$O$78</f>
        <v>0</v>
      </c>
      <c r="J83" s="41">
        <f>-J82*'Assumptions and Sensis'!$O$78</f>
        <v>0</v>
      </c>
      <c r="K83" s="41">
        <f>-K82*'Assumptions and Sensis'!$O$78</f>
        <v>0</v>
      </c>
      <c r="L83" s="41">
        <f>-L82*'Assumptions and Sensis'!$O$78</f>
        <v>0</v>
      </c>
      <c r="M83" s="41">
        <f>-M82*'Assumptions and Sensis'!$O$78</f>
        <v>0</v>
      </c>
      <c r="N83" s="41">
        <f>-N82*'Assumptions and Sensis'!$O$78</f>
        <v>0</v>
      </c>
      <c r="O83" s="41">
        <f>-O82*'Assumptions and Sensis'!$O$78</f>
        <v>0</v>
      </c>
      <c r="P83" s="41">
        <f>-P82*'Assumptions and Sensis'!$O$78</f>
        <v>0</v>
      </c>
      <c r="Q83" s="41">
        <f>-Q82*'Assumptions and Sensis'!$O$78</f>
        <v>0</v>
      </c>
      <c r="R83" s="41">
        <f>-R82*'Assumptions and Sensis'!$O$78</f>
        <v>0</v>
      </c>
      <c r="S83" s="41">
        <f>-S82*'Assumptions and Sensis'!$O$78</f>
        <v>0</v>
      </c>
      <c r="T83" s="41">
        <f>-T82*'Assumptions and Sensis'!$O$78</f>
        <v>0</v>
      </c>
      <c r="U83" s="41">
        <f>-U82*'Assumptions and Sensis'!$O$78</f>
        <v>0</v>
      </c>
      <c r="V83" s="41">
        <f>-V82*'Assumptions and Sensis'!$O$78</f>
        <v>0</v>
      </c>
      <c r="W83" s="41">
        <f>-W82*'Assumptions and Sensis'!$O$78</f>
        <v>0</v>
      </c>
      <c r="X83" s="41">
        <f>-X82*'Assumptions and Sensis'!$O$78</f>
        <v>0</v>
      </c>
      <c r="Y83" s="41">
        <f>-Y82*'Assumptions and Sensis'!$O$78</f>
        <v>0</v>
      </c>
      <c r="Z83" s="41">
        <f>-Z82*'Assumptions and Sensis'!$O$78</f>
        <v>0</v>
      </c>
    </row>
    <row r="84" spans="2:26" x14ac:dyDescent="0.2">
      <c r="B84" s="32" t="s">
        <v>259</v>
      </c>
      <c r="C84" s="32"/>
      <c r="D84" s="39"/>
      <c r="E84" s="39"/>
      <c r="F84" s="150">
        <f ca="1">+F89*'Assumptions and Sensis'!$O$112</f>
        <v>0</v>
      </c>
      <c r="G84" s="150">
        <f ca="1">+G89*'Assumptions and Sensis'!$O$112</f>
        <v>0</v>
      </c>
      <c r="H84" s="150">
        <f ca="1">+H89*'Assumptions and Sensis'!$O$112</f>
        <v>0</v>
      </c>
      <c r="I84" s="150">
        <f ca="1">+I89*'Assumptions and Sensis'!$O$112</f>
        <v>3.9790560977999998E-4</v>
      </c>
      <c r="J84" s="150">
        <f ca="1">+J89*'Assumptions and Sensis'!$O$112</f>
        <v>8.1968555614680006E-4</v>
      </c>
      <c r="K84" s="150">
        <f ca="1">+K89*'Assumptions and Sensis'!$O$112</f>
        <v>8.4427612283120401E-4</v>
      </c>
      <c r="L84" s="150">
        <f ca="1">+L89*'Assumptions and Sensis'!$O$112</f>
        <v>8.6960440651614025E-4</v>
      </c>
      <c r="M84" s="150">
        <f ca="1">+M89*'Assumptions and Sensis'!$O$112</f>
        <v>8.9569253871162448E-4</v>
      </c>
      <c r="N84" s="150">
        <f ca="1">+N89*'Assumptions and Sensis'!$O$112</f>
        <v>9.2256331487297323E-4</v>
      </c>
      <c r="O84" s="150">
        <f ca="1">+O89*'Assumptions and Sensis'!$O$112</f>
        <v>9.5024021431916244E-4</v>
      </c>
      <c r="P84" s="150">
        <f ca="1">+P89*'Assumptions and Sensis'!$O$112</f>
        <v>9.7874742074873736E-4</v>
      </c>
      <c r="Q84" s="150">
        <f ca="1">+Q89*'Assumptions and Sensis'!$O$112</f>
        <v>1.0081098433711994E-3</v>
      </c>
      <c r="R84" s="150">
        <f ca="1">+R89*'Assumptions and Sensis'!$O$112</f>
        <v>1.0383531386723354E-3</v>
      </c>
      <c r="S84" s="150">
        <f ca="1">+S89*'Assumptions and Sensis'!$O$112</f>
        <v>1.0695037328325057E-3</v>
      </c>
      <c r="T84" s="150">
        <f ca="1">+T89*'Assumptions and Sensis'!$O$112</f>
        <v>1.1015888448174809E-3</v>
      </c>
      <c r="U84" s="150">
        <f ca="1">+U89*'Assumptions and Sensis'!$O$112</f>
        <v>1.1346365101620054E-3</v>
      </c>
      <c r="V84" s="150">
        <f ca="1">+V89*'Assumptions and Sensis'!$O$112</f>
        <v>1.1686756054668655E-3</v>
      </c>
      <c r="W84" s="150">
        <f ca="1">+W89*'Assumptions and Sensis'!$O$112</f>
        <v>1.2037358736308715E-3</v>
      </c>
      <c r="X84" s="150">
        <f ca="1">+X89*'Assumptions and Sensis'!$O$112</f>
        <v>1.2398479498397976E-3</v>
      </c>
      <c r="Y84" s="150">
        <f ca="1">+Y89*'Assumptions and Sensis'!$O$112</f>
        <v>1.2770433883349916E-3</v>
      </c>
      <c r="Z84" s="150">
        <f ca="1">+Z89*'Assumptions and Sensis'!$O$112</f>
        <v>1.3153546899850415E-3</v>
      </c>
    </row>
    <row r="85" spans="2:26" x14ac:dyDescent="0.2">
      <c r="B85" s="136" t="s">
        <v>253</v>
      </c>
      <c r="C85" s="136"/>
      <c r="D85" s="136"/>
      <c r="E85" s="136"/>
      <c r="F85" s="128">
        <f t="shared" ref="F85:Z85" ca="1" si="67">+SUM(F82:F84)</f>
        <v>0</v>
      </c>
      <c r="G85" s="128">
        <f t="shared" ca="1" si="67"/>
        <v>0</v>
      </c>
      <c r="H85" s="128">
        <f t="shared" ca="1" si="67"/>
        <v>0</v>
      </c>
      <c r="I85" s="128">
        <f t="shared" ca="1" si="67"/>
        <v>3.9790560977999998E-4</v>
      </c>
      <c r="J85" s="128">
        <f t="shared" ca="1" si="67"/>
        <v>8.1968555614680006E-4</v>
      </c>
      <c r="K85" s="128">
        <f t="shared" ca="1" si="67"/>
        <v>8.4427612283120401E-4</v>
      </c>
      <c r="L85" s="128">
        <f t="shared" ca="1" si="67"/>
        <v>8.6960440651614025E-4</v>
      </c>
      <c r="M85" s="128">
        <f t="shared" ca="1" si="67"/>
        <v>8.9569253871162448E-4</v>
      </c>
      <c r="N85" s="128">
        <f t="shared" ca="1" si="67"/>
        <v>9.2256331487297323E-4</v>
      </c>
      <c r="O85" s="128">
        <f t="shared" ca="1" si="67"/>
        <v>9.5024021431916244E-4</v>
      </c>
      <c r="P85" s="128">
        <f t="shared" ca="1" si="67"/>
        <v>9.7874742074873736E-4</v>
      </c>
      <c r="Q85" s="128">
        <f t="shared" ca="1" si="67"/>
        <v>1.0081098433711994E-3</v>
      </c>
      <c r="R85" s="128">
        <f t="shared" ca="1" si="67"/>
        <v>1.0383531386723354E-3</v>
      </c>
      <c r="S85" s="128">
        <f t="shared" ca="1" si="67"/>
        <v>1.0695037328325057E-3</v>
      </c>
      <c r="T85" s="128">
        <f t="shared" ca="1" si="67"/>
        <v>1.1015888448174809E-3</v>
      </c>
      <c r="U85" s="128">
        <f t="shared" ca="1" si="67"/>
        <v>1.1346365101620054E-3</v>
      </c>
      <c r="V85" s="128">
        <f t="shared" ca="1" si="67"/>
        <v>1.1686756054668655E-3</v>
      </c>
      <c r="W85" s="128">
        <f t="shared" ca="1" si="67"/>
        <v>1.2037358736308715E-3</v>
      </c>
      <c r="X85" s="128">
        <f t="shared" ca="1" si="67"/>
        <v>1.2398479498397976E-3</v>
      </c>
      <c r="Y85" s="128">
        <f t="shared" ca="1" si="67"/>
        <v>1.2770433883349916E-3</v>
      </c>
      <c r="Z85" s="128">
        <f t="shared" ca="1" si="67"/>
        <v>1.3153546899850415E-3</v>
      </c>
    </row>
    <row r="87" spans="2:26" x14ac:dyDescent="0.2">
      <c r="B87" s="32" t="s">
        <v>389</v>
      </c>
      <c r="F87" s="33">
        <f>+F76*'Assumptions and Sensis'!$O$146*'Phase II Pro Forma'!F80</f>
        <v>0</v>
      </c>
      <c r="G87" s="33">
        <f>+G76*'Assumptions and Sensis'!$O$146*'Phase II Pro Forma'!G80</f>
        <v>0</v>
      </c>
      <c r="H87" s="33">
        <f>+H76*'Assumptions and Sensis'!$O$146*'Phase II Pro Forma'!H80</f>
        <v>0</v>
      </c>
      <c r="I87" s="33">
        <f>+I76*'Assumptions and Sensis'!$O$146*'Phase II Pro Forma'!I80</f>
        <v>3.9790560977999998E-4</v>
      </c>
      <c r="J87" s="33">
        <f>+J76*'Assumptions and Sensis'!$O$146*'Phase II Pro Forma'!J80</f>
        <v>8.1968555614680006E-4</v>
      </c>
      <c r="K87" s="33">
        <f>+K76*'Assumptions and Sensis'!$O$146*'Phase II Pro Forma'!K80</f>
        <v>8.4427612283120401E-4</v>
      </c>
      <c r="L87" s="33">
        <f>+L76*'Assumptions and Sensis'!$O$146*'Phase II Pro Forma'!L80</f>
        <v>8.6960440651614025E-4</v>
      </c>
      <c r="M87" s="33">
        <f>+M76*'Assumptions and Sensis'!$O$146*'Phase II Pro Forma'!M80</f>
        <v>8.9569253871162448E-4</v>
      </c>
      <c r="N87" s="33">
        <f>+N76*'Assumptions and Sensis'!$O$146*'Phase II Pro Forma'!N80</f>
        <v>9.2256331487297323E-4</v>
      </c>
      <c r="O87" s="33">
        <f>+O76*'Assumptions and Sensis'!$O$146*'Phase II Pro Forma'!O80</f>
        <v>9.5024021431916244E-4</v>
      </c>
      <c r="P87" s="33">
        <f>+P76*'Assumptions and Sensis'!$O$146*'Phase II Pro Forma'!P80</f>
        <v>9.7874742074873736E-4</v>
      </c>
      <c r="Q87" s="33">
        <f>+Q76*'Assumptions and Sensis'!$O$146*'Phase II Pro Forma'!Q80</f>
        <v>1.0081098433711994E-3</v>
      </c>
      <c r="R87" s="33">
        <f>+R76*'Assumptions and Sensis'!$O$146*'Phase II Pro Forma'!R80</f>
        <v>1.0383531386723354E-3</v>
      </c>
      <c r="S87" s="33">
        <f>+S76*'Assumptions and Sensis'!$O$146*'Phase II Pro Forma'!S80</f>
        <v>1.0695037328325057E-3</v>
      </c>
      <c r="T87" s="33">
        <f>+T76*'Assumptions and Sensis'!$O$146*'Phase II Pro Forma'!T80</f>
        <v>1.1015888448174809E-3</v>
      </c>
      <c r="U87" s="33">
        <f>+U76*'Assumptions and Sensis'!$O$146*'Phase II Pro Forma'!U80</f>
        <v>1.1346365101620054E-3</v>
      </c>
      <c r="V87" s="33">
        <f>+V76*'Assumptions and Sensis'!$O$146*'Phase II Pro Forma'!V80</f>
        <v>1.1686756054668655E-3</v>
      </c>
      <c r="W87" s="33">
        <f>+W76*'Assumptions and Sensis'!$O$146*'Phase II Pro Forma'!W80</f>
        <v>1.2037358736308715E-3</v>
      </c>
      <c r="X87" s="33">
        <f>+X76*'Assumptions and Sensis'!$O$146*'Phase II Pro Forma'!X80</f>
        <v>1.2398479498397976E-3</v>
      </c>
      <c r="Y87" s="33">
        <f>+Y76*'Assumptions and Sensis'!$O$146*'Phase II Pro Forma'!Y80</f>
        <v>1.2770433883349916E-3</v>
      </c>
      <c r="Z87" s="33">
        <f>+Z76*'Assumptions and Sensis'!$O$146*'Phase II Pro Forma'!Z80</f>
        <v>1.3153546899850415E-3</v>
      </c>
    </row>
    <row r="88" spans="2:26" x14ac:dyDescent="0.2">
      <c r="B88" s="32" t="s">
        <v>325</v>
      </c>
      <c r="F88" s="150">
        <f ca="1">+IFERROR(INDEX('Taxes and TIF'!$AC$11:$AC$45,MATCH('Phase II Pro Forma'!F$7,'Taxes and TIF'!$R$11:$R$45,0)),0)*'Loan Sizing'!$K$20*F77</f>
        <v>0</v>
      </c>
      <c r="G88" s="150">
        <f ca="1">+IFERROR(INDEX('Taxes and TIF'!$AC$11:$AC$45,MATCH('Phase II Pro Forma'!G$7,'Taxes and TIF'!$R$11:$R$45,0)),0)*'Loan Sizing'!$K$20*G77</f>
        <v>0</v>
      </c>
      <c r="H88" s="150">
        <f ca="1">+IFERROR(INDEX('Taxes and TIF'!$AC$11:$AC$45,MATCH('Phase II Pro Forma'!H$7,'Taxes and TIF'!$R$11:$R$45,0)),0)*'Loan Sizing'!$K$20*H77</f>
        <v>0</v>
      </c>
      <c r="I88" s="150">
        <f ca="1">+IFERROR(INDEX('Taxes and TIF'!$AC$11:$AC$45,MATCH('Phase II Pro Forma'!I$7,'Taxes and TIF'!$R$11:$R$45,0)),0)*'Loan Sizing'!$K$20*I77</f>
        <v>0</v>
      </c>
      <c r="J88" s="150">
        <f ca="1">+IFERROR(INDEX('Taxes and TIF'!$AC$11:$AC$45,MATCH('Phase II Pro Forma'!J$7,'Taxes and TIF'!$R$11:$R$45,0)),0)*'Loan Sizing'!$K$20*J77</f>
        <v>0</v>
      </c>
      <c r="K88" s="150">
        <f ca="1">+IFERROR(INDEX('Taxes and TIF'!$AC$11:$AC$45,MATCH('Phase II Pro Forma'!K$7,'Taxes and TIF'!$R$11:$R$45,0)),0)*'Loan Sizing'!$K$20*K77</f>
        <v>0</v>
      </c>
      <c r="L88" s="150">
        <f ca="1">+IFERROR(INDEX('Taxes and TIF'!$AC$11:$AC$45,MATCH('Phase II Pro Forma'!L$7,'Taxes and TIF'!$R$11:$R$45,0)),0)*'Loan Sizing'!$K$20*L77</f>
        <v>0</v>
      </c>
      <c r="M88" s="150">
        <f ca="1">+IFERROR(INDEX('Taxes and TIF'!$AC$11:$AC$45,MATCH('Phase II Pro Forma'!M$7,'Taxes and TIF'!$R$11:$R$45,0)),0)*'Loan Sizing'!$K$20*M77</f>
        <v>0</v>
      </c>
      <c r="N88" s="150">
        <f ca="1">+IFERROR(INDEX('Taxes and TIF'!$AC$11:$AC$45,MATCH('Phase II Pro Forma'!N$7,'Taxes and TIF'!$R$11:$R$45,0)),0)*'Loan Sizing'!$K$20*N77</f>
        <v>0</v>
      </c>
      <c r="O88" s="150">
        <f ca="1">+IFERROR(INDEX('Taxes and TIF'!$AC$11:$AC$45,MATCH('Phase II Pro Forma'!O$7,'Taxes and TIF'!$R$11:$R$45,0)),0)*'Loan Sizing'!$K$20*O77</f>
        <v>0</v>
      </c>
      <c r="P88" s="150">
        <f ca="1">+IFERROR(INDEX('Taxes and TIF'!$AC$11:$AC$45,MATCH('Phase II Pro Forma'!P$7,'Taxes and TIF'!$R$11:$R$45,0)),0)*'Loan Sizing'!$K$20*P77</f>
        <v>0</v>
      </c>
      <c r="Q88" s="150">
        <f ca="1">+IFERROR(INDEX('Taxes and TIF'!$AC$11:$AC$45,MATCH('Phase II Pro Forma'!Q$7,'Taxes and TIF'!$R$11:$R$45,0)),0)*'Loan Sizing'!$K$20*Q77</f>
        <v>0</v>
      </c>
      <c r="R88" s="150">
        <f ca="1">+IFERROR(INDEX('Taxes and TIF'!$AC$11:$AC$45,MATCH('Phase II Pro Forma'!R$7,'Taxes and TIF'!$R$11:$R$45,0)),0)*'Loan Sizing'!$K$20*R77</f>
        <v>0</v>
      </c>
      <c r="S88" s="150">
        <f ca="1">+IFERROR(INDEX('Taxes and TIF'!$AC$11:$AC$45,MATCH('Phase II Pro Forma'!S$7,'Taxes and TIF'!$R$11:$R$45,0)),0)*'Loan Sizing'!$K$20*S77</f>
        <v>0</v>
      </c>
      <c r="T88" s="150">
        <f ca="1">+IFERROR(INDEX('Taxes and TIF'!$AC$11:$AC$45,MATCH('Phase II Pro Forma'!T$7,'Taxes and TIF'!$R$11:$R$45,0)),0)*'Loan Sizing'!$K$20*T77</f>
        <v>0</v>
      </c>
      <c r="U88" s="150">
        <f ca="1">+IFERROR(INDEX('Taxes and TIF'!$AC$11:$AC$45,MATCH('Phase II Pro Forma'!U$7,'Taxes and TIF'!$R$11:$R$45,0)),0)*'Loan Sizing'!$K$20*U77</f>
        <v>0</v>
      </c>
      <c r="V88" s="150">
        <f ca="1">+IFERROR(INDEX('Taxes and TIF'!$AC$11:$AC$45,MATCH('Phase II Pro Forma'!V$7,'Taxes and TIF'!$R$11:$R$45,0)),0)*'Loan Sizing'!$K$20*V77</f>
        <v>0</v>
      </c>
      <c r="W88" s="150">
        <f ca="1">+IFERROR(INDEX('Taxes and TIF'!$AC$11:$AC$45,MATCH('Phase II Pro Forma'!W$7,'Taxes and TIF'!$R$11:$R$45,0)),0)*'Loan Sizing'!$K$20*W77</f>
        <v>0</v>
      </c>
      <c r="X88" s="150">
        <f ca="1">+IFERROR(INDEX('Taxes and TIF'!$AC$11:$AC$45,MATCH('Phase II Pro Forma'!X$7,'Taxes and TIF'!$R$11:$R$45,0)),0)*'Loan Sizing'!$K$20*X77</f>
        <v>0</v>
      </c>
      <c r="Y88" s="150">
        <f ca="1">+IFERROR(INDEX('Taxes and TIF'!$AC$11:$AC$45,MATCH('Phase II Pro Forma'!Y$7,'Taxes and TIF'!$R$11:$R$45,0)),0)*'Loan Sizing'!$K$20*Y77</f>
        <v>0</v>
      </c>
      <c r="Z88" s="150">
        <f ca="1">+IFERROR(INDEX('Taxes and TIF'!$AC$11:$AC$45,MATCH('Phase II Pro Forma'!Z$7,'Taxes and TIF'!$R$11:$R$45,0)),0)*'Loan Sizing'!$K$20*Z77</f>
        <v>0</v>
      </c>
    </row>
    <row r="89" spans="2:26" x14ac:dyDescent="0.2">
      <c r="B89" s="136" t="s">
        <v>249</v>
      </c>
      <c r="C89" s="136"/>
      <c r="D89" s="136"/>
      <c r="E89" s="136"/>
      <c r="F89" s="128">
        <f ca="1">+SUM(F87:F88)</f>
        <v>0</v>
      </c>
      <c r="G89" s="128">
        <f t="shared" ref="G89" ca="1" si="68">+SUM(G87:G88)</f>
        <v>0</v>
      </c>
      <c r="H89" s="128">
        <f t="shared" ref="H89:Z89" ca="1" si="69">+SUM(H87:H88)</f>
        <v>0</v>
      </c>
      <c r="I89" s="128">
        <f t="shared" ca="1" si="69"/>
        <v>3.9790560977999998E-4</v>
      </c>
      <c r="J89" s="128">
        <f t="shared" ca="1" si="69"/>
        <v>8.1968555614680006E-4</v>
      </c>
      <c r="K89" s="128">
        <f t="shared" ca="1" si="69"/>
        <v>8.4427612283120401E-4</v>
      </c>
      <c r="L89" s="128">
        <f t="shared" ca="1" si="69"/>
        <v>8.6960440651614025E-4</v>
      </c>
      <c r="M89" s="128">
        <f t="shared" ca="1" si="69"/>
        <v>8.9569253871162448E-4</v>
      </c>
      <c r="N89" s="128">
        <f t="shared" ca="1" si="69"/>
        <v>9.2256331487297323E-4</v>
      </c>
      <c r="O89" s="128">
        <f t="shared" ca="1" si="69"/>
        <v>9.5024021431916244E-4</v>
      </c>
      <c r="P89" s="128">
        <f t="shared" ca="1" si="69"/>
        <v>9.7874742074873736E-4</v>
      </c>
      <c r="Q89" s="128">
        <f t="shared" ca="1" si="69"/>
        <v>1.0081098433711994E-3</v>
      </c>
      <c r="R89" s="128">
        <f t="shared" ca="1" si="69"/>
        <v>1.0383531386723354E-3</v>
      </c>
      <c r="S89" s="128">
        <f t="shared" ca="1" si="69"/>
        <v>1.0695037328325057E-3</v>
      </c>
      <c r="T89" s="128">
        <f t="shared" ca="1" si="69"/>
        <v>1.1015888448174809E-3</v>
      </c>
      <c r="U89" s="128">
        <f t="shared" ca="1" si="69"/>
        <v>1.1346365101620054E-3</v>
      </c>
      <c r="V89" s="128">
        <f t="shared" ca="1" si="69"/>
        <v>1.1686756054668655E-3</v>
      </c>
      <c r="W89" s="128">
        <f t="shared" ca="1" si="69"/>
        <v>1.2037358736308715E-3</v>
      </c>
      <c r="X89" s="128">
        <f t="shared" ca="1" si="69"/>
        <v>1.2398479498397976E-3</v>
      </c>
      <c r="Y89" s="128">
        <f t="shared" ca="1" si="69"/>
        <v>1.2770433883349916E-3</v>
      </c>
      <c r="Z89" s="128">
        <f t="shared" ca="1" si="69"/>
        <v>1.3153546899850415E-3</v>
      </c>
    </row>
    <row r="90" spans="2:26" x14ac:dyDescent="0.2">
      <c r="B90" s="32"/>
    </row>
    <row r="91" spans="2:26" x14ac:dyDescent="0.2">
      <c r="B91" s="137" t="s">
        <v>248</v>
      </c>
      <c r="C91" s="137"/>
      <c r="D91" s="137"/>
      <c r="E91" s="137"/>
      <c r="F91" s="138">
        <f ca="1">+F85-F89</f>
        <v>0</v>
      </c>
      <c r="G91" s="138">
        <f t="shared" ref="G91:Z91" ca="1" si="70">+G85-G89</f>
        <v>0</v>
      </c>
      <c r="H91" s="138">
        <f t="shared" ca="1" si="70"/>
        <v>0</v>
      </c>
      <c r="I91" s="138">
        <f t="shared" ca="1" si="70"/>
        <v>0</v>
      </c>
      <c r="J91" s="138">
        <f t="shared" ca="1" si="70"/>
        <v>0</v>
      </c>
      <c r="K91" s="138">
        <f t="shared" ca="1" si="70"/>
        <v>0</v>
      </c>
      <c r="L91" s="138">
        <f t="shared" ca="1" si="70"/>
        <v>0</v>
      </c>
      <c r="M91" s="138">
        <f t="shared" ca="1" si="70"/>
        <v>0</v>
      </c>
      <c r="N91" s="138">
        <f t="shared" ca="1" si="70"/>
        <v>0</v>
      </c>
      <c r="O91" s="138">
        <f t="shared" ca="1" si="70"/>
        <v>0</v>
      </c>
      <c r="P91" s="138">
        <f t="shared" ca="1" si="70"/>
        <v>0</v>
      </c>
      <c r="Q91" s="138">
        <f t="shared" ca="1" si="70"/>
        <v>0</v>
      </c>
      <c r="R91" s="138">
        <f t="shared" ca="1" si="70"/>
        <v>0</v>
      </c>
      <c r="S91" s="138">
        <f t="shared" ca="1" si="70"/>
        <v>0</v>
      </c>
      <c r="T91" s="138">
        <f t="shared" ca="1" si="70"/>
        <v>0</v>
      </c>
      <c r="U91" s="138">
        <f t="shared" ca="1" si="70"/>
        <v>0</v>
      </c>
      <c r="V91" s="138">
        <f t="shared" ca="1" si="70"/>
        <v>0</v>
      </c>
      <c r="W91" s="138">
        <f t="shared" ca="1" si="70"/>
        <v>0</v>
      </c>
      <c r="X91" s="138">
        <f t="shared" ca="1" si="70"/>
        <v>0</v>
      </c>
      <c r="Y91" s="138">
        <f t="shared" ca="1" si="70"/>
        <v>0</v>
      </c>
      <c r="Z91" s="138">
        <f t="shared" ca="1" si="70"/>
        <v>0</v>
      </c>
    </row>
    <row r="92" spans="2:26" x14ac:dyDescent="0.2">
      <c r="B92" s="142" t="s">
        <v>254</v>
      </c>
      <c r="C92" s="140"/>
      <c r="D92" s="140"/>
      <c r="E92" s="140"/>
      <c r="F92" s="143" t="str">
        <f ca="1">+IFERROR(F91/F85,"")</f>
        <v/>
      </c>
      <c r="G92" s="143" t="str">
        <f t="shared" ref="G92:Z92" ca="1" si="71">+IFERROR(G91/G85,"")</f>
        <v/>
      </c>
      <c r="H92" s="143" t="str">
        <f t="shared" ca="1" si="71"/>
        <v/>
      </c>
      <c r="I92" s="144">
        <f t="shared" ca="1" si="71"/>
        <v>0</v>
      </c>
      <c r="J92" s="144">
        <f t="shared" ca="1" si="71"/>
        <v>0</v>
      </c>
      <c r="K92" s="144">
        <f t="shared" ca="1" si="71"/>
        <v>0</v>
      </c>
      <c r="L92" s="144">
        <f t="shared" ca="1" si="71"/>
        <v>0</v>
      </c>
      <c r="M92" s="144">
        <f t="shared" ca="1" si="71"/>
        <v>0</v>
      </c>
      <c r="N92" s="144">
        <f t="shared" ca="1" si="71"/>
        <v>0</v>
      </c>
      <c r="O92" s="144">
        <f t="shared" ca="1" si="71"/>
        <v>0</v>
      </c>
      <c r="P92" s="144">
        <f t="shared" ca="1" si="71"/>
        <v>0</v>
      </c>
      <c r="Q92" s="144">
        <f t="shared" ca="1" si="71"/>
        <v>0</v>
      </c>
      <c r="R92" s="144">
        <f t="shared" ca="1" si="71"/>
        <v>0</v>
      </c>
      <c r="S92" s="144">
        <f t="shared" ca="1" si="71"/>
        <v>0</v>
      </c>
      <c r="T92" s="144">
        <f t="shared" ca="1" si="71"/>
        <v>0</v>
      </c>
      <c r="U92" s="144">
        <f t="shared" ca="1" si="71"/>
        <v>0</v>
      </c>
      <c r="V92" s="144">
        <f t="shared" ca="1" si="71"/>
        <v>0</v>
      </c>
      <c r="W92" s="144">
        <f t="shared" ca="1" si="71"/>
        <v>0</v>
      </c>
      <c r="X92" s="144">
        <f t="shared" ca="1" si="71"/>
        <v>0</v>
      </c>
      <c r="Y92" s="144">
        <f t="shared" ca="1" si="71"/>
        <v>0</v>
      </c>
      <c r="Z92" s="144">
        <f t="shared" ca="1" si="71"/>
        <v>0</v>
      </c>
    </row>
    <row r="93" spans="2:26" x14ac:dyDescent="0.2">
      <c r="B93" s="142" t="s">
        <v>188</v>
      </c>
      <c r="C93" s="140"/>
      <c r="D93" s="140"/>
      <c r="E93" s="140"/>
      <c r="F93" s="141">
        <f ca="1">+F91/'Assumptions and Sensis'!$O$157</f>
        <v>0</v>
      </c>
      <c r="G93" s="141">
        <f ca="1">+G91/'Assumptions and Sensis'!$O$157</f>
        <v>0</v>
      </c>
      <c r="H93" s="141">
        <f ca="1">+H91/'Assumptions and Sensis'!$O$157</f>
        <v>0</v>
      </c>
      <c r="I93" s="141">
        <f ca="1">+I91/'Assumptions and Sensis'!$O$157</f>
        <v>0</v>
      </c>
      <c r="J93" s="141">
        <f ca="1">+J91/'Assumptions and Sensis'!$O$157</f>
        <v>0</v>
      </c>
      <c r="K93" s="141">
        <f ca="1">+K91/'Assumptions and Sensis'!$O$157</f>
        <v>0</v>
      </c>
      <c r="L93" s="141">
        <f ca="1">+L91/'Assumptions and Sensis'!$O$157</f>
        <v>0</v>
      </c>
      <c r="M93" s="141">
        <f ca="1">+M91/'Assumptions and Sensis'!$O$157</f>
        <v>0</v>
      </c>
      <c r="N93" s="141">
        <f ca="1">+N91/'Assumptions and Sensis'!$O$157</f>
        <v>0</v>
      </c>
      <c r="O93" s="141">
        <f ca="1">+O91/'Assumptions and Sensis'!$O$157</f>
        <v>0</v>
      </c>
      <c r="P93" s="141">
        <f ca="1">+P91/'Assumptions and Sensis'!$O$157</f>
        <v>0</v>
      </c>
      <c r="Q93" s="141">
        <f ca="1">+Q91/'Assumptions and Sensis'!$O$157</f>
        <v>0</v>
      </c>
      <c r="R93" s="141">
        <f ca="1">+R91/'Assumptions and Sensis'!$O$157</f>
        <v>0</v>
      </c>
      <c r="S93" s="141">
        <f ca="1">+S91/'Assumptions and Sensis'!$O$157</f>
        <v>0</v>
      </c>
      <c r="T93" s="141">
        <f ca="1">+T91/'Assumptions and Sensis'!$O$157</f>
        <v>0</v>
      </c>
      <c r="U93" s="141">
        <f ca="1">+U91/'Assumptions and Sensis'!$O$157</f>
        <v>0</v>
      </c>
      <c r="V93" s="141">
        <f ca="1">+V91/'Assumptions and Sensis'!$O$157</f>
        <v>0</v>
      </c>
      <c r="W93" s="141">
        <f ca="1">+W91/'Assumptions and Sensis'!$O$157</f>
        <v>0</v>
      </c>
      <c r="X93" s="141">
        <f ca="1">+X91/'Assumptions and Sensis'!$O$157</f>
        <v>0</v>
      </c>
      <c r="Y93" s="141">
        <f ca="1">+Y91/'Assumptions and Sensis'!$O$157</f>
        <v>0</v>
      </c>
      <c r="Z93" s="141">
        <f ca="1">+Z91/'Assumptions and Sensis'!$O$157</f>
        <v>0</v>
      </c>
    </row>
    <row r="95" spans="2:26" x14ac:dyDescent="0.2">
      <c r="B95" s="147" t="s">
        <v>146</v>
      </c>
      <c r="C95" s="148"/>
      <c r="D95" s="148"/>
      <c r="E95" s="148"/>
      <c r="F95" s="149">
        <f>+'Assumptions and Sensis'!$G$43</f>
        <v>44926</v>
      </c>
      <c r="G95" s="149">
        <f>+EOMONTH(F95,12)</f>
        <v>45291</v>
      </c>
      <c r="H95" s="149">
        <f t="shared" ref="H95:Z95" si="72">+EOMONTH(G95,12)</f>
        <v>45657</v>
      </c>
      <c r="I95" s="149">
        <f t="shared" si="72"/>
        <v>46022</v>
      </c>
      <c r="J95" s="149">
        <f t="shared" si="72"/>
        <v>46387</v>
      </c>
      <c r="K95" s="149">
        <f t="shared" si="72"/>
        <v>46752</v>
      </c>
      <c r="L95" s="149">
        <f t="shared" si="72"/>
        <v>47118</v>
      </c>
      <c r="M95" s="149">
        <f t="shared" si="72"/>
        <v>47483</v>
      </c>
      <c r="N95" s="149">
        <f t="shared" si="72"/>
        <v>47848</v>
      </c>
      <c r="O95" s="149">
        <f t="shared" si="72"/>
        <v>48213</v>
      </c>
      <c r="P95" s="149">
        <f t="shared" si="72"/>
        <v>48579</v>
      </c>
      <c r="Q95" s="149">
        <f t="shared" si="72"/>
        <v>48944</v>
      </c>
      <c r="R95" s="149">
        <f t="shared" si="72"/>
        <v>49309</v>
      </c>
      <c r="S95" s="149">
        <f t="shared" si="72"/>
        <v>49674</v>
      </c>
      <c r="T95" s="149">
        <f t="shared" si="72"/>
        <v>50040</v>
      </c>
      <c r="U95" s="149">
        <f t="shared" si="72"/>
        <v>50405</v>
      </c>
      <c r="V95" s="149">
        <f t="shared" si="72"/>
        <v>50770</v>
      </c>
      <c r="W95" s="149">
        <f t="shared" si="72"/>
        <v>51135</v>
      </c>
      <c r="X95" s="149">
        <f t="shared" si="72"/>
        <v>51501</v>
      </c>
      <c r="Y95" s="149">
        <f t="shared" si="72"/>
        <v>51866</v>
      </c>
      <c r="Z95" s="149">
        <f t="shared" si="72"/>
        <v>52231</v>
      </c>
    </row>
    <row r="96" spans="2:26" x14ac:dyDescent="0.2">
      <c r="B96" s="32" t="s">
        <v>756</v>
      </c>
      <c r="C96" s="32"/>
      <c r="D96" s="39"/>
      <c r="E96" s="39"/>
      <c r="F96" s="41">
        <f>+IF(AND(F95&gt;='Assumptions and Sensis'!$G$47,F95&lt;'Assumptions and Sensis'!$G$49),'Assumptions and Sensis'!$G$202/ROUNDUP(('Assumptions and Sensis'!$G$48/12),0),0)</f>
        <v>0</v>
      </c>
      <c r="G96" s="41">
        <f>+IF(AND(G95&gt;='Assumptions and Sensis'!$G$47,G95&lt;'Assumptions and Sensis'!$G$49),'Assumptions and Sensis'!$G$202/ROUNDUP(('Assumptions and Sensis'!$G$48/12),0),0)</f>
        <v>0</v>
      </c>
      <c r="H96" s="41">
        <f>+IF(AND(H95&gt;='Assumptions and Sensis'!$G$47,H95&lt;'Assumptions and Sensis'!$G$49),'Assumptions and Sensis'!$G$202/ROUNDUP(('Assumptions and Sensis'!$G$48/12),0),0)</f>
        <v>0</v>
      </c>
      <c r="I96" s="41">
        <f>+IF(AND(I95&gt;='Assumptions and Sensis'!$G$47,I95&lt;'Assumptions and Sensis'!$G$49),'Assumptions and Sensis'!$G$202/ROUNDUP(('Assumptions and Sensis'!$G$48/12),0),0)</f>
        <v>67468.5</v>
      </c>
      <c r="J96" s="41">
        <f>+IF(AND(J95&gt;='Assumptions and Sensis'!$G$47,J95&lt;'Assumptions and Sensis'!$G$49),'Assumptions and Sensis'!$G$202/ROUNDUP(('Assumptions and Sensis'!$G$48/12),0),0)</f>
        <v>67468.5</v>
      </c>
      <c r="K96" s="41">
        <f>+IF(AND(K95&gt;='Assumptions and Sensis'!$G$47,K95&lt;'Assumptions and Sensis'!$G$49),'Assumptions and Sensis'!$G$202/ROUNDUP(('Assumptions and Sensis'!$G$48/12),0),0)</f>
        <v>0</v>
      </c>
      <c r="L96" s="41">
        <f>+IF(AND(L95&gt;='Assumptions and Sensis'!$G$47,L95&lt;'Assumptions and Sensis'!$G$49),'Assumptions and Sensis'!$G$202/ROUNDUP(('Assumptions and Sensis'!$G$48/12),0),0)</f>
        <v>0</v>
      </c>
      <c r="M96" s="41">
        <f>+IF(AND(M95&gt;='Assumptions and Sensis'!$G$47,M95&lt;'Assumptions and Sensis'!$G$49),'Assumptions and Sensis'!$G$202/ROUNDUP(('Assumptions and Sensis'!$G$48/12),0),0)</f>
        <v>0</v>
      </c>
      <c r="N96" s="41">
        <f>+IF(AND(N95&gt;='Assumptions and Sensis'!$G$47,N95&lt;'Assumptions and Sensis'!$G$49),'Assumptions and Sensis'!$G$202/ROUNDUP(('Assumptions and Sensis'!$G$48/12),0),0)</f>
        <v>0</v>
      </c>
      <c r="O96" s="41">
        <f>+IF(AND(O95&gt;='Assumptions and Sensis'!$G$47,O95&lt;'Assumptions and Sensis'!$G$49),'Assumptions and Sensis'!$G$202/ROUNDUP(('Assumptions and Sensis'!$G$48/12),0),0)</f>
        <v>0</v>
      </c>
      <c r="P96" s="41">
        <f>+IF(AND(P95&gt;='Assumptions and Sensis'!$G$47,P95&lt;'Assumptions and Sensis'!$G$49),'Assumptions and Sensis'!$G$202/ROUNDUP(('Assumptions and Sensis'!$G$48/12),0),0)</f>
        <v>0</v>
      </c>
      <c r="Q96" s="41">
        <f>+IF(AND(Q95&gt;='Assumptions and Sensis'!$G$47,Q95&lt;'Assumptions and Sensis'!$G$49),'Assumptions and Sensis'!$G$202/ROUNDUP(('Assumptions and Sensis'!$G$48/12),0),0)</f>
        <v>0</v>
      </c>
      <c r="R96" s="41">
        <f>+IF(AND(R95&gt;='Assumptions and Sensis'!$G$47,R95&lt;'Assumptions and Sensis'!$G$49),'Assumptions and Sensis'!$G$202/ROUNDUP(('Assumptions and Sensis'!$G$48/12),0),0)</f>
        <v>0</v>
      </c>
      <c r="S96" s="41">
        <f>+IF(AND(S95&gt;='Assumptions and Sensis'!$G$47,S95&lt;'Assumptions and Sensis'!$G$49),'Assumptions and Sensis'!$G$202/ROUNDUP(('Assumptions and Sensis'!$G$48/12),0),0)</f>
        <v>0</v>
      </c>
      <c r="T96" s="41">
        <f>+IF(AND(T95&gt;='Assumptions and Sensis'!$G$47,T95&lt;'Assumptions and Sensis'!$G$49),'Assumptions and Sensis'!$G$202/ROUNDUP(('Assumptions and Sensis'!$G$48/12),0),0)</f>
        <v>0</v>
      </c>
      <c r="U96" s="41">
        <f>+IF(AND(U95&gt;='Assumptions and Sensis'!$G$47,U95&lt;'Assumptions and Sensis'!$G$49),'Assumptions and Sensis'!$G$202/ROUNDUP(('Assumptions and Sensis'!$G$48/12),0),0)</f>
        <v>0</v>
      </c>
      <c r="V96" s="41">
        <f>+IF(AND(V95&gt;='Assumptions and Sensis'!$G$47,V95&lt;'Assumptions and Sensis'!$G$49),'Assumptions and Sensis'!$G$202/ROUNDUP(('Assumptions and Sensis'!$G$48/12),0),0)</f>
        <v>0</v>
      </c>
      <c r="W96" s="41">
        <f>+IF(AND(W95&gt;='Assumptions and Sensis'!$G$47,W95&lt;'Assumptions and Sensis'!$G$49),'Assumptions and Sensis'!$G$202/ROUNDUP(('Assumptions and Sensis'!$G$48/12),0),0)</f>
        <v>0</v>
      </c>
      <c r="X96" s="41">
        <f>+IF(AND(X95&gt;='Assumptions and Sensis'!$G$47,X95&lt;'Assumptions and Sensis'!$G$49),'Assumptions and Sensis'!$G$202/ROUNDUP(('Assumptions and Sensis'!$G$48/12),0),0)</f>
        <v>0</v>
      </c>
      <c r="Y96" s="41">
        <f>+IF(AND(Y95&gt;='Assumptions and Sensis'!$G$47,Y95&lt;'Assumptions and Sensis'!$G$49),'Assumptions and Sensis'!$G$202/ROUNDUP(('Assumptions and Sensis'!$G$48/12),0),0)</f>
        <v>0</v>
      </c>
      <c r="Z96" s="41">
        <f>+IF(AND(Z95&gt;='Assumptions and Sensis'!$G$47,Z95&lt;'Assumptions and Sensis'!$G$49),'Assumptions and Sensis'!$G$202/ROUNDUP(('Assumptions and Sensis'!$G$48/12),0),0)</f>
        <v>0</v>
      </c>
    </row>
    <row r="97" spans="2:26" x14ac:dyDescent="0.2">
      <c r="B97" s="32" t="s">
        <v>246</v>
      </c>
      <c r="C97" s="32"/>
      <c r="D97" s="41">
        <v>0</v>
      </c>
      <c r="E97" s="41"/>
      <c r="F97" s="41">
        <f>+D97+F96</f>
        <v>0</v>
      </c>
      <c r="G97" s="41">
        <f t="shared" ref="G97:Z97" si="73">+F97+G96</f>
        <v>0</v>
      </c>
      <c r="H97" s="41">
        <f t="shared" si="73"/>
        <v>0</v>
      </c>
      <c r="I97" s="41">
        <f t="shared" si="73"/>
        <v>67468.5</v>
      </c>
      <c r="J97" s="41">
        <f t="shared" si="73"/>
        <v>134937</v>
      </c>
      <c r="K97" s="41">
        <f t="shared" si="73"/>
        <v>134937</v>
      </c>
      <c r="L97" s="41">
        <f t="shared" si="73"/>
        <v>134937</v>
      </c>
      <c r="M97" s="41">
        <f t="shared" si="73"/>
        <v>134937</v>
      </c>
      <c r="N97" s="41">
        <f t="shared" si="73"/>
        <v>134937</v>
      </c>
      <c r="O97" s="41">
        <f t="shared" si="73"/>
        <v>134937</v>
      </c>
      <c r="P97" s="41">
        <f t="shared" si="73"/>
        <v>134937</v>
      </c>
      <c r="Q97" s="41">
        <f t="shared" si="73"/>
        <v>134937</v>
      </c>
      <c r="R97" s="41">
        <f t="shared" si="73"/>
        <v>134937</v>
      </c>
      <c r="S97" s="41">
        <f t="shared" si="73"/>
        <v>134937</v>
      </c>
      <c r="T97" s="41">
        <f t="shared" si="73"/>
        <v>134937</v>
      </c>
      <c r="U97" s="41">
        <f t="shared" si="73"/>
        <v>134937</v>
      </c>
      <c r="V97" s="41">
        <f t="shared" si="73"/>
        <v>134937</v>
      </c>
      <c r="W97" s="41">
        <f t="shared" si="73"/>
        <v>134937</v>
      </c>
      <c r="X97" s="41">
        <f t="shared" si="73"/>
        <v>134937</v>
      </c>
      <c r="Y97" s="41">
        <f t="shared" si="73"/>
        <v>134937</v>
      </c>
      <c r="Z97" s="41">
        <f t="shared" si="73"/>
        <v>134937</v>
      </c>
    </row>
    <row r="98" spans="2:26" x14ac:dyDescent="0.2">
      <c r="B98" s="32" t="s">
        <v>301</v>
      </c>
      <c r="C98" s="32"/>
      <c r="D98" s="41"/>
      <c r="E98" s="41"/>
      <c r="F98" s="107">
        <f t="shared" ref="F98:Z98" si="74">+F97/SUM($F96:$Z96)</f>
        <v>0</v>
      </c>
      <c r="G98" s="107">
        <f t="shared" si="74"/>
        <v>0</v>
      </c>
      <c r="H98" s="107">
        <f t="shared" si="74"/>
        <v>0</v>
      </c>
      <c r="I98" s="107">
        <f t="shared" si="74"/>
        <v>0.5</v>
      </c>
      <c r="J98" s="107">
        <f t="shared" si="74"/>
        <v>1</v>
      </c>
      <c r="K98" s="107">
        <f t="shared" si="74"/>
        <v>1</v>
      </c>
      <c r="L98" s="107">
        <f t="shared" si="74"/>
        <v>1</v>
      </c>
      <c r="M98" s="107">
        <f t="shared" si="74"/>
        <v>1</v>
      </c>
      <c r="N98" s="107">
        <f t="shared" si="74"/>
        <v>1</v>
      </c>
      <c r="O98" s="107">
        <f t="shared" si="74"/>
        <v>1</v>
      </c>
      <c r="P98" s="107">
        <f t="shared" si="74"/>
        <v>1</v>
      </c>
      <c r="Q98" s="107">
        <f t="shared" si="74"/>
        <v>1</v>
      </c>
      <c r="R98" s="107">
        <f t="shared" si="74"/>
        <v>1</v>
      </c>
      <c r="S98" s="107">
        <f t="shared" si="74"/>
        <v>1</v>
      </c>
      <c r="T98" s="107">
        <f t="shared" si="74"/>
        <v>1</v>
      </c>
      <c r="U98" s="107">
        <f t="shared" si="74"/>
        <v>1</v>
      </c>
      <c r="V98" s="107">
        <f t="shared" si="74"/>
        <v>1</v>
      </c>
      <c r="W98" s="107">
        <f t="shared" si="74"/>
        <v>1</v>
      </c>
      <c r="X98" s="107">
        <f t="shared" si="74"/>
        <v>1</v>
      </c>
      <c r="Y98" s="107">
        <f t="shared" si="74"/>
        <v>1</v>
      </c>
      <c r="Z98" s="107">
        <f t="shared" si="74"/>
        <v>1</v>
      </c>
    </row>
    <row r="99" spans="2:26" x14ac:dyDescent="0.2">
      <c r="B99" s="32"/>
      <c r="C99" s="32"/>
      <c r="D99" s="39"/>
      <c r="E99" s="39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2:26" x14ac:dyDescent="0.2">
      <c r="B100" s="32" t="s">
        <v>251</v>
      </c>
      <c r="C100" s="32"/>
      <c r="D100" s="41"/>
      <c r="E100" s="41"/>
      <c r="F100" s="107">
        <v>1</v>
      </c>
      <c r="G100" s="107">
        <f>+IF(MOD(G$2,'Assumptions and Sensis'!$O$93)=('Assumptions and Sensis'!$O$93-1),F100*(1+'Assumptions and Sensis'!$O$92),'Phase II Pro Forma'!F100)</f>
        <v>1</v>
      </c>
      <c r="H100" s="107">
        <f>+IF(MOD(H$2,'Assumptions and Sensis'!$O$93)=('Assumptions and Sensis'!$O$93-1),G100*(1+'Assumptions and Sensis'!$O$92),'Phase II Pro Forma'!G100)</f>
        <v>1</v>
      </c>
      <c r="I100" s="107">
        <f>+IF(MOD(I$2,'Assumptions and Sensis'!$O$93)=('Assumptions and Sensis'!$O$93-1),H100*(1+'Assumptions and Sensis'!$O$92),'Phase II Pro Forma'!H100)</f>
        <v>1</v>
      </c>
      <c r="J100" s="107">
        <f>+IF(MOD(J$2,'Assumptions and Sensis'!$O$93)=('Assumptions and Sensis'!$O$93-1),I100*(1+'Assumptions and Sensis'!$O$92),'Phase II Pro Forma'!I100)</f>
        <v>1</v>
      </c>
      <c r="K100" s="107">
        <f>+IF(MOD(K$2,'Assumptions and Sensis'!$O$93)=('Assumptions and Sensis'!$O$93-1),J100*(1+'Assumptions and Sensis'!$O$92),'Phase II Pro Forma'!J100)</f>
        <v>1</v>
      </c>
      <c r="L100" s="107">
        <f>+IF(MOD(L$2,'Assumptions and Sensis'!$O$93)=('Assumptions and Sensis'!$O$93-1),K100*(1+'Assumptions and Sensis'!$O$92),'Phase II Pro Forma'!K100)</f>
        <v>1.1000000000000001</v>
      </c>
      <c r="M100" s="107">
        <f>+IF(MOD(M$2,'Assumptions and Sensis'!$O$93)=('Assumptions and Sensis'!$O$93-1),L100*(1+'Assumptions and Sensis'!$O$92),'Phase II Pro Forma'!L100)</f>
        <v>1.1000000000000001</v>
      </c>
      <c r="N100" s="107">
        <f>+IF(MOD(N$2,'Assumptions and Sensis'!$O$93)=('Assumptions and Sensis'!$O$93-1),M100*(1+'Assumptions and Sensis'!$O$92),'Phase II Pro Forma'!M100)</f>
        <v>1.1000000000000001</v>
      </c>
      <c r="O100" s="107">
        <f>+IF(MOD(O$2,'Assumptions and Sensis'!$O$93)=('Assumptions and Sensis'!$O$93-1),N100*(1+'Assumptions and Sensis'!$O$92),'Phase II Pro Forma'!N100)</f>
        <v>1.1000000000000001</v>
      </c>
      <c r="P100" s="107">
        <f>+IF(MOD(P$2,'Assumptions and Sensis'!$O$93)=('Assumptions and Sensis'!$O$93-1),O100*(1+'Assumptions and Sensis'!$O$92),'Phase II Pro Forma'!O100)</f>
        <v>1.1000000000000001</v>
      </c>
      <c r="Q100" s="107">
        <f>+IF(MOD(Q$2,'Assumptions and Sensis'!$O$93)=('Assumptions and Sensis'!$O$93-1),P100*(1+'Assumptions and Sensis'!$O$92),'Phase II Pro Forma'!P100)</f>
        <v>1.2100000000000002</v>
      </c>
      <c r="R100" s="107">
        <f>+IF(MOD(R$2,'Assumptions and Sensis'!$O$93)=('Assumptions and Sensis'!$O$93-1),Q100*(1+'Assumptions and Sensis'!$O$92),'Phase II Pro Forma'!Q100)</f>
        <v>1.2100000000000002</v>
      </c>
      <c r="S100" s="107">
        <f>+IF(MOD(S$2,'Assumptions and Sensis'!$O$93)=('Assumptions and Sensis'!$O$93-1),R100*(1+'Assumptions and Sensis'!$O$92),'Phase II Pro Forma'!R100)</f>
        <v>1.2100000000000002</v>
      </c>
      <c r="T100" s="107">
        <f>+IF(MOD(T$2,'Assumptions and Sensis'!$O$93)=('Assumptions and Sensis'!$O$93-1),S100*(1+'Assumptions and Sensis'!$O$92),'Phase II Pro Forma'!S100)</f>
        <v>1.2100000000000002</v>
      </c>
      <c r="U100" s="107">
        <f>+IF(MOD(U$2,'Assumptions and Sensis'!$O$93)=('Assumptions and Sensis'!$O$93-1),T100*(1+'Assumptions and Sensis'!$O$92),'Phase II Pro Forma'!T100)</f>
        <v>1.2100000000000002</v>
      </c>
      <c r="V100" s="107">
        <f>+IF(MOD(V$2,'Assumptions and Sensis'!$O$93)=('Assumptions and Sensis'!$O$93-1),U100*(1+'Assumptions and Sensis'!$O$92),'Phase II Pro Forma'!U100)</f>
        <v>1.3310000000000004</v>
      </c>
      <c r="W100" s="107">
        <f>+IF(MOD(W$2,'Assumptions and Sensis'!$O$93)=('Assumptions and Sensis'!$O$93-1),V100*(1+'Assumptions and Sensis'!$O$92),'Phase II Pro Forma'!V100)</f>
        <v>1.3310000000000004</v>
      </c>
      <c r="X100" s="107">
        <f>+IF(MOD(X$2,'Assumptions and Sensis'!$O$93)=('Assumptions and Sensis'!$O$93-1),W100*(1+'Assumptions and Sensis'!$O$92),'Phase II Pro Forma'!W100)</f>
        <v>1.3310000000000004</v>
      </c>
      <c r="Y100" s="107">
        <f>+IF(MOD(Y$2,'Assumptions and Sensis'!$O$93)=('Assumptions and Sensis'!$O$93-1),X100*(1+'Assumptions and Sensis'!$O$92),'Phase II Pro Forma'!X100)</f>
        <v>1.3310000000000004</v>
      </c>
      <c r="Z100" s="107">
        <f>+IF(MOD(Z$2,'Assumptions and Sensis'!$O$93)=('Assumptions and Sensis'!$O$93-1),Y100*(1+'Assumptions and Sensis'!$O$92),'Phase II Pro Forma'!Y100)</f>
        <v>1.3310000000000004</v>
      </c>
    </row>
    <row r="101" spans="2:26" x14ac:dyDescent="0.2">
      <c r="B101" s="32" t="s">
        <v>252</v>
      </c>
      <c r="C101" s="32"/>
      <c r="D101" s="41"/>
      <c r="E101" s="41"/>
      <c r="F101" s="107">
        <v>1</v>
      </c>
      <c r="G101" s="107">
        <f>+F101*(1+'Assumptions and Sensis'!$O$102)</f>
        <v>1.03</v>
      </c>
      <c r="H101" s="107">
        <f>+G101*(1+'Assumptions and Sensis'!$O$102)</f>
        <v>1.0609</v>
      </c>
      <c r="I101" s="107">
        <f>+H101*(1+'Assumptions and Sensis'!$O$102)</f>
        <v>1.092727</v>
      </c>
      <c r="J101" s="107">
        <f>+I101*(1+'Assumptions and Sensis'!$O$102)</f>
        <v>1.1255088100000001</v>
      </c>
      <c r="K101" s="107">
        <f>+J101*(1+'Assumptions and Sensis'!$O$102)</f>
        <v>1.1592740743000001</v>
      </c>
      <c r="L101" s="107">
        <f>+K101*(1+'Assumptions and Sensis'!$O$102)</f>
        <v>1.1940522965290001</v>
      </c>
      <c r="M101" s="107">
        <f>+L101*(1+'Assumptions and Sensis'!$O$102)</f>
        <v>1.2298738654248702</v>
      </c>
      <c r="N101" s="107">
        <f>+M101*(1+'Assumptions and Sensis'!$O$102)</f>
        <v>1.2667700813876164</v>
      </c>
      <c r="O101" s="107">
        <f>+N101*(1+'Assumptions and Sensis'!$O$102)</f>
        <v>1.3047731838292449</v>
      </c>
      <c r="P101" s="107">
        <f>+O101*(1+'Assumptions and Sensis'!$O$102)</f>
        <v>1.3439163793441222</v>
      </c>
      <c r="Q101" s="107">
        <f>+P101*(1+'Assumptions and Sensis'!$O$102)</f>
        <v>1.3842338707244459</v>
      </c>
      <c r="R101" s="107">
        <f>+Q101*(1+'Assumptions and Sensis'!$O$102)</f>
        <v>1.4257608868461793</v>
      </c>
      <c r="S101" s="107">
        <f>+R101*(1+'Assumptions and Sensis'!$O$102)</f>
        <v>1.4685337134515648</v>
      </c>
      <c r="T101" s="107">
        <f>+S101*(1+'Assumptions and Sensis'!$O$102)</f>
        <v>1.5125897248551119</v>
      </c>
      <c r="U101" s="107">
        <f>+T101*(1+'Assumptions and Sensis'!$O$102)</f>
        <v>1.5579674166007653</v>
      </c>
      <c r="V101" s="107">
        <f>+U101*(1+'Assumptions and Sensis'!$O$102)</f>
        <v>1.6047064390987884</v>
      </c>
      <c r="W101" s="107">
        <f>+V101*(1+'Assumptions and Sensis'!$O$102)</f>
        <v>1.652847632271752</v>
      </c>
      <c r="X101" s="107">
        <f>+W101*(1+'Assumptions and Sensis'!$O$102)</f>
        <v>1.7024330612399046</v>
      </c>
      <c r="Y101" s="107">
        <f>+X101*(1+'Assumptions and Sensis'!$O$102)</f>
        <v>1.7535060530771018</v>
      </c>
      <c r="Z101" s="107">
        <f>+Y101*(1+'Assumptions and Sensis'!$O$102)</f>
        <v>1.806111234669415</v>
      </c>
    </row>
    <row r="102" spans="2:26" x14ac:dyDescent="0.2">
      <c r="B102" s="32"/>
      <c r="C102" s="32"/>
      <c r="D102" s="39"/>
      <c r="E102" s="39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2:26" x14ac:dyDescent="0.2">
      <c r="B103" s="32" t="s">
        <v>243</v>
      </c>
      <c r="C103" s="32"/>
      <c r="D103" s="39"/>
      <c r="E103" s="39"/>
      <c r="F103" s="33">
        <f>+F98*'Assumptions and Sensis'!$G$201*F100</f>
        <v>0</v>
      </c>
      <c r="G103" s="33">
        <f>+G98*'Assumptions and Sensis'!$G$201*G100</f>
        <v>0</v>
      </c>
      <c r="H103" s="33">
        <f>+H98*'Assumptions and Sensis'!$G$201*H100</f>
        <v>0</v>
      </c>
      <c r="I103" s="33">
        <f>+I98*'Assumptions and Sensis'!$G$201*I100</f>
        <v>1684661.4576000001</v>
      </c>
      <c r="J103" s="33">
        <f>+J98*'Assumptions and Sensis'!$G$201*J100</f>
        <v>3369322.9152000002</v>
      </c>
      <c r="K103" s="33">
        <f>+K98*'Assumptions and Sensis'!$G$201*K100</f>
        <v>3369322.9152000002</v>
      </c>
      <c r="L103" s="33">
        <f>+L98*'Assumptions and Sensis'!$G$201*L100</f>
        <v>3706255.2067200006</v>
      </c>
      <c r="M103" s="33">
        <f>+M98*'Assumptions and Sensis'!$G$201*M100</f>
        <v>3706255.2067200006</v>
      </c>
      <c r="N103" s="33">
        <f>+N98*'Assumptions and Sensis'!$G$201*N100</f>
        <v>3706255.2067200006</v>
      </c>
      <c r="O103" s="33">
        <f>+O98*'Assumptions and Sensis'!$G$201*O100</f>
        <v>3706255.2067200006</v>
      </c>
      <c r="P103" s="33">
        <f>+P98*'Assumptions and Sensis'!$G$201*P100</f>
        <v>3706255.2067200006</v>
      </c>
      <c r="Q103" s="33">
        <f>+Q98*'Assumptions and Sensis'!$G$201*Q100</f>
        <v>4076880.7273920006</v>
      </c>
      <c r="R103" s="33">
        <f>+R98*'Assumptions and Sensis'!$G$201*R100</f>
        <v>4076880.7273920006</v>
      </c>
      <c r="S103" s="33">
        <f>+S98*'Assumptions and Sensis'!$G$201*S100</f>
        <v>4076880.7273920006</v>
      </c>
      <c r="T103" s="33">
        <f>+T98*'Assumptions and Sensis'!$G$201*T100</f>
        <v>4076880.7273920006</v>
      </c>
      <c r="U103" s="33">
        <f>+U98*'Assumptions and Sensis'!$G$201*U100</f>
        <v>4076880.7273920006</v>
      </c>
      <c r="V103" s="33">
        <f>+V98*'Assumptions and Sensis'!$G$201*V100</f>
        <v>4484568.8001312017</v>
      </c>
      <c r="W103" s="33">
        <f>+W98*'Assumptions and Sensis'!$G$201*W100</f>
        <v>4484568.8001312017</v>
      </c>
      <c r="X103" s="33">
        <f>+X98*'Assumptions and Sensis'!$G$201*X100</f>
        <v>4484568.8001312017</v>
      </c>
      <c r="Y103" s="33">
        <f>+Y98*'Assumptions and Sensis'!$G$201*Y100</f>
        <v>4484568.8001312017</v>
      </c>
      <c r="Z103" s="33">
        <f>+Z98*'Assumptions and Sensis'!$G$201*Z100</f>
        <v>4484568.8001312017</v>
      </c>
    </row>
    <row r="104" spans="2:26" x14ac:dyDescent="0.2">
      <c r="B104" s="32" t="s">
        <v>244</v>
      </c>
      <c r="C104" s="32"/>
      <c r="D104" s="39"/>
      <c r="E104" s="39"/>
      <c r="F104" s="41">
        <f>-F103*'Assumptions and Sensis'!$O$79</f>
        <v>0</v>
      </c>
      <c r="G104" s="41">
        <f>-G103*'Assumptions and Sensis'!$O$79</f>
        <v>0</v>
      </c>
      <c r="H104" s="41">
        <f>-H103*'Assumptions and Sensis'!$O$79</f>
        <v>0</v>
      </c>
      <c r="I104" s="41">
        <f>-I103*'Assumptions and Sensis'!$O$79</f>
        <v>-168466.14576000001</v>
      </c>
      <c r="J104" s="41">
        <f>-J103*'Assumptions and Sensis'!$O$79</f>
        <v>-336932.29152000003</v>
      </c>
      <c r="K104" s="41">
        <f>-K103*'Assumptions and Sensis'!$O$79</f>
        <v>-336932.29152000003</v>
      </c>
      <c r="L104" s="41">
        <f>-L103*'Assumptions and Sensis'!$O$79</f>
        <v>-370625.52067200007</v>
      </c>
      <c r="M104" s="41">
        <f>-M103*'Assumptions and Sensis'!$O$79</f>
        <v>-370625.52067200007</v>
      </c>
      <c r="N104" s="41">
        <f>-N103*'Assumptions and Sensis'!$O$79</f>
        <v>-370625.52067200007</v>
      </c>
      <c r="O104" s="41">
        <f>-O103*'Assumptions and Sensis'!$O$79</f>
        <v>-370625.52067200007</v>
      </c>
      <c r="P104" s="41">
        <f>-P103*'Assumptions and Sensis'!$O$79</f>
        <v>-370625.52067200007</v>
      </c>
      <c r="Q104" s="41">
        <f>-Q103*'Assumptions and Sensis'!$O$79</f>
        <v>-407688.07273920008</v>
      </c>
      <c r="R104" s="41">
        <f>-R103*'Assumptions and Sensis'!$O$79</f>
        <v>-407688.07273920008</v>
      </c>
      <c r="S104" s="41">
        <f>-S103*'Assumptions and Sensis'!$O$79</f>
        <v>-407688.07273920008</v>
      </c>
      <c r="T104" s="41">
        <f>-T103*'Assumptions and Sensis'!$O$79</f>
        <v>-407688.07273920008</v>
      </c>
      <c r="U104" s="41">
        <f>-U103*'Assumptions and Sensis'!$O$79</f>
        <v>-407688.07273920008</v>
      </c>
      <c r="V104" s="41">
        <f>-V103*'Assumptions and Sensis'!$O$79</f>
        <v>-448456.88001312019</v>
      </c>
      <c r="W104" s="41">
        <f>-W103*'Assumptions and Sensis'!$O$79</f>
        <v>-448456.88001312019</v>
      </c>
      <c r="X104" s="41">
        <f>-X103*'Assumptions and Sensis'!$O$79</f>
        <v>-448456.88001312019</v>
      </c>
      <c r="Y104" s="41">
        <f>-Y103*'Assumptions and Sensis'!$O$79</f>
        <v>-448456.88001312019</v>
      </c>
      <c r="Z104" s="41">
        <f>-Z103*'Assumptions and Sensis'!$O$79</f>
        <v>-448456.88001312019</v>
      </c>
    </row>
    <row r="105" spans="2:26" x14ac:dyDescent="0.2">
      <c r="B105" s="32" t="s">
        <v>259</v>
      </c>
      <c r="C105" s="32"/>
      <c r="D105" s="39"/>
      <c r="E105" s="39"/>
      <c r="F105" s="150">
        <f ca="1">+F110*'Assumptions and Sensis'!$O$113</f>
        <v>0</v>
      </c>
      <c r="G105" s="150">
        <f ca="1">+G110*'Assumptions and Sensis'!$O$113</f>
        <v>0</v>
      </c>
      <c r="H105" s="150">
        <f ca="1">+H110*'Assumptions and Sensis'!$O$113</f>
        <v>0</v>
      </c>
      <c r="I105" s="150">
        <f ca="1">+I110*'Assumptions and Sensis'!$O$113</f>
        <v>967136.55589861237</v>
      </c>
      <c r="J105" s="150">
        <f ca="1">+J110*'Assumptions and Sensis'!$O$113</f>
        <v>1983313.4962489256</v>
      </c>
      <c r="K105" s="150">
        <f ca="1">+K110*'Assumptions and Sensis'!$O$113</f>
        <v>2015310.205895612</v>
      </c>
      <c r="L105" s="150">
        <f ca="1">+L110*'Assumptions and Sensis'!$O$113</f>
        <v>2048266.8168316993</v>
      </c>
      <c r="M105" s="150">
        <f ca="1">+M110*'Assumptions and Sensis'!$O$113</f>
        <v>2100547.2562563904</v>
      </c>
      <c r="N105" s="150">
        <f ca="1">+N110*'Assumptions and Sensis'!$O$113</f>
        <v>2135510.9247984849</v>
      </c>
      <c r="O105" s="150">
        <f ca="1">+O110*'Assumptions and Sensis'!$O$113</f>
        <v>2171523.5033968426</v>
      </c>
      <c r="P105" s="150">
        <f ca="1">+P110*'Assumptions and Sensis'!$O$113</f>
        <v>2227318.2921168823</v>
      </c>
      <c r="Q105" s="150">
        <f ca="1">+Q110*'Assumptions and Sensis'!$O$113</f>
        <v>2265524.0367518798</v>
      </c>
      <c r="R105" s="150">
        <f ca="1">+R110*'Assumptions and Sensis'!$O$113</f>
        <v>2304875.9537259275</v>
      </c>
      <c r="S105" s="150">
        <f ca="1">+S110*'Assumptions and Sensis'!$O$113</f>
        <v>2364484.2976282025</v>
      </c>
      <c r="T105" s="150">
        <f ca="1">+T110*'Assumptions and Sensis'!$O$113</f>
        <v>2406232.7463459703</v>
      </c>
      <c r="U105" s="150">
        <f ca="1">+U110*'Assumptions and Sensis'!$O$113</f>
        <v>2449233.6485252702</v>
      </c>
      <c r="V105" s="150">
        <f ca="1">+V110*'Assumptions and Sensis'!$O$113</f>
        <v>2512981.9645773359</v>
      </c>
      <c r="W105" s="150">
        <f ca="1">+W110*'Assumptions and Sensis'!$O$113</f>
        <v>2558601.6216993555</v>
      </c>
      <c r="X105" s="150">
        <f ca="1">+X110*'Assumptions and Sensis'!$O$113</f>
        <v>2605589.8685350358</v>
      </c>
      <c r="Y105" s="150">
        <f ca="1">+Y110*'Assumptions and Sensis'!$O$113</f>
        <v>2673834.29731932</v>
      </c>
      <c r="Z105" s="150">
        <f ca="1">+Z110*'Assumptions and Sensis'!$O$113</f>
        <v>2723684.1283872928</v>
      </c>
    </row>
    <row r="106" spans="2:26" x14ac:dyDescent="0.2">
      <c r="B106" s="136" t="s">
        <v>253</v>
      </c>
      <c r="C106" s="136"/>
      <c r="D106" s="136"/>
      <c r="E106" s="136"/>
      <c r="F106" s="128">
        <f t="shared" ref="F106:Z106" ca="1" si="75">+SUM(F103:F105)</f>
        <v>0</v>
      </c>
      <c r="G106" s="128">
        <f t="shared" ca="1" si="75"/>
        <v>0</v>
      </c>
      <c r="H106" s="128">
        <f t="shared" ca="1" si="75"/>
        <v>0</v>
      </c>
      <c r="I106" s="128">
        <f t="shared" ca="1" si="75"/>
        <v>2483331.8677386125</v>
      </c>
      <c r="J106" s="128">
        <f t="shared" ca="1" si="75"/>
        <v>5015704.1199289262</v>
      </c>
      <c r="K106" s="128">
        <f t="shared" ca="1" si="75"/>
        <v>5047700.8295756122</v>
      </c>
      <c r="L106" s="128">
        <f t="shared" ca="1" si="75"/>
        <v>5383896.5028796997</v>
      </c>
      <c r="M106" s="128">
        <f t="shared" ca="1" si="75"/>
        <v>5436176.9423043914</v>
      </c>
      <c r="N106" s="128">
        <f t="shared" ca="1" si="75"/>
        <v>5471140.6108464859</v>
      </c>
      <c r="O106" s="128">
        <f t="shared" ca="1" si="75"/>
        <v>5507153.1894448437</v>
      </c>
      <c r="P106" s="128">
        <f t="shared" ca="1" si="75"/>
        <v>5562947.9781648833</v>
      </c>
      <c r="Q106" s="128">
        <f t="shared" ca="1" si="75"/>
        <v>5934716.6914046798</v>
      </c>
      <c r="R106" s="128">
        <f t="shared" ca="1" si="75"/>
        <v>5974068.6083787279</v>
      </c>
      <c r="S106" s="128">
        <f t="shared" ca="1" si="75"/>
        <v>6033676.9522810029</v>
      </c>
      <c r="T106" s="128">
        <f t="shared" ca="1" si="75"/>
        <v>6075425.4009987712</v>
      </c>
      <c r="U106" s="128">
        <f t="shared" ca="1" si="75"/>
        <v>6118426.3031780701</v>
      </c>
      <c r="V106" s="128">
        <f t="shared" ca="1" si="75"/>
        <v>6549093.8846954172</v>
      </c>
      <c r="W106" s="128">
        <f t="shared" ca="1" si="75"/>
        <v>6594713.5418174369</v>
      </c>
      <c r="X106" s="128">
        <f t="shared" ca="1" si="75"/>
        <v>6641701.7886531167</v>
      </c>
      <c r="Y106" s="128">
        <f t="shared" ca="1" si="75"/>
        <v>6709946.2174374014</v>
      </c>
      <c r="Z106" s="128">
        <f t="shared" ca="1" si="75"/>
        <v>6759796.0485053742</v>
      </c>
    </row>
    <row r="108" spans="2:26" x14ac:dyDescent="0.2">
      <c r="B108" s="32" t="s">
        <v>389</v>
      </c>
      <c r="F108" s="33">
        <f>+F97*'Assumptions and Sensis'!$O$147*'Phase II Pro Forma'!F101</f>
        <v>0</v>
      </c>
      <c r="G108" s="33">
        <f>+G97*'Assumptions and Sensis'!$O$147*'Phase II Pro Forma'!G101</f>
        <v>0</v>
      </c>
      <c r="H108" s="33">
        <f>+H97*'Assumptions and Sensis'!$O$147*'Phase II Pro Forma'!H101</f>
        <v>0</v>
      </c>
      <c r="I108" s="33">
        <f>+I97*'Assumptions and Sensis'!$O$147*'Phase II Pro Forma'!I101</f>
        <v>575273.45643089851</v>
      </c>
      <c r="J108" s="33">
        <f>+J97*'Assumptions and Sensis'!$O$147*'Phase II Pro Forma'!J101</f>
        <v>1185063.3202476511</v>
      </c>
      <c r="K108" s="33">
        <f>+K97*'Assumptions and Sensis'!$O$147*'Phase II Pro Forma'!K101</f>
        <v>1220615.2198550806</v>
      </c>
      <c r="L108" s="33">
        <f>+L97*'Assumptions and Sensis'!$O$147*'Phase II Pro Forma'!L101</f>
        <v>1257233.6764507331</v>
      </c>
      <c r="M108" s="33">
        <f>+M97*'Assumptions and Sensis'!$O$147*'Phase II Pro Forma'!M101</f>
        <v>1294950.6867442552</v>
      </c>
      <c r="N108" s="33">
        <f>+N97*'Assumptions and Sensis'!$O$147*'Phase II Pro Forma'!N101</f>
        <v>1333799.2073465828</v>
      </c>
      <c r="O108" s="33">
        <f>+O97*'Assumptions and Sensis'!$O$147*'Phase II Pro Forma'!O101</f>
        <v>1373813.1835669803</v>
      </c>
      <c r="P108" s="33">
        <f>+P97*'Assumptions and Sensis'!$O$147*'Phase II Pro Forma'!P101</f>
        <v>1415027.5790739898</v>
      </c>
      <c r="Q108" s="33">
        <f>+Q97*'Assumptions and Sensis'!$O$147*'Phase II Pro Forma'!Q101</f>
        <v>1457478.4064462094</v>
      </c>
      <c r="R108" s="33">
        <f>+R97*'Assumptions and Sensis'!$O$147*'Phase II Pro Forma'!R101</f>
        <v>1501202.7586395957</v>
      </c>
      <c r="S108" s="33">
        <f>+S97*'Assumptions and Sensis'!$O$147*'Phase II Pro Forma'!S101</f>
        <v>1546238.8413987837</v>
      </c>
      <c r="T108" s="33">
        <f>+T97*'Assumptions and Sensis'!$O$147*'Phase II Pro Forma'!T101</f>
        <v>1592626.0066407474</v>
      </c>
      <c r="U108" s="33">
        <f>+U97*'Assumptions and Sensis'!$O$147*'Phase II Pro Forma'!U101</f>
        <v>1640404.7868399699</v>
      </c>
      <c r="V108" s="33">
        <f>+V97*'Assumptions and Sensis'!$O$147*'Phase II Pro Forma'!V101</f>
        <v>1689616.9304451691</v>
      </c>
      <c r="W108" s="33">
        <f>+W97*'Assumptions and Sensis'!$O$147*'Phase II Pro Forma'!W101</f>
        <v>1740305.4383585241</v>
      </c>
      <c r="X108" s="33">
        <f>+X97*'Assumptions and Sensis'!$O$147*'Phase II Pro Forma'!X101</f>
        <v>1792514.60150928</v>
      </c>
      <c r="Y108" s="33">
        <f>+Y97*'Assumptions and Sensis'!$O$147*'Phase II Pro Forma'!Y101</f>
        <v>1846290.0395545585</v>
      </c>
      <c r="Z108" s="33">
        <f>+Z97*'Assumptions and Sensis'!$O$147*'Phase II Pro Forma'!Z101</f>
        <v>1901678.7407411954</v>
      </c>
    </row>
    <row r="109" spans="2:26" x14ac:dyDescent="0.2">
      <c r="B109" s="32" t="s">
        <v>325</v>
      </c>
      <c r="F109" s="150">
        <f ca="1">+IFERROR(INDEX('Taxes and TIF'!$AC$11:$AC$45,MATCH('Phase II Pro Forma'!F$7,'Taxes and TIF'!$R$11:$R$45,0)),0)*'Loan Sizing'!$K$21*F98</f>
        <v>0</v>
      </c>
      <c r="G109" s="150">
        <f ca="1">+IFERROR(INDEX('Taxes and TIF'!$AC$11:$AC$45,MATCH('Phase II Pro Forma'!G$7,'Taxes and TIF'!$R$11:$R$45,0)),0)*'Loan Sizing'!$K$21*G98</f>
        <v>0</v>
      </c>
      <c r="H109" s="150">
        <f ca="1">+IFERROR(INDEX('Taxes and TIF'!$AC$11:$AC$45,MATCH('Phase II Pro Forma'!H$7,'Taxes and TIF'!$R$11:$R$45,0)),0)*'Loan Sizing'!$K$21*H98</f>
        <v>0</v>
      </c>
      <c r="I109" s="150">
        <f ca="1">+IFERROR(INDEX('Taxes and TIF'!$AC$11:$AC$45,MATCH('Phase II Pro Forma'!I$7,'Taxes and TIF'!$R$11:$R$45,0)),0)*'Loan Sizing'!$K$21*I98</f>
        <v>499322.71678978222</v>
      </c>
      <c r="J109" s="150">
        <f ca="1">+IFERROR(INDEX('Taxes and TIF'!$AC$11:$AC$45,MATCH('Phase II Pro Forma'!J$7,'Taxes and TIF'!$R$11:$R$45,0)),0)*'Loan Sizing'!$K$21*J98</f>
        <v>1018618.3422511556</v>
      </c>
      <c r="K109" s="150">
        <f ca="1">+IFERROR(INDEX('Taxes and TIF'!$AC$11:$AC$45,MATCH('Phase II Pro Forma'!K$7,'Taxes and TIF'!$R$11:$R$45,0)),0)*'Loan Sizing'!$K$21*K98</f>
        <v>1018618.3422511556</v>
      </c>
      <c r="L109" s="150">
        <f ca="1">+IFERROR(INDEX('Taxes and TIF'!$AC$11:$AC$45,MATCH('Phase II Pro Forma'!L$7,'Taxes and TIF'!$R$11:$R$45,0)),0)*'Loan Sizing'!$K$21*L98</f>
        <v>1018618.3422511556</v>
      </c>
      <c r="M109" s="150">
        <f ca="1">+IFERROR(INDEX('Taxes and TIF'!$AC$11:$AC$45,MATCH('Phase II Pro Forma'!M$7,'Taxes and TIF'!$R$11:$R$45,0)),0)*'Loan Sizing'!$K$21*M98</f>
        <v>1038990.7090961789</v>
      </c>
      <c r="N109" s="150">
        <f ca="1">+IFERROR(INDEX('Taxes and TIF'!$AC$11:$AC$45,MATCH('Phase II Pro Forma'!N$7,'Taxes and TIF'!$R$11:$R$45,0)),0)*'Loan Sizing'!$K$21*N98</f>
        <v>1038990.7090961789</v>
      </c>
      <c r="O109" s="150">
        <f ca="1">+IFERROR(INDEX('Taxes and TIF'!$AC$11:$AC$45,MATCH('Phase II Pro Forma'!O$7,'Taxes and TIF'!$R$11:$R$45,0)),0)*'Loan Sizing'!$K$21*O98</f>
        <v>1038990.7090961789</v>
      </c>
      <c r="P109" s="150">
        <f ca="1">+IFERROR(INDEX('Taxes and TIF'!$AC$11:$AC$45,MATCH('Phase II Pro Forma'!P$7,'Taxes and TIF'!$R$11:$R$45,0)),0)*'Loan Sizing'!$K$21*P98</f>
        <v>1059770.5232781023</v>
      </c>
      <c r="Q109" s="150">
        <f ca="1">+IFERROR(INDEX('Taxes and TIF'!$AC$11:$AC$45,MATCH('Phase II Pro Forma'!Q$7,'Taxes and TIF'!$R$11:$R$45,0)),0)*'Loan Sizing'!$K$21*Q98</f>
        <v>1059770.5232781023</v>
      </c>
      <c r="R109" s="150">
        <f ca="1">+IFERROR(INDEX('Taxes and TIF'!$AC$11:$AC$45,MATCH('Phase II Pro Forma'!R$7,'Taxes and TIF'!$R$11:$R$45,0)),0)*'Loan Sizing'!$K$21*R98</f>
        <v>1059770.5232781023</v>
      </c>
      <c r="S109" s="150">
        <f ca="1">+IFERROR(INDEX('Taxes and TIF'!$AC$11:$AC$45,MATCH('Phase II Pro Forma'!S$7,'Taxes and TIF'!$R$11:$R$45,0)),0)*'Loan Sizing'!$K$21*S98</f>
        <v>1080965.9337436643</v>
      </c>
      <c r="T109" s="150">
        <f ca="1">+IFERROR(INDEX('Taxes and TIF'!$AC$11:$AC$45,MATCH('Phase II Pro Forma'!T$7,'Taxes and TIF'!$R$11:$R$45,0)),0)*'Loan Sizing'!$K$21*T98</f>
        <v>1080965.9337436643</v>
      </c>
      <c r="U109" s="150">
        <f ca="1">+IFERROR(INDEX('Taxes and TIF'!$AC$11:$AC$45,MATCH('Phase II Pro Forma'!U$7,'Taxes and TIF'!$R$11:$R$45,0)),0)*'Loan Sizing'!$K$21*U98</f>
        <v>1080965.9337436643</v>
      </c>
      <c r="V109" s="150">
        <f ca="1">+IFERROR(INDEX('Taxes and TIF'!$AC$11:$AC$45,MATCH('Phase II Pro Forma'!V$7,'Taxes and TIF'!$R$11:$R$45,0)),0)*'Loan Sizing'!$K$21*V98</f>
        <v>1102585.2524185379</v>
      </c>
      <c r="W109" s="150">
        <f ca="1">+IFERROR(INDEX('Taxes and TIF'!$AC$11:$AC$45,MATCH('Phase II Pro Forma'!W$7,'Taxes and TIF'!$R$11:$R$45,0)),0)*'Loan Sizing'!$K$21*W98</f>
        <v>1102585.2524185379</v>
      </c>
      <c r="X109" s="150">
        <f ca="1">+IFERROR(INDEX('Taxes and TIF'!$AC$11:$AC$45,MATCH('Phase II Pro Forma'!X$7,'Taxes and TIF'!$R$11:$R$45,0)),0)*'Loan Sizing'!$K$21*X98</f>
        <v>1102585.2524185379</v>
      </c>
      <c r="Y109" s="150">
        <f ca="1">+IFERROR(INDEX('Taxes and TIF'!$AC$11:$AC$45,MATCH('Phase II Pro Forma'!Y$7,'Taxes and TIF'!$R$11:$R$45,0)),0)*'Loan Sizing'!$K$21*Y98</f>
        <v>1124636.9574669087</v>
      </c>
      <c r="Z109" s="150">
        <f ca="1">+IFERROR(INDEX('Taxes and TIF'!$AC$11:$AC$45,MATCH('Phase II Pro Forma'!Z$7,'Taxes and TIF'!$R$11:$R$45,0)),0)*'Loan Sizing'!$K$21*Z98</f>
        <v>1124636.9574669087</v>
      </c>
    </row>
    <row r="110" spans="2:26" x14ac:dyDescent="0.2">
      <c r="B110" s="136" t="s">
        <v>249</v>
      </c>
      <c r="C110" s="136"/>
      <c r="D110" s="136"/>
      <c r="E110" s="136"/>
      <c r="F110" s="128">
        <f ca="1">+SUM(F108:F109)</f>
        <v>0</v>
      </c>
      <c r="G110" s="128">
        <f t="shared" ref="G110" ca="1" si="76">+SUM(G108:G109)</f>
        <v>0</v>
      </c>
      <c r="H110" s="128">
        <f t="shared" ref="H110:Z110" ca="1" si="77">+SUM(H108:H109)</f>
        <v>0</v>
      </c>
      <c r="I110" s="128">
        <f t="shared" ca="1" si="77"/>
        <v>1074596.1732206808</v>
      </c>
      <c r="J110" s="128">
        <f t="shared" ca="1" si="77"/>
        <v>2203681.6624988066</v>
      </c>
      <c r="K110" s="128">
        <f t="shared" ca="1" si="77"/>
        <v>2239233.5621062363</v>
      </c>
      <c r="L110" s="128">
        <f t="shared" ca="1" si="77"/>
        <v>2275852.0187018886</v>
      </c>
      <c r="M110" s="128">
        <f t="shared" ca="1" si="77"/>
        <v>2333941.3958404344</v>
      </c>
      <c r="N110" s="128">
        <f t="shared" ca="1" si="77"/>
        <v>2372789.9164427617</v>
      </c>
      <c r="O110" s="128">
        <f t="shared" ca="1" si="77"/>
        <v>2412803.8926631594</v>
      </c>
      <c r="P110" s="128">
        <f t="shared" ca="1" si="77"/>
        <v>2474798.102352092</v>
      </c>
      <c r="Q110" s="128">
        <f t="shared" ca="1" si="77"/>
        <v>2517248.9297243115</v>
      </c>
      <c r="R110" s="128">
        <f t="shared" ca="1" si="77"/>
        <v>2560973.2819176978</v>
      </c>
      <c r="S110" s="128">
        <f t="shared" ca="1" si="77"/>
        <v>2627204.775142448</v>
      </c>
      <c r="T110" s="128">
        <f t="shared" ca="1" si="77"/>
        <v>2673591.9403844117</v>
      </c>
      <c r="U110" s="128">
        <f t="shared" ca="1" si="77"/>
        <v>2721370.7205836345</v>
      </c>
      <c r="V110" s="128">
        <f t="shared" ca="1" si="77"/>
        <v>2792202.1828637067</v>
      </c>
      <c r="W110" s="128">
        <f t="shared" ca="1" si="77"/>
        <v>2842890.690777062</v>
      </c>
      <c r="X110" s="128">
        <f t="shared" ca="1" si="77"/>
        <v>2895099.8539278181</v>
      </c>
      <c r="Y110" s="128">
        <f t="shared" ca="1" si="77"/>
        <v>2970926.9970214674</v>
      </c>
      <c r="Z110" s="128">
        <f t="shared" ca="1" si="77"/>
        <v>3026315.6982081039</v>
      </c>
    </row>
    <row r="111" spans="2:26" x14ac:dyDescent="0.2">
      <c r="B111" s="32"/>
    </row>
    <row r="112" spans="2:26" x14ac:dyDescent="0.2">
      <c r="B112" s="137" t="s">
        <v>248</v>
      </c>
      <c r="C112" s="137"/>
      <c r="D112" s="137"/>
      <c r="E112" s="137"/>
      <c r="F112" s="138">
        <f ca="1">+F106-F110</f>
        <v>0</v>
      </c>
      <c r="G112" s="138">
        <f t="shared" ref="G112:Z112" ca="1" si="78">+G106-G110</f>
        <v>0</v>
      </c>
      <c r="H112" s="138">
        <f t="shared" ca="1" si="78"/>
        <v>0</v>
      </c>
      <c r="I112" s="138">
        <f t="shared" ca="1" si="78"/>
        <v>1408735.6945179317</v>
      </c>
      <c r="J112" s="138">
        <f t="shared" ca="1" si="78"/>
        <v>2812022.4574301196</v>
      </c>
      <c r="K112" s="138">
        <f t="shared" ca="1" si="78"/>
        <v>2808467.2674693759</v>
      </c>
      <c r="L112" s="138">
        <f t="shared" ca="1" si="78"/>
        <v>3108044.4841778111</v>
      </c>
      <c r="M112" s="138">
        <f t="shared" ca="1" si="78"/>
        <v>3102235.5464639571</v>
      </c>
      <c r="N112" s="138">
        <f t="shared" ca="1" si="78"/>
        <v>3098350.6944037243</v>
      </c>
      <c r="O112" s="138">
        <f t="shared" ca="1" si="78"/>
        <v>3094349.2967816843</v>
      </c>
      <c r="P112" s="138">
        <f t="shared" ca="1" si="78"/>
        <v>3088149.8758127913</v>
      </c>
      <c r="Q112" s="138">
        <f t="shared" ca="1" si="78"/>
        <v>3417467.7616803683</v>
      </c>
      <c r="R112" s="138">
        <f t="shared" ca="1" si="78"/>
        <v>3413095.3264610302</v>
      </c>
      <c r="S112" s="138">
        <f t="shared" ca="1" si="78"/>
        <v>3406472.1771385549</v>
      </c>
      <c r="T112" s="138">
        <f t="shared" ca="1" si="78"/>
        <v>3401833.4606143595</v>
      </c>
      <c r="U112" s="138">
        <f t="shared" ca="1" si="78"/>
        <v>3397055.5825944357</v>
      </c>
      <c r="V112" s="138">
        <f t="shared" ca="1" si="78"/>
        <v>3756891.7018317105</v>
      </c>
      <c r="W112" s="138">
        <f t="shared" ca="1" si="78"/>
        <v>3751822.851040375</v>
      </c>
      <c r="X112" s="138">
        <f t="shared" ca="1" si="78"/>
        <v>3746601.9347252985</v>
      </c>
      <c r="Y112" s="138">
        <f t="shared" ca="1" si="78"/>
        <v>3739019.220415934</v>
      </c>
      <c r="Z112" s="138">
        <f t="shared" ca="1" si="78"/>
        <v>3733480.3502972703</v>
      </c>
    </row>
    <row r="113" spans="2:26" x14ac:dyDescent="0.2">
      <c r="B113" s="142" t="s">
        <v>254</v>
      </c>
      <c r="C113" s="140"/>
      <c r="D113" s="140"/>
      <c r="E113" s="140"/>
      <c r="F113" s="143" t="str">
        <f ca="1">+IFERROR(F112/F106,"")</f>
        <v/>
      </c>
      <c r="G113" s="143" t="str">
        <f t="shared" ref="G113:Z113" ca="1" si="79">+IFERROR(G112/G106,"")</f>
        <v/>
      </c>
      <c r="H113" s="143" t="str">
        <f t="shared" ca="1" si="79"/>
        <v/>
      </c>
      <c r="I113" s="144">
        <f t="shared" ca="1" si="79"/>
        <v>0.56727645338871424</v>
      </c>
      <c r="J113" s="144">
        <f t="shared" ca="1" si="79"/>
        <v>0.56064360859267881</v>
      </c>
      <c r="K113" s="144">
        <f t="shared" ca="1" si="79"/>
        <v>0.55638544404492751</v>
      </c>
      <c r="L113" s="144">
        <f t="shared" ca="1" si="79"/>
        <v>0.5772853327539641</v>
      </c>
      <c r="M113" s="144">
        <f t="shared" ca="1" si="79"/>
        <v>0.5706649322472056</v>
      </c>
      <c r="N113" s="144">
        <f t="shared" ca="1" si="79"/>
        <v>0.56630799951682331</v>
      </c>
      <c r="O113" s="144">
        <f t="shared" ca="1" si="79"/>
        <v>0.56187819556434282</v>
      </c>
      <c r="P113" s="144">
        <f t="shared" ca="1" si="79"/>
        <v>0.55512830390183088</v>
      </c>
      <c r="Q113" s="144">
        <f t="shared" ca="1" si="79"/>
        <v>0.5758434546049902</v>
      </c>
      <c r="R113" s="144">
        <f t="shared" ca="1" si="79"/>
        <v>0.57131840127749933</v>
      </c>
      <c r="S113" s="144">
        <f t="shared" ca="1" si="79"/>
        <v>0.56457649358419071</v>
      </c>
      <c r="T113" s="144">
        <f t="shared" ca="1" si="79"/>
        <v>0.55993337685540734</v>
      </c>
      <c r="U113" s="144">
        <f t="shared" ca="1" si="79"/>
        <v>0.55521721015580694</v>
      </c>
      <c r="V113" s="144">
        <f t="shared" ca="1" si="79"/>
        <v>0.57365060998914574</v>
      </c>
      <c r="W113" s="144">
        <f t="shared" ca="1" si="79"/>
        <v>0.56891369537886105</v>
      </c>
      <c r="X113" s="144">
        <f t="shared" ca="1" si="79"/>
        <v>0.5641027034857401</v>
      </c>
      <c r="Y113" s="144">
        <f t="shared" ca="1" si="79"/>
        <v>0.55723534872741565</v>
      </c>
      <c r="Z113" s="144">
        <f t="shared" ca="1" si="79"/>
        <v>0.55230665592681039</v>
      </c>
    </row>
    <row r="114" spans="2:26" x14ac:dyDescent="0.2">
      <c r="B114" s="142" t="s">
        <v>188</v>
      </c>
      <c r="C114" s="140"/>
      <c r="D114" s="140"/>
      <c r="E114" s="140"/>
      <c r="F114" s="141">
        <f ca="1">+F112/'Assumptions and Sensis'!$O$158</f>
        <v>0</v>
      </c>
      <c r="G114" s="141">
        <f ca="1">+G112/'Assumptions and Sensis'!$O$158</f>
        <v>0</v>
      </c>
      <c r="H114" s="141">
        <f ca="1">+H112/'Assumptions and Sensis'!$O$158</f>
        <v>0</v>
      </c>
      <c r="I114" s="141">
        <f ca="1">+I112/'Assumptions and Sensis'!$O$158</f>
        <v>21672856.83873741</v>
      </c>
      <c r="J114" s="141">
        <f ca="1">+J112/'Assumptions and Sensis'!$O$158</f>
        <v>43261883.960463375</v>
      </c>
      <c r="K114" s="141">
        <f ca="1">+K112/'Assumptions and Sensis'!$O$158</f>
        <v>43207188.730298087</v>
      </c>
      <c r="L114" s="141">
        <f ca="1">+L112/'Assumptions and Sensis'!$O$158</f>
        <v>47816068.987350941</v>
      </c>
      <c r="M114" s="141">
        <f ca="1">+M112/'Assumptions and Sensis'!$O$158</f>
        <v>47726700.714830108</v>
      </c>
      <c r="N114" s="141">
        <f ca="1">+N112/'Assumptions and Sensis'!$O$158</f>
        <v>47666933.760057293</v>
      </c>
      <c r="O114" s="141">
        <f ca="1">+O112/'Assumptions and Sensis'!$O$158</f>
        <v>47605373.796641298</v>
      </c>
      <c r="P114" s="141">
        <f ca="1">+P112/'Assumptions and Sensis'!$O$158</f>
        <v>47509998.089427553</v>
      </c>
      <c r="Q114" s="141">
        <f ca="1">+Q112/'Assumptions and Sensis'!$O$158</f>
        <v>52576427.102774896</v>
      </c>
      <c r="R114" s="141">
        <f ca="1">+R112/'Assumptions and Sensis'!$O$158</f>
        <v>52509158.868631229</v>
      </c>
      <c r="S114" s="141">
        <f ca="1">+S112/'Assumptions and Sensis'!$O$158</f>
        <v>52407264.263670072</v>
      </c>
      <c r="T114" s="141">
        <f ca="1">+T112/'Assumptions and Sensis'!$O$158</f>
        <v>52335899.394067064</v>
      </c>
      <c r="U114" s="141">
        <f ca="1">+U112/'Assumptions and Sensis'!$O$158</f>
        <v>52262393.578375928</v>
      </c>
      <c r="V114" s="141">
        <f ca="1">+V112/'Assumptions and Sensis'!$O$158</f>
        <v>57798333.874334008</v>
      </c>
      <c r="W114" s="141">
        <f ca="1">+W112/'Assumptions and Sensis'!$O$158</f>
        <v>57720351.554467306</v>
      </c>
      <c r="X114" s="141">
        <f ca="1">+X112/'Assumptions and Sensis'!$O$158</f>
        <v>57640029.76500459</v>
      </c>
      <c r="Y114" s="141">
        <f ca="1">+Y112/'Assumptions and Sensis'!$O$158</f>
        <v>57523372.621783599</v>
      </c>
      <c r="Z114" s="141">
        <f ca="1">+Z112/'Assumptions and Sensis'!$O$158</f>
        <v>57438159.235342622</v>
      </c>
    </row>
    <row r="116" spans="2:26" x14ac:dyDescent="0.2">
      <c r="B116" s="147" t="s">
        <v>221</v>
      </c>
      <c r="C116" s="148"/>
      <c r="D116" s="148"/>
      <c r="E116" s="148"/>
      <c r="F116" s="149">
        <f>+'Assumptions and Sensis'!$G$43</f>
        <v>44926</v>
      </c>
      <c r="G116" s="149">
        <f>+EOMONTH(F116,12)</f>
        <v>45291</v>
      </c>
      <c r="H116" s="149">
        <f t="shared" ref="H116:Z116" si="80">+EOMONTH(G116,12)</f>
        <v>45657</v>
      </c>
      <c r="I116" s="149">
        <f t="shared" si="80"/>
        <v>46022</v>
      </c>
      <c r="J116" s="149">
        <f t="shared" si="80"/>
        <v>46387</v>
      </c>
      <c r="K116" s="149">
        <f t="shared" si="80"/>
        <v>46752</v>
      </c>
      <c r="L116" s="149">
        <f t="shared" si="80"/>
        <v>47118</v>
      </c>
      <c r="M116" s="149">
        <f t="shared" si="80"/>
        <v>47483</v>
      </c>
      <c r="N116" s="149">
        <f t="shared" si="80"/>
        <v>47848</v>
      </c>
      <c r="O116" s="149">
        <f t="shared" si="80"/>
        <v>48213</v>
      </c>
      <c r="P116" s="149">
        <f t="shared" si="80"/>
        <v>48579</v>
      </c>
      <c r="Q116" s="149">
        <f t="shared" si="80"/>
        <v>48944</v>
      </c>
      <c r="R116" s="149">
        <f t="shared" si="80"/>
        <v>49309</v>
      </c>
      <c r="S116" s="149">
        <f t="shared" si="80"/>
        <v>49674</v>
      </c>
      <c r="T116" s="149">
        <f t="shared" si="80"/>
        <v>50040</v>
      </c>
      <c r="U116" s="149">
        <f t="shared" si="80"/>
        <v>50405</v>
      </c>
      <c r="V116" s="149">
        <f t="shared" si="80"/>
        <v>50770</v>
      </c>
      <c r="W116" s="149">
        <f t="shared" si="80"/>
        <v>51135</v>
      </c>
      <c r="X116" s="149">
        <f t="shared" si="80"/>
        <v>51501</v>
      </c>
      <c r="Y116" s="149">
        <f t="shared" si="80"/>
        <v>51866</v>
      </c>
      <c r="Z116" s="149">
        <f t="shared" si="80"/>
        <v>52231</v>
      </c>
    </row>
    <row r="117" spans="2:26" x14ac:dyDescent="0.2">
      <c r="B117" s="32" t="s">
        <v>756</v>
      </c>
      <c r="C117" s="32"/>
      <c r="D117" s="39"/>
      <c r="E117" s="39"/>
      <c r="F117" s="41">
        <f>+IF(AND(F116&gt;='Assumptions and Sensis'!$G$47,F116&lt;'Assumptions and Sensis'!$G$49),SUM('Assumptions and Sensis'!$G$234:$G$235)/ROUNDUP(('Assumptions and Sensis'!$G$48/12),0),0)</f>
        <v>0</v>
      </c>
      <c r="G117" s="41">
        <f>+IF(AND(G116&gt;='Assumptions and Sensis'!$G$47,G116&lt;'Assumptions and Sensis'!$G$49),SUM('Assumptions and Sensis'!$G$234:$G$235)/ROUNDUP(('Assumptions and Sensis'!$G$48/12),0),0)</f>
        <v>0</v>
      </c>
      <c r="H117" s="41">
        <f>+IF(AND(H116&gt;='Assumptions and Sensis'!$G$47,H116&lt;'Assumptions and Sensis'!$G$49),SUM('Assumptions and Sensis'!$G$234:$G$235)/ROUNDUP(('Assumptions and Sensis'!$G$48/12),0),0)</f>
        <v>0</v>
      </c>
      <c r="I117" s="41">
        <f>+IF(AND(I116&gt;='Assumptions and Sensis'!$G$47,I116&lt;'Assumptions and Sensis'!$G$49),SUM('Assumptions and Sensis'!$G$234:$G$235)/ROUNDUP(('Assumptions and Sensis'!$G$48/12),0),0)</f>
        <v>52999.999999999993</v>
      </c>
      <c r="J117" s="41">
        <f>+IF(AND(J116&gt;='Assumptions and Sensis'!$G$47,J116&lt;'Assumptions and Sensis'!$G$49),SUM('Assumptions and Sensis'!$G$234:$G$235)/ROUNDUP(('Assumptions and Sensis'!$G$48/12),0),0)</f>
        <v>52999.999999999993</v>
      </c>
      <c r="K117" s="41">
        <f>+IF(AND(K116&gt;='Assumptions and Sensis'!$G$47,K116&lt;'Assumptions and Sensis'!$G$49),SUM('Assumptions and Sensis'!$G$234:$G$235)/ROUNDUP(('Assumptions and Sensis'!$G$48/12),0),0)</f>
        <v>0</v>
      </c>
      <c r="L117" s="41">
        <f>+IF(AND(L116&gt;='Assumptions and Sensis'!$G$47,L116&lt;'Assumptions and Sensis'!$G$49),SUM('Assumptions and Sensis'!$G$234:$G$235)/ROUNDUP(('Assumptions and Sensis'!$G$48/12),0),0)</f>
        <v>0</v>
      </c>
      <c r="M117" s="41">
        <f>+IF(AND(M116&gt;='Assumptions and Sensis'!$G$47,M116&lt;'Assumptions and Sensis'!$G$49),SUM('Assumptions and Sensis'!$G$234:$G$235)/ROUNDUP(('Assumptions and Sensis'!$G$48/12),0),0)</f>
        <v>0</v>
      </c>
      <c r="N117" s="41">
        <f>+IF(AND(N116&gt;='Assumptions and Sensis'!$G$47,N116&lt;'Assumptions and Sensis'!$G$49),SUM('Assumptions and Sensis'!$G$234:$G$235)/ROUNDUP(('Assumptions and Sensis'!$G$48/12),0),0)</f>
        <v>0</v>
      </c>
      <c r="O117" s="41">
        <f>+IF(AND(O116&gt;='Assumptions and Sensis'!$G$47,O116&lt;'Assumptions and Sensis'!$G$49),SUM('Assumptions and Sensis'!$G$234:$G$235)/ROUNDUP(('Assumptions and Sensis'!$G$48/12),0),0)</f>
        <v>0</v>
      </c>
      <c r="P117" s="41">
        <f>+IF(AND(P116&gt;='Assumptions and Sensis'!$G$47,P116&lt;'Assumptions and Sensis'!$G$49),SUM('Assumptions and Sensis'!$G$234:$G$235)/ROUNDUP(('Assumptions and Sensis'!$G$48/12),0),0)</f>
        <v>0</v>
      </c>
      <c r="Q117" s="41">
        <f>+IF(AND(Q116&gt;='Assumptions and Sensis'!$G$47,Q116&lt;'Assumptions and Sensis'!$G$49),SUM('Assumptions and Sensis'!$G$234:$G$235)/ROUNDUP(('Assumptions and Sensis'!$G$48/12),0),0)</f>
        <v>0</v>
      </c>
      <c r="R117" s="41">
        <f>+IF(AND(R116&gt;='Assumptions and Sensis'!$G$47,R116&lt;'Assumptions and Sensis'!$G$49),SUM('Assumptions and Sensis'!$G$234:$G$235)/ROUNDUP(('Assumptions and Sensis'!$G$48/12),0),0)</f>
        <v>0</v>
      </c>
      <c r="S117" s="41">
        <f>+IF(AND(S116&gt;='Assumptions and Sensis'!$G$47,S116&lt;'Assumptions and Sensis'!$G$49),SUM('Assumptions and Sensis'!$G$234:$G$235)/ROUNDUP(('Assumptions and Sensis'!$G$48/12),0),0)</f>
        <v>0</v>
      </c>
      <c r="T117" s="41">
        <f>+IF(AND(T116&gt;='Assumptions and Sensis'!$G$47,T116&lt;'Assumptions and Sensis'!$G$49),SUM('Assumptions and Sensis'!$G$234:$G$235)/ROUNDUP(('Assumptions and Sensis'!$G$48/12),0),0)</f>
        <v>0</v>
      </c>
      <c r="U117" s="41">
        <f>+IF(AND(U116&gt;='Assumptions and Sensis'!$G$47,U116&lt;'Assumptions and Sensis'!$G$49),SUM('Assumptions and Sensis'!$G$234:$G$235)/ROUNDUP(('Assumptions and Sensis'!$G$48/12),0),0)</f>
        <v>0</v>
      </c>
      <c r="V117" s="41">
        <f>+IF(AND(V116&gt;='Assumptions and Sensis'!$G$47,V116&lt;'Assumptions and Sensis'!$G$49),SUM('Assumptions and Sensis'!$G$234:$G$235)/ROUNDUP(('Assumptions and Sensis'!$G$48/12),0),0)</f>
        <v>0</v>
      </c>
      <c r="W117" s="41">
        <f>+IF(AND(W116&gt;='Assumptions and Sensis'!$G$47,W116&lt;'Assumptions and Sensis'!$G$49),SUM('Assumptions and Sensis'!$G$234:$G$235)/ROUNDUP(('Assumptions and Sensis'!$G$48/12),0),0)</f>
        <v>0</v>
      </c>
      <c r="X117" s="41">
        <f>+IF(AND(X116&gt;='Assumptions and Sensis'!$G$47,X116&lt;'Assumptions and Sensis'!$G$49),SUM('Assumptions and Sensis'!$G$234:$G$235)/ROUNDUP(('Assumptions and Sensis'!$G$48/12),0),0)</f>
        <v>0</v>
      </c>
      <c r="Y117" s="41">
        <f>+IF(AND(Y116&gt;='Assumptions and Sensis'!$G$47,Y116&lt;'Assumptions and Sensis'!$G$49),SUM('Assumptions and Sensis'!$G$234:$G$235)/ROUNDUP(('Assumptions and Sensis'!$G$48/12),0),0)</f>
        <v>0</v>
      </c>
      <c r="Z117" s="41">
        <f>+IF(AND(Z116&gt;='Assumptions and Sensis'!$G$47,Z116&lt;'Assumptions and Sensis'!$G$49),SUM('Assumptions and Sensis'!$G$234:$G$235)/ROUNDUP(('Assumptions and Sensis'!$G$48/12),0),0)</f>
        <v>0</v>
      </c>
    </row>
    <row r="118" spans="2:26" x14ac:dyDescent="0.2">
      <c r="B118" s="32" t="s">
        <v>490</v>
      </c>
      <c r="C118" s="32"/>
      <c r="D118" s="41"/>
      <c r="E118" s="41"/>
      <c r="F118" s="41">
        <f>+F119-E119</f>
        <v>0</v>
      </c>
      <c r="G118" s="41">
        <f t="shared" ref="G118:Z118" si="81">+G119-F119</f>
        <v>0</v>
      </c>
      <c r="H118" s="41">
        <f t="shared" si="81"/>
        <v>0</v>
      </c>
      <c r="I118" s="41">
        <f t="shared" si="81"/>
        <v>160.60606060606059</v>
      </c>
      <c r="J118" s="41">
        <f t="shared" si="81"/>
        <v>160.60606060606059</v>
      </c>
      <c r="K118" s="41">
        <f t="shared" si="81"/>
        <v>0</v>
      </c>
      <c r="L118" s="41">
        <f t="shared" si="81"/>
        <v>0</v>
      </c>
      <c r="M118" s="41">
        <f t="shared" si="81"/>
        <v>0</v>
      </c>
      <c r="N118" s="41">
        <f t="shared" si="81"/>
        <v>0</v>
      </c>
      <c r="O118" s="41">
        <f t="shared" si="81"/>
        <v>0</v>
      </c>
      <c r="P118" s="41">
        <f t="shared" si="81"/>
        <v>0</v>
      </c>
      <c r="Q118" s="41">
        <f t="shared" si="81"/>
        <v>0</v>
      </c>
      <c r="R118" s="41">
        <f t="shared" si="81"/>
        <v>0</v>
      </c>
      <c r="S118" s="41">
        <f t="shared" si="81"/>
        <v>0</v>
      </c>
      <c r="T118" s="41">
        <f t="shared" si="81"/>
        <v>0</v>
      </c>
      <c r="U118" s="41">
        <f t="shared" si="81"/>
        <v>0</v>
      </c>
      <c r="V118" s="41">
        <f t="shared" si="81"/>
        <v>0</v>
      </c>
      <c r="W118" s="41">
        <f t="shared" si="81"/>
        <v>0</v>
      </c>
      <c r="X118" s="41">
        <f t="shared" si="81"/>
        <v>0</v>
      </c>
      <c r="Y118" s="41">
        <f t="shared" si="81"/>
        <v>0</v>
      </c>
      <c r="Z118" s="41">
        <f t="shared" si="81"/>
        <v>0</v>
      </c>
    </row>
    <row r="119" spans="2:26" x14ac:dyDescent="0.2">
      <c r="B119" s="32" t="s">
        <v>247</v>
      </c>
      <c r="C119" s="32"/>
      <c r="D119" s="39"/>
      <c r="E119" s="39"/>
      <c r="F119" s="41">
        <f>+F121*SUM('Assumptions and Sensis'!$O$70:$O$71)</f>
        <v>0</v>
      </c>
      <c r="G119" s="41">
        <f>+G121*SUM('Assumptions and Sensis'!$O$70:$O$71)</f>
        <v>0</v>
      </c>
      <c r="H119" s="41">
        <f>+H121*SUM('Assumptions and Sensis'!$O$70:$O$71)</f>
        <v>0</v>
      </c>
      <c r="I119" s="41">
        <f>+I121*SUM('Assumptions and Sensis'!$O$70:$O$71)</f>
        <v>160.60606060606059</v>
      </c>
      <c r="J119" s="41">
        <f>+J121*SUM('Assumptions and Sensis'!$O$70:$O$71)</f>
        <v>321.21212121212119</v>
      </c>
      <c r="K119" s="41">
        <f>+K121*SUM('Assumptions and Sensis'!$O$70:$O$71)</f>
        <v>321.21212121212119</v>
      </c>
      <c r="L119" s="41">
        <f>+L121*SUM('Assumptions and Sensis'!$O$70:$O$71)</f>
        <v>321.21212121212119</v>
      </c>
      <c r="M119" s="41">
        <f>+M121*SUM('Assumptions and Sensis'!$O$70:$O$71)</f>
        <v>321.21212121212119</v>
      </c>
      <c r="N119" s="41">
        <f>+N121*SUM('Assumptions and Sensis'!$O$70:$O$71)</f>
        <v>321.21212121212119</v>
      </c>
      <c r="O119" s="41">
        <f>+O121*SUM('Assumptions and Sensis'!$O$70:$O$71)</f>
        <v>321.21212121212119</v>
      </c>
      <c r="P119" s="41">
        <f>+P121*SUM('Assumptions and Sensis'!$O$70:$O$71)</f>
        <v>321.21212121212119</v>
      </c>
      <c r="Q119" s="41">
        <f>+Q121*SUM('Assumptions and Sensis'!$O$70:$O$71)</f>
        <v>321.21212121212119</v>
      </c>
      <c r="R119" s="41">
        <f>+R121*SUM('Assumptions and Sensis'!$O$70:$O$71)</f>
        <v>321.21212121212119</v>
      </c>
      <c r="S119" s="41">
        <f>+S121*SUM('Assumptions and Sensis'!$O$70:$O$71)</f>
        <v>321.21212121212119</v>
      </c>
      <c r="T119" s="41">
        <f>+T121*SUM('Assumptions and Sensis'!$O$70:$O$71)</f>
        <v>321.21212121212119</v>
      </c>
      <c r="U119" s="41">
        <f>+U121*SUM('Assumptions and Sensis'!$O$70:$O$71)</f>
        <v>321.21212121212119</v>
      </c>
      <c r="V119" s="41">
        <f>+V121*SUM('Assumptions and Sensis'!$O$70:$O$71)</f>
        <v>321.21212121212119</v>
      </c>
      <c r="W119" s="41">
        <f>+W121*SUM('Assumptions and Sensis'!$O$70:$O$71)</f>
        <v>321.21212121212119</v>
      </c>
      <c r="X119" s="41">
        <f>+X121*SUM('Assumptions and Sensis'!$O$70:$O$71)</f>
        <v>321.21212121212119</v>
      </c>
      <c r="Y119" s="41">
        <f>+Y121*SUM('Assumptions and Sensis'!$O$70:$O$71)</f>
        <v>321.21212121212119</v>
      </c>
      <c r="Z119" s="41">
        <f>+Z121*SUM('Assumptions and Sensis'!$O$70:$O$71)</f>
        <v>321.21212121212119</v>
      </c>
    </row>
    <row r="120" spans="2:26" x14ac:dyDescent="0.2">
      <c r="B120" s="32" t="s">
        <v>246</v>
      </c>
      <c r="C120" s="32"/>
      <c r="D120" s="41">
        <v>0</v>
      </c>
      <c r="E120" s="41"/>
      <c r="F120" s="41">
        <f>+D120+F117</f>
        <v>0</v>
      </c>
      <c r="G120" s="41">
        <f t="shared" ref="G120:Z120" si="82">+F120+G117</f>
        <v>0</v>
      </c>
      <c r="H120" s="41">
        <f t="shared" si="82"/>
        <v>0</v>
      </c>
      <c r="I120" s="41">
        <f t="shared" si="82"/>
        <v>52999.999999999993</v>
      </c>
      <c r="J120" s="41">
        <f t="shared" si="82"/>
        <v>105999.99999999999</v>
      </c>
      <c r="K120" s="41">
        <f t="shared" si="82"/>
        <v>105999.99999999999</v>
      </c>
      <c r="L120" s="41">
        <f t="shared" si="82"/>
        <v>105999.99999999999</v>
      </c>
      <c r="M120" s="41">
        <f t="shared" si="82"/>
        <v>105999.99999999999</v>
      </c>
      <c r="N120" s="41">
        <f t="shared" si="82"/>
        <v>105999.99999999999</v>
      </c>
      <c r="O120" s="41">
        <f t="shared" si="82"/>
        <v>105999.99999999999</v>
      </c>
      <c r="P120" s="41">
        <f t="shared" si="82"/>
        <v>105999.99999999999</v>
      </c>
      <c r="Q120" s="41">
        <f t="shared" si="82"/>
        <v>105999.99999999999</v>
      </c>
      <c r="R120" s="41">
        <f t="shared" si="82"/>
        <v>105999.99999999999</v>
      </c>
      <c r="S120" s="41">
        <f t="shared" si="82"/>
        <v>105999.99999999999</v>
      </c>
      <c r="T120" s="41">
        <f t="shared" si="82"/>
        <v>105999.99999999999</v>
      </c>
      <c r="U120" s="41">
        <f t="shared" si="82"/>
        <v>105999.99999999999</v>
      </c>
      <c r="V120" s="41">
        <f t="shared" si="82"/>
        <v>105999.99999999999</v>
      </c>
      <c r="W120" s="41">
        <f t="shared" si="82"/>
        <v>105999.99999999999</v>
      </c>
      <c r="X120" s="41">
        <f t="shared" si="82"/>
        <v>105999.99999999999</v>
      </c>
      <c r="Y120" s="41">
        <f t="shared" si="82"/>
        <v>105999.99999999999</v>
      </c>
      <c r="Z120" s="41">
        <f t="shared" si="82"/>
        <v>105999.99999999999</v>
      </c>
    </row>
    <row r="121" spans="2:26" x14ac:dyDescent="0.2">
      <c r="B121" s="32" t="s">
        <v>301</v>
      </c>
      <c r="C121" s="32"/>
      <c r="D121" s="41"/>
      <c r="E121" s="41"/>
      <c r="F121" s="107">
        <f t="shared" ref="F121:Z121" si="83">+F120/SUM($F117:$Z117)</f>
        <v>0</v>
      </c>
      <c r="G121" s="107">
        <f t="shared" si="83"/>
        <v>0</v>
      </c>
      <c r="H121" s="107">
        <f t="shared" si="83"/>
        <v>0</v>
      </c>
      <c r="I121" s="107">
        <f t="shared" si="83"/>
        <v>0.5</v>
      </c>
      <c r="J121" s="107">
        <f t="shared" si="83"/>
        <v>1</v>
      </c>
      <c r="K121" s="107">
        <f t="shared" si="83"/>
        <v>1</v>
      </c>
      <c r="L121" s="107">
        <f t="shared" si="83"/>
        <v>1</v>
      </c>
      <c r="M121" s="107">
        <f t="shared" si="83"/>
        <v>1</v>
      </c>
      <c r="N121" s="107">
        <f t="shared" si="83"/>
        <v>1</v>
      </c>
      <c r="O121" s="107">
        <f t="shared" si="83"/>
        <v>1</v>
      </c>
      <c r="P121" s="107">
        <f t="shared" si="83"/>
        <v>1</v>
      </c>
      <c r="Q121" s="107">
        <f t="shared" si="83"/>
        <v>1</v>
      </c>
      <c r="R121" s="107">
        <f t="shared" si="83"/>
        <v>1</v>
      </c>
      <c r="S121" s="107">
        <f t="shared" si="83"/>
        <v>1</v>
      </c>
      <c r="T121" s="107">
        <f t="shared" si="83"/>
        <v>1</v>
      </c>
      <c r="U121" s="107">
        <f t="shared" si="83"/>
        <v>1</v>
      </c>
      <c r="V121" s="107">
        <f t="shared" si="83"/>
        <v>1</v>
      </c>
      <c r="W121" s="107">
        <f t="shared" si="83"/>
        <v>1</v>
      </c>
      <c r="X121" s="107">
        <f t="shared" si="83"/>
        <v>1</v>
      </c>
      <c r="Y121" s="107">
        <f t="shared" si="83"/>
        <v>1</v>
      </c>
      <c r="Z121" s="107">
        <f t="shared" si="83"/>
        <v>1</v>
      </c>
    </row>
    <row r="122" spans="2:26" x14ac:dyDescent="0.2">
      <c r="B122" s="32"/>
      <c r="C122" s="32"/>
      <c r="D122" s="39"/>
      <c r="E122" s="39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2:26" x14ac:dyDescent="0.2">
      <c r="B123" s="32" t="s">
        <v>251</v>
      </c>
      <c r="C123" s="32"/>
      <c r="D123" s="41"/>
      <c r="E123" s="41"/>
      <c r="F123" s="107">
        <v>1</v>
      </c>
      <c r="G123" s="107">
        <f>+F123*(1+'Assumptions and Sensis'!$O$96)</f>
        <v>1.02</v>
      </c>
      <c r="H123" s="107">
        <f>+G123*(1+'Assumptions and Sensis'!$O$96)</f>
        <v>1.0404</v>
      </c>
      <c r="I123" s="107">
        <f>+H123*(1+'Assumptions and Sensis'!$O$96)</f>
        <v>1.0612079999999999</v>
      </c>
      <c r="J123" s="107">
        <f>+I123*(1+'Assumptions and Sensis'!$O$96)</f>
        <v>1.08243216</v>
      </c>
      <c r="K123" s="107">
        <f>+J123*(1+'Assumptions and Sensis'!$O$96)</f>
        <v>1.1040808032</v>
      </c>
      <c r="L123" s="107">
        <f>+K123*(1+'Assumptions and Sensis'!$O$96)</f>
        <v>1.1261624192640001</v>
      </c>
      <c r="M123" s="107">
        <f>+L123*(1+'Assumptions and Sensis'!$O$96)</f>
        <v>1.14868566764928</v>
      </c>
      <c r="N123" s="107">
        <f>+M123*(1+'Assumptions and Sensis'!$O$96)</f>
        <v>1.1716593810022657</v>
      </c>
      <c r="O123" s="107">
        <f>+N123*(1+'Assumptions and Sensis'!$O$96)</f>
        <v>1.1950925686223111</v>
      </c>
      <c r="P123" s="107">
        <f>+O123*(1+'Assumptions and Sensis'!$O$96)</f>
        <v>1.2189944199947573</v>
      </c>
      <c r="Q123" s="107">
        <f>+P123*(1+'Assumptions and Sensis'!$O$96)</f>
        <v>1.2433743083946525</v>
      </c>
      <c r="R123" s="107">
        <f>+Q123*(1+'Assumptions and Sensis'!$O$96)</f>
        <v>1.2682417945625455</v>
      </c>
      <c r="S123" s="107">
        <f>+R123*(1+'Assumptions and Sensis'!$O$96)</f>
        <v>1.2936066304537963</v>
      </c>
      <c r="T123" s="107">
        <f>+S123*(1+'Assumptions and Sensis'!$O$96)</f>
        <v>1.3194787630628724</v>
      </c>
      <c r="U123" s="107">
        <f>+T123*(1+'Assumptions and Sensis'!$O$96)</f>
        <v>1.3458683383241299</v>
      </c>
      <c r="V123" s="107">
        <f>+U123*(1+'Assumptions and Sensis'!$O$96)</f>
        <v>1.3727857050906125</v>
      </c>
      <c r="W123" s="107">
        <f>+V123*(1+'Assumptions and Sensis'!$O$96)</f>
        <v>1.4002414191924248</v>
      </c>
      <c r="X123" s="107">
        <f>+W123*(1+'Assumptions and Sensis'!$O$96)</f>
        <v>1.4282462475762734</v>
      </c>
      <c r="Y123" s="107">
        <f>+X123*(1+'Assumptions and Sensis'!$O$96)</f>
        <v>1.4568111725277988</v>
      </c>
      <c r="Z123" s="107">
        <f>+Y123*(1+'Assumptions and Sensis'!$O$96)</f>
        <v>1.4859473959783549</v>
      </c>
    </row>
    <row r="124" spans="2:26" x14ac:dyDescent="0.2">
      <c r="B124" s="32" t="s">
        <v>252</v>
      </c>
      <c r="C124" s="32"/>
      <c r="D124" s="41"/>
      <c r="E124" s="41"/>
      <c r="F124" s="107">
        <v>1</v>
      </c>
      <c r="G124" s="107">
        <f>+F124*(1+'Assumptions and Sensis'!$O$104)</f>
        <v>1.03</v>
      </c>
      <c r="H124" s="107">
        <f>+G124*(1+'Assumptions and Sensis'!$O$104)</f>
        <v>1.0609</v>
      </c>
      <c r="I124" s="107">
        <f>+H124*(1+'Assumptions and Sensis'!$O$104)</f>
        <v>1.092727</v>
      </c>
      <c r="J124" s="107">
        <f>+I124*(1+'Assumptions and Sensis'!$O$104)</f>
        <v>1.1255088100000001</v>
      </c>
      <c r="K124" s="107">
        <f>+J124*(1+'Assumptions and Sensis'!$O$104)</f>
        <v>1.1592740743000001</v>
      </c>
      <c r="L124" s="107">
        <f>+K124*(1+'Assumptions and Sensis'!$O$104)</f>
        <v>1.1940522965290001</v>
      </c>
      <c r="M124" s="107">
        <f>+L124*(1+'Assumptions and Sensis'!$O$104)</f>
        <v>1.2298738654248702</v>
      </c>
      <c r="N124" s="107">
        <f>+M124*(1+'Assumptions and Sensis'!$O$104)</f>
        <v>1.2667700813876164</v>
      </c>
      <c r="O124" s="107">
        <f>+N124*(1+'Assumptions and Sensis'!$O$104)</f>
        <v>1.3047731838292449</v>
      </c>
      <c r="P124" s="107">
        <f>+O124*(1+'Assumptions and Sensis'!$O$104)</f>
        <v>1.3439163793441222</v>
      </c>
      <c r="Q124" s="107">
        <f>+P124*(1+'Assumptions and Sensis'!$O$104)</f>
        <v>1.3842338707244459</v>
      </c>
      <c r="R124" s="107">
        <f>+Q124*(1+'Assumptions and Sensis'!$O$104)</f>
        <v>1.4257608868461793</v>
      </c>
      <c r="S124" s="107">
        <f>+R124*(1+'Assumptions and Sensis'!$O$104)</f>
        <v>1.4685337134515648</v>
      </c>
      <c r="T124" s="107">
        <f>+S124*(1+'Assumptions and Sensis'!$O$104)</f>
        <v>1.5125897248551119</v>
      </c>
      <c r="U124" s="107">
        <f>+T124*(1+'Assumptions and Sensis'!$O$104)</f>
        <v>1.5579674166007653</v>
      </c>
      <c r="V124" s="107">
        <f>+U124*(1+'Assumptions and Sensis'!$O$104)</f>
        <v>1.6047064390987884</v>
      </c>
      <c r="W124" s="107">
        <f>+V124*(1+'Assumptions and Sensis'!$O$104)</f>
        <v>1.652847632271752</v>
      </c>
      <c r="X124" s="107">
        <f>+W124*(1+'Assumptions and Sensis'!$O$104)</f>
        <v>1.7024330612399046</v>
      </c>
      <c r="Y124" s="107">
        <f>+X124*(1+'Assumptions and Sensis'!$O$104)</f>
        <v>1.7535060530771018</v>
      </c>
      <c r="Z124" s="107">
        <f>+Y124*(1+'Assumptions and Sensis'!$O$104)</f>
        <v>1.806111234669415</v>
      </c>
    </row>
    <row r="125" spans="2:26" x14ac:dyDescent="0.2">
      <c r="B125" s="32"/>
      <c r="C125" s="32"/>
      <c r="D125" s="39"/>
      <c r="E125" s="39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2:26" x14ac:dyDescent="0.2">
      <c r="B126" s="32" t="s">
        <v>243</v>
      </c>
      <c r="C126" s="32"/>
      <c r="D126" s="39"/>
      <c r="E126" s="39"/>
      <c r="F126" s="33">
        <f>+F121*'Assumptions and Sensis'!$G$233*F123</f>
        <v>0</v>
      </c>
      <c r="G126" s="33">
        <f>+G121*'Assumptions and Sensis'!$G$233*G123</f>
        <v>0</v>
      </c>
      <c r="H126" s="33">
        <f>+H121*'Assumptions and Sensis'!$G$233*H123</f>
        <v>0</v>
      </c>
      <c r="I126" s="33">
        <f>+I121*'Assumptions and Sensis'!$G$233*I123</f>
        <v>287261.75079621817</v>
      </c>
      <c r="J126" s="33">
        <f>+J121*'Assumptions and Sensis'!$G$233*J123</f>
        <v>586013.9716242851</v>
      </c>
      <c r="K126" s="33">
        <f>+K121*'Assumptions and Sensis'!$G$233*K123</f>
        <v>597734.25105677079</v>
      </c>
      <c r="L126" s="33">
        <f>+L121*'Assumptions and Sensis'!$G$233*L123</f>
        <v>609688.93607790628</v>
      </c>
      <c r="M126" s="33">
        <f>+M121*'Assumptions and Sensis'!$G$233*M123</f>
        <v>621882.71479946433</v>
      </c>
      <c r="N126" s="33">
        <f>+N121*'Assumptions and Sensis'!$G$233*N123</f>
        <v>634320.36909545364</v>
      </c>
      <c r="O126" s="33">
        <f>+O121*'Assumptions and Sensis'!$G$233*O123</f>
        <v>647006.77647736273</v>
      </c>
      <c r="P126" s="33">
        <f>+P121*'Assumptions and Sensis'!$G$233*P123</f>
        <v>659946.91200691008</v>
      </c>
      <c r="Q126" s="33">
        <f>+Q121*'Assumptions and Sensis'!$G$233*Q123</f>
        <v>673145.85024704819</v>
      </c>
      <c r="R126" s="33">
        <f>+R121*'Assumptions and Sensis'!$G$233*R123</f>
        <v>686608.76725198922</v>
      </c>
      <c r="S126" s="33">
        <f>+S121*'Assumptions and Sensis'!$G$233*S123</f>
        <v>700340.94259702892</v>
      </c>
      <c r="T126" s="33">
        <f>+T121*'Assumptions and Sensis'!$G$233*T123</f>
        <v>714347.7614489696</v>
      </c>
      <c r="U126" s="33">
        <f>+U121*'Assumptions and Sensis'!$G$233*U123</f>
        <v>728634.71667794907</v>
      </c>
      <c r="V126" s="33">
        <f>+V121*'Assumptions and Sensis'!$G$233*V123</f>
        <v>743207.41101150797</v>
      </c>
      <c r="W126" s="33">
        <f>+W121*'Assumptions and Sensis'!$G$233*W123</f>
        <v>758071.55923173821</v>
      </c>
      <c r="X126" s="33">
        <f>+X121*'Assumptions and Sensis'!$G$233*X123</f>
        <v>773232.99041637301</v>
      </c>
      <c r="Y126" s="33">
        <f>+Y121*'Assumptions and Sensis'!$G$233*Y123</f>
        <v>788697.65022470045</v>
      </c>
      <c r="Z126" s="33">
        <f>+Z121*'Assumptions and Sensis'!$G$233*Z123</f>
        <v>804471.60322919453</v>
      </c>
    </row>
    <row r="127" spans="2:26" x14ac:dyDescent="0.2">
      <c r="B127" s="32" t="s">
        <v>244</v>
      </c>
      <c r="C127" s="32"/>
      <c r="D127" s="39"/>
      <c r="E127" s="39"/>
      <c r="F127" s="41">
        <f>-F126*'Assumptions and Sensis'!$O$81</f>
        <v>0</v>
      </c>
      <c r="G127" s="41">
        <f>-G126*'Assumptions and Sensis'!$O$81</f>
        <v>0</v>
      </c>
      <c r="H127" s="41">
        <f>-H126*'Assumptions and Sensis'!$O$81</f>
        <v>0</v>
      </c>
      <c r="I127" s="41">
        <f>-I126*'Assumptions and Sensis'!$O$81</f>
        <v>-28726.175079621818</v>
      </c>
      <c r="J127" s="41">
        <f>-J126*'Assumptions and Sensis'!$O$81</f>
        <v>-58601.397162428511</v>
      </c>
      <c r="K127" s="41">
        <f>-K126*'Assumptions and Sensis'!$O$81</f>
        <v>-59773.425105677081</v>
      </c>
      <c r="L127" s="41">
        <f>-L126*'Assumptions and Sensis'!$O$81</f>
        <v>-60968.893607790633</v>
      </c>
      <c r="M127" s="41">
        <f>-M126*'Assumptions and Sensis'!$O$81</f>
        <v>-62188.271479946437</v>
      </c>
      <c r="N127" s="41">
        <f>-N126*'Assumptions and Sensis'!$O$81</f>
        <v>-63432.036909545364</v>
      </c>
      <c r="O127" s="41">
        <f>-O126*'Assumptions and Sensis'!$O$81</f>
        <v>-64700.677647736273</v>
      </c>
      <c r="P127" s="41">
        <f>-P126*'Assumptions and Sensis'!$O$81</f>
        <v>-65994.691200691013</v>
      </c>
      <c r="Q127" s="41">
        <f>-Q126*'Assumptions and Sensis'!$O$81</f>
        <v>-67314.585024704822</v>
      </c>
      <c r="R127" s="41">
        <f>-R126*'Assumptions and Sensis'!$O$81</f>
        <v>-68660.876725198919</v>
      </c>
      <c r="S127" s="41">
        <f>-S126*'Assumptions and Sensis'!$O$81</f>
        <v>-70034.094259702892</v>
      </c>
      <c r="T127" s="41">
        <f>-T126*'Assumptions and Sensis'!$O$81</f>
        <v>-71434.776144896969</v>
      </c>
      <c r="U127" s="41">
        <f>-U126*'Assumptions and Sensis'!$O$81</f>
        <v>-72863.471667794904</v>
      </c>
      <c r="V127" s="41">
        <f>-V126*'Assumptions and Sensis'!$O$81</f>
        <v>-74320.741101150794</v>
      </c>
      <c r="W127" s="41">
        <f>-W126*'Assumptions and Sensis'!$O$81</f>
        <v>-75807.155923173821</v>
      </c>
      <c r="X127" s="41">
        <f>-X126*'Assumptions and Sensis'!$O$81</f>
        <v>-77323.299041637307</v>
      </c>
      <c r="Y127" s="41">
        <f>-Y126*'Assumptions and Sensis'!$O$81</f>
        <v>-78869.765022470048</v>
      </c>
      <c r="Z127" s="41">
        <f>-Z126*'Assumptions and Sensis'!$O$81</f>
        <v>-80447.160322919459</v>
      </c>
    </row>
    <row r="128" spans="2:26" x14ac:dyDescent="0.2">
      <c r="B128" s="136" t="s">
        <v>253</v>
      </c>
      <c r="C128" s="136"/>
      <c r="D128" s="136"/>
      <c r="E128" s="136"/>
      <c r="F128" s="128">
        <f t="shared" ref="F128:Z128" si="84">+SUM(F126:F127)</f>
        <v>0</v>
      </c>
      <c r="G128" s="128">
        <f t="shared" si="84"/>
        <v>0</v>
      </c>
      <c r="H128" s="128">
        <f t="shared" si="84"/>
        <v>0</v>
      </c>
      <c r="I128" s="128">
        <f t="shared" si="84"/>
        <v>258535.57571659636</v>
      </c>
      <c r="J128" s="128">
        <f t="shared" si="84"/>
        <v>527412.57446185662</v>
      </c>
      <c r="K128" s="128">
        <f t="shared" si="84"/>
        <v>537960.82595109369</v>
      </c>
      <c r="L128" s="128">
        <f t="shared" si="84"/>
        <v>548720.0424701157</v>
      </c>
      <c r="M128" s="128">
        <f t="shared" si="84"/>
        <v>559694.44331951789</v>
      </c>
      <c r="N128" s="128">
        <f t="shared" si="84"/>
        <v>570888.33218590822</v>
      </c>
      <c r="O128" s="128">
        <f t="shared" si="84"/>
        <v>582306.09882962645</v>
      </c>
      <c r="P128" s="128">
        <f t="shared" si="84"/>
        <v>593952.22080621903</v>
      </c>
      <c r="Q128" s="128">
        <f t="shared" si="84"/>
        <v>605831.26522234338</v>
      </c>
      <c r="R128" s="128">
        <f t="shared" si="84"/>
        <v>617947.89052679029</v>
      </c>
      <c r="S128" s="128">
        <f t="shared" si="84"/>
        <v>630306.84833732597</v>
      </c>
      <c r="T128" s="128">
        <f t="shared" si="84"/>
        <v>642912.98530407262</v>
      </c>
      <c r="U128" s="128">
        <f t="shared" si="84"/>
        <v>655771.24501015421</v>
      </c>
      <c r="V128" s="128">
        <f t="shared" si="84"/>
        <v>668886.66991035722</v>
      </c>
      <c r="W128" s="128">
        <f t="shared" si="84"/>
        <v>682264.40330856433</v>
      </c>
      <c r="X128" s="128">
        <f t="shared" si="84"/>
        <v>695909.69137473567</v>
      </c>
      <c r="Y128" s="128">
        <f t="shared" si="84"/>
        <v>709827.88520223042</v>
      </c>
      <c r="Z128" s="128">
        <f t="shared" si="84"/>
        <v>724024.44290627504</v>
      </c>
    </row>
    <row r="130" spans="2:26" x14ac:dyDescent="0.2">
      <c r="B130" s="32" t="s">
        <v>389</v>
      </c>
      <c r="F130" s="33">
        <f>+F119*'Assumptions and Sensis'!$O$119*'Phase II Pro Forma'!F124</f>
        <v>0</v>
      </c>
      <c r="G130" s="33">
        <f>+G119*'Assumptions and Sensis'!$O$119*'Phase II Pro Forma'!G124</f>
        <v>0</v>
      </c>
      <c r="H130" s="33">
        <f>+H119*'Assumptions and Sensis'!$O$119*'Phase II Pro Forma'!H124</f>
        <v>0</v>
      </c>
      <c r="I130" s="33">
        <f>+I119*'Assumptions and Sensis'!$O$119*'Phase II Pro Forma'!I124</f>
        <v>91294.360685454551</v>
      </c>
      <c r="J130" s="33">
        <f>+J119*'Assumptions and Sensis'!$O$119*'Phase II Pro Forma'!J124</f>
        <v>188066.38301203641</v>
      </c>
      <c r="K130" s="33">
        <f>+K119*'Assumptions and Sensis'!$O$119*'Phase II Pro Forma'!K124</f>
        <v>193708.37450239749</v>
      </c>
      <c r="L130" s="33">
        <f>+L119*'Assumptions and Sensis'!$O$119*'Phase II Pro Forma'!L124</f>
        <v>199519.62573746941</v>
      </c>
      <c r="M130" s="33">
        <f>+M119*'Assumptions and Sensis'!$O$119*'Phase II Pro Forma'!M124</f>
        <v>205505.21450959353</v>
      </c>
      <c r="N130" s="33">
        <f>+N119*'Assumptions and Sensis'!$O$119*'Phase II Pro Forma'!N124</f>
        <v>211670.37094488132</v>
      </c>
      <c r="O130" s="33">
        <f>+O119*'Assumptions and Sensis'!$O$119*'Phase II Pro Forma'!O124</f>
        <v>218020.48207322779</v>
      </c>
      <c r="P130" s="33">
        <f>+P119*'Assumptions and Sensis'!$O$119*'Phase II Pro Forma'!P124</f>
        <v>224561.09653542461</v>
      </c>
      <c r="Q130" s="33">
        <f>+Q119*'Assumptions and Sensis'!$O$119*'Phase II Pro Forma'!Q124</f>
        <v>231297.92943148734</v>
      </c>
      <c r="R130" s="33">
        <f>+R119*'Assumptions and Sensis'!$O$119*'Phase II Pro Forma'!R124</f>
        <v>238236.86731443196</v>
      </c>
      <c r="S130" s="33">
        <f>+S119*'Assumptions and Sensis'!$O$119*'Phase II Pro Forma'!S124</f>
        <v>245383.97333386494</v>
      </c>
      <c r="T130" s="33">
        <f>+T119*'Assumptions and Sensis'!$O$119*'Phase II Pro Forma'!T124</f>
        <v>252745.49253388093</v>
      </c>
      <c r="U130" s="33">
        <f>+U119*'Assumptions and Sensis'!$O$119*'Phase II Pro Forma'!U124</f>
        <v>260327.85730989737</v>
      </c>
      <c r="V130" s="33">
        <f>+V119*'Assumptions and Sensis'!$O$119*'Phase II Pro Forma'!V124</f>
        <v>268137.69302919431</v>
      </c>
      <c r="W130" s="33">
        <f>+W119*'Assumptions and Sensis'!$O$119*'Phase II Pro Forma'!W124</f>
        <v>276181.82382007013</v>
      </c>
      <c r="X130" s="33">
        <f>+X119*'Assumptions and Sensis'!$O$119*'Phase II Pro Forma'!X124</f>
        <v>284467.27853467222</v>
      </c>
      <c r="Y130" s="33">
        <f>+Y119*'Assumptions and Sensis'!$O$119*'Phase II Pro Forma'!Y124</f>
        <v>293001.2968907124</v>
      </c>
      <c r="Z130" s="33">
        <f>+Z119*'Assumptions and Sensis'!$O$119*'Phase II Pro Forma'!Z124</f>
        <v>301791.3357974338</v>
      </c>
    </row>
    <row r="131" spans="2:26" x14ac:dyDescent="0.2">
      <c r="B131" s="32" t="s">
        <v>325</v>
      </c>
      <c r="F131" s="150">
        <f ca="1">+IFERROR(INDEX('Taxes and TIF'!$AC$11:$AC$45,MATCH('Phase II Pro Forma'!F$7,'Taxes and TIF'!$R$11:$R$45,0)),0)*'Loan Sizing'!$K$22*F121</f>
        <v>0</v>
      </c>
      <c r="G131" s="150">
        <f ca="1">+IFERROR(INDEX('Taxes and TIF'!$AC$11:$AC$45,MATCH('Phase II Pro Forma'!G$7,'Taxes and TIF'!$R$11:$R$45,0)),0)*'Loan Sizing'!$K$22*G121</f>
        <v>0</v>
      </c>
      <c r="H131" s="150">
        <f ca="1">+IFERROR(INDEX('Taxes and TIF'!$AC$11:$AC$45,MATCH('Phase II Pro Forma'!H$7,'Taxes and TIF'!$R$11:$R$45,0)),0)*'Loan Sizing'!$K$22*H121</f>
        <v>0</v>
      </c>
      <c r="I131" s="150">
        <f ca="1">+IFERROR(INDEX('Taxes and TIF'!$AC$11:$AC$45,MATCH('Phase II Pro Forma'!I$7,'Taxes and TIF'!$R$11:$R$45,0)),0)*'Loan Sizing'!$K$22*I121</f>
        <v>44914.874358260771</v>
      </c>
      <c r="J131" s="150">
        <f ca="1">+IFERROR(INDEX('Taxes and TIF'!$AC$11:$AC$45,MATCH('Phase II Pro Forma'!J$7,'Taxes and TIF'!$R$11:$R$45,0)),0)*'Loan Sizing'!$K$22*J121</f>
        <v>91626.343690851965</v>
      </c>
      <c r="K131" s="150">
        <f ca="1">+IFERROR(INDEX('Taxes and TIF'!$AC$11:$AC$45,MATCH('Phase II Pro Forma'!K$7,'Taxes and TIF'!$R$11:$R$45,0)),0)*'Loan Sizing'!$K$22*K121</f>
        <v>91626.343690851965</v>
      </c>
      <c r="L131" s="150">
        <f ca="1">+IFERROR(INDEX('Taxes and TIF'!$AC$11:$AC$45,MATCH('Phase II Pro Forma'!L$7,'Taxes and TIF'!$R$11:$R$45,0)),0)*'Loan Sizing'!$K$22*L121</f>
        <v>91626.343690851965</v>
      </c>
      <c r="M131" s="150">
        <f ca="1">+IFERROR(INDEX('Taxes and TIF'!$AC$11:$AC$45,MATCH('Phase II Pro Forma'!M$7,'Taxes and TIF'!$R$11:$R$45,0)),0)*'Loan Sizing'!$K$22*M121</f>
        <v>93458.870564669021</v>
      </c>
      <c r="N131" s="150">
        <f ca="1">+IFERROR(INDEX('Taxes and TIF'!$AC$11:$AC$45,MATCH('Phase II Pro Forma'!N$7,'Taxes and TIF'!$R$11:$R$45,0)),0)*'Loan Sizing'!$K$22*N121</f>
        <v>93458.870564669021</v>
      </c>
      <c r="O131" s="150">
        <f ca="1">+IFERROR(INDEX('Taxes and TIF'!$AC$11:$AC$45,MATCH('Phase II Pro Forma'!O$7,'Taxes and TIF'!$R$11:$R$45,0)),0)*'Loan Sizing'!$K$22*O121</f>
        <v>93458.870564669021</v>
      </c>
      <c r="P131" s="150">
        <f ca="1">+IFERROR(INDEX('Taxes and TIF'!$AC$11:$AC$45,MATCH('Phase II Pro Forma'!P$7,'Taxes and TIF'!$R$11:$R$45,0)),0)*'Loan Sizing'!$K$22*P121</f>
        <v>95328.047975962385</v>
      </c>
      <c r="Q131" s="150">
        <f ca="1">+IFERROR(INDEX('Taxes and TIF'!$AC$11:$AC$45,MATCH('Phase II Pro Forma'!Q$7,'Taxes and TIF'!$R$11:$R$45,0)),0)*'Loan Sizing'!$K$22*Q121</f>
        <v>95328.047975962385</v>
      </c>
      <c r="R131" s="150">
        <f ca="1">+IFERROR(INDEX('Taxes and TIF'!$AC$11:$AC$45,MATCH('Phase II Pro Forma'!R$7,'Taxes and TIF'!$R$11:$R$45,0)),0)*'Loan Sizing'!$K$22*R121</f>
        <v>95328.047975962385</v>
      </c>
      <c r="S131" s="150">
        <f ca="1">+IFERROR(INDEX('Taxes and TIF'!$AC$11:$AC$45,MATCH('Phase II Pro Forma'!S$7,'Taxes and TIF'!$R$11:$R$45,0)),0)*'Loan Sizing'!$K$22*S121</f>
        <v>97234.608935481636</v>
      </c>
      <c r="T131" s="150">
        <f ca="1">+IFERROR(INDEX('Taxes and TIF'!$AC$11:$AC$45,MATCH('Phase II Pro Forma'!T$7,'Taxes and TIF'!$R$11:$R$45,0)),0)*'Loan Sizing'!$K$22*T121</f>
        <v>97234.608935481636</v>
      </c>
      <c r="U131" s="150">
        <f ca="1">+IFERROR(INDEX('Taxes and TIF'!$AC$11:$AC$45,MATCH('Phase II Pro Forma'!U$7,'Taxes and TIF'!$R$11:$R$45,0)),0)*'Loan Sizing'!$K$22*U121</f>
        <v>97234.608935481636</v>
      </c>
      <c r="V131" s="150">
        <f ca="1">+IFERROR(INDEX('Taxes and TIF'!$AC$11:$AC$45,MATCH('Phase II Pro Forma'!V$7,'Taxes and TIF'!$R$11:$R$45,0)),0)*'Loan Sizing'!$K$22*V121</f>
        <v>99179.301114191287</v>
      </c>
      <c r="W131" s="150">
        <f ca="1">+IFERROR(INDEX('Taxes and TIF'!$AC$11:$AC$45,MATCH('Phase II Pro Forma'!W$7,'Taxes and TIF'!$R$11:$R$45,0)),0)*'Loan Sizing'!$K$22*W121</f>
        <v>99179.301114191287</v>
      </c>
      <c r="X131" s="150">
        <f ca="1">+IFERROR(INDEX('Taxes and TIF'!$AC$11:$AC$45,MATCH('Phase II Pro Forma'!X$7,'Taxes and TIF'!$R$11:$R$45,0)),0)*'Loan Sizing'!$K$22*X121</f>
        <v>99179.301114191287</v>
      </c>
      <c r="Y131" s="150">
        <f ca="1">+IFERROR(INDEX('Taxes and TIF'!$AC$11:$AC$45,MATCH('Phase II Pro Forma'!Y$7,'Taxes and TIF'!$R$11:$R$45,0)),0)*'Loan Sizing'!$K$22*Y121</f>
        <v>101162.88713647511</v>
      </c>
      <c r="Z131" s="150">
        <f ca="1">+IFERROR(INDEX('Taxes and TIF'!$AC$11:$AC$45,MATCH('Phase II Pro Forma'!Z$7,'Taxes and TIF'!$R$11:$R$45,0)),0)*'Loan Sizing'!$K$22*Z121</f>
        <v>101162.88713647511</v>
      </c>
    </row>
    <row r="132" spans="2:26" x14ac:dyDescent="0.2">
      <c r="B132" s="136" t="s">
        <v>249</v>
      </c>
      <c r="C132" s="136"/>
      <c r="D132" s="136"/>
      <c r="E132" s="136"/>
      <c r="F132" s="128">
        <f ca="1">+SUM(F130:F131)</f>
        <v>0</v>
      </c>
      <c r="G132" s="128">
        <f t="shared" ref="G132" ca="1" si="85">+SUM(G130:G131)</f>
        <v>0</v>
      </c>
      <c r="H132" s="128">
        <f t="shared" ref="H132:Z132" ca="1" si="86">+SUM(H130:H131)</f>
        <v>0</v>
      </c>
      <c r="I132" s="128">
        <f t="shared" ca="1" si="86"/>
        <v>136209.23504371534</v>
      </c>
      <c r="J132" s="128">
        <f t="shared" ca="1" si="86"/>
        <v>279692.72670288838</v>
      </c>
      <c r="K132" s="128">
        <f t="shared" ca="1" si="86"/>
        <v>285334.71819324943</v>
      </c>
      <c r="L132" s="128">
        <f t="shared" ca="1" si="86"/>
        <v>291145.96942832135</v>
      </c>
      <c r="M132" s="128">
        <f t="shared" ca="1" si="86"/>
        <v>298964.08507426258</v>
      </c>
      <c r="N132" s="128">
        <f t="shared" ca="1" si="86"/>
        <v>305129.24150955037</v>
      </c>
      <c r="O132" s="128">
        <f t="shared" ca="1" si="86"/>
        <v>311479.35263789678</v>
      </c>
      <c r="P132" s="128">
        <f t="shared" ca="1" si="86"/>
        <v>319889.14451138698</v>
      </c>
      <c r="Q132" s="128">
        <f t="shared" ca="1" si="86"/>
        <v>326625.97740744974</v>
      </c>
      <c r="R132" s="128">
        <f t="shared" ca="1" si="86"/>
        <v>333564.91529039433</v>
      </c>
      <c r="S132" s="128">
        <f t="shared" ca="1" si="86"/>
        <v>342618.58226934657</v>
      </c>
      <c r="T132" s="128">
        <f t="shared" ca="1" si="86"/>
        <v>349980.10146936256</v>
      </c>
      <c r="U132" s="128">
        <f t="shared" ca="1" si="86"/>
        <v>357562.46624537901</v>
      </c>
      <c r="V132" s="128">
        <f t="shared" ca="1" si="86"/>
        <v>367316.99414338561</v>
      </c>
      <c r="W132" s="128">
        <f t="shared" ca="1" si="86"/>
        <v>375361.12493426143</v>
      </c>
      <c r="X132" s="128">
        <f t="shared" ca="1" si="86"/>
        <v>383646.57964886352</v>
      </c>
      <c r="Y132" s="128">
        <f t="shared" ca="1" si="86"/>
        <v>394164.18402718753</v>
      </c>
      <c r="Z132" s="128">
        <f t="shared" ca="1" si="86"/>
        <v>402954.22293390892</v>
      </c>
    </row>
    <row r="133" spans="2:26" x14ac:dyDescent="0.2">
      <c r="B133" s="32"/>
    </row>
    <row r="134" spans="2:26" x14ac:dyDescent="0.2">
      <c r="B134" s="137" t="s">
        <v>248</v>
      </c>
      <c r="C134" s="137"/>
      <c r="D134" s="137"/>
      <c r="E134" s="137"/>
      <c r="F134" s="138">
        <f ca="1">+F128-F132</f>
        <v>0</v>
      </c>
      <c r="G134" s="138">
        <f t="shared" ref="G134:Z134" ca="1" si="87">+G128-G132</f>
        <v>0</v>
      </c>
      <c r="H134" s="138">
        <f t="shared" ca="1" si="87"/>
        <v>0</v>
      </c>
      <c r="I134" s="138">
        <f t="shared" ca="1" si="87"/>
        <v>122326.34067288102</v>
      </c>
      <c r="J134" s="138">
        <f t="shared" ca="1" si="87"/>
        <v>247719.84775896824</v>
      </c>
      <c r="K134" s="138">
        <f t="shared" ca="1" si="87"/>
        <v>252626.10775784426</v>
      </c>
      <c r="L134" s="138">
        <f t="shared" ca="1" si="87"/>
        <v>257574.07304179436</v>
      </c>
      <c r="M134" s="138">
        <f t="shared" ca="1" si="87"/>
        <v>260730.35824525531</v>
      </c>
      <c r="N134" s="138">
        <f t="shared" ca="1" si="87"/>
        <v>265759.09067635785</v>
      </c>
      <c r="O134" s="138">
        <f t="shared" ca="1" si="87"/>
        <v>270826.74619172968</v>
      </c>
      <c r="P134" s="138">
        <f t="shared" ca="1" si="87"/>
        <v>274063.07629483205</v>
      </c>
      <c r="Q134" s="138">
        <f t="shared" ca="1" si="87"/>
        <v>279205.28781489364</v>
      </c>
      <c r="R134" s="138">
        <f t="shared" ca="1" si="87"/>
        <v>284382.97523639596</v>
      </c>
      <c r="S134" s="138">
        <f t="shared" ca="1" si="87"/>
        <v>287688.26606797939</v>
      </c>
      <c r="T134" s="138">
        <f t="shared" ca="1" si="87"/>
        <v>292932.88383471005</v>
      </c>
      <c r="U134" s="138">
        <f t="shared" ca="1" si="87"/>
        <v>298208.7787647752</v>
      </c>
      <c r="V134" s="138">
        <f t="shared" ca="1" si="87"/>
        <v>301569.6757669716</v>
      </c>
      <c r="W134" s="138">
        <f t="shared" ca="1" si="87"/>
        <v>306903.2783743029</v>
      </c>
      <c r="X134" s="138">
        <f t="shared" ca="1" si="87"/>
        <v>312263.11172587215</v>
      </c>
      <c r="Y134" s="138">
        <f t="shared" ca="1" si="87"/>
        <v>315663.70117504289</v>
      </c>
      <c r="Z134" s="138">
        <f t="shared" ca="1" si="87"/>
        <v>321070.21997236612</v>
      </c>
    </row>
    <row r="135" spans="2:26" x14ac:dyDescent="0.2">
      <c r="B135" s="142" t="s">
        <v>254</v>
      </c>
      <c r="C135" s="140"/>
      <c r="D135" s="140"/>
      <c r="E135" s="140"/>
      <c r="F135" s="143" t="str">
        <f ca="1">+IFERROR(F134/F128,"")</f>
        <v/>
      </c>
      <c r="G135" s="143" t="str">
        <f t="shared" ref="G135:Z135" ca="1" si="88">+IFERROR(G134/G128,"")</f>
        <v/>
      </c>
      <c r="H135" s="143" t="str">
        <f t="shared" ca="1" si="88"/>
        <v/>
      </c>
      <c r="I135" s="144">
        <f t="shared" ca="1" si="88"/>
        <v>0.47315090131724741</v>
      </c>
      <c r="J135" s="144">
        <f t="shared" ca="1" si="88"/>
        <v>0.46968892998375744</v>
      </c>
      <c r="K135" s="144">
        <f t="shared" ca="1" si="88"/>
        <v>0.46959944957183675</v>
      </c>
      <c r="L135" s="144">
        <f t="shared" ca="1" si="88"/>
        <v>0.46940890272988761</v>
      </c>
      <c r="M135" s="144">
        <f t="shared" ca="1" si="88"/>
        <v>0.46584410718619512</v>
      </c>
      <c r="N135" s="144">
        <f t="shared" ca="1" si="88"/>
        <v>0.46551851858449639</v>
      </c>
      <c r="O135" s="144">
        <f t="shared" ca="1" si="88"/>
        <v>0.46509343923421503</v>
      </c>
      <c r="P135" s="144">
        <f t="shared" ca="1" si="88"/>
        <v>0.46142276549252437</v>
      </c>
      <c r="Q135" s="144">
        <f t="shared" ca="1" si="88"/>
        <v>0.46086312120656858</v>
      </c>
      <c r="R135" s="144">
        <f t="shared" ca="1" si="88"/>
        <v>0.46020543090448002</v>
      </c>
      <c r="S135" s="144">
        <f t="shared" ca="1" si="88"/>
        <v>0.45642573427032662</v>
      </c>
      <c r="T135" s="144">
        <f t="shared" ca="1" si="88"/>
        <v>0.45563379575567958</v>
      </c>
      <c r="U135" s="144">
        <f t="shared" ca="1" si="88"/>
        <v>0.45474512802121664</v>
      </c>
      <c r="V135" s="144">
        <f t="shared" ca="1" si="88"/>
        <v>0.45085317039938522</v>
      </c>
      <c r="W135" s="144">
        <f t="shared" ca="1" si="88"/>
        <v>0.44983041308620242</v>
      </c>
      <c r="X135" s="144">
        <f t="shared" ca="1" si="88"/>
        <v>0.44871211824771629</v>
      </c>
      <c r="Y135" s="144">
        <f t="shared" ca="1" si="88"/>
        <v>0.44470456536813863</v>
      </c>
      <c r="Z135" s="144">
        <f t="shared" ca="1" si="88"/>
        <v>0.44345218330416042</v>
      </c>
    </row>
    <row r="136" spans="2:26" x14ac:dyDescent="0.2">
      <c r="B136" s="142" t="s">
        <v>188</v>
      </c>
      <c r="C136" s="140"/>
      <c r="D136" s="140"/>
      <c r="E136" s="140"/>
      <c r="F136" s="141">
        <f ca="1">+F134/'Assumptions and Sensis'!$O$160</f>
        <v>0</v>
      </c>
      <c r="G136" s="141">
        <f ca="1">+G134/'Assumptions and Sensis'!$O$160</f>
        <v>0</v>
      </c>
      <c r="H136" s="141">
        <f ca="1">+H134/'Assumptions and Sensis'!$O$160</f>
        <v>0</v>
      </c>
      <c r="I136" s="141">
        <f ca="1">+I134/'Assumptions and Sensis'!$O$160</f>
        <v>1881943.702659708</v>
      </c>
      <c r="J136" s="141">
        <f ca="1">+J134/'Assumptions and Sensis'!$O$160</f>
        <v>3811074.5809072037</v>
      </c>
      <c r="K136" s="141">
        <f ca="1">+K134/'Assumptions and Sensis'!$O$160</f>
        <v>3886555.5039668349</v>
      </c>
      <c r="L136" s="141">
        <f ca="1">+L134/'Assumptions and Sensis'!$O$160</f>
        <v>3962678.046796836</v>
      </c>
      <c r="M136" s="141">
        <f ca="1">+M134/'Assumptions and Sensis'!$O$160</f>
        <v>4011236.2806962356</v>
      </c>
      <c r="N136" s="141">
        <f ca="1">+N134/'Assumptions and Sensis'!$O$160</f>
        <v>4088601.39502089</v>
      </c>
      <c r="O136" s="141">
        <f ca="1">+O134/'Assumptions and Sensis'!$O$160</f>
        <v>4166565.3260266101</v>
      </c>
      <c r="P136" s="141">
        <f ca="1">+P134/'Assumptions and Sensis'!$O$160</f>
        <v>4216355.0199204925</v>
      </c>
      <c r="Q136" s="141">
        <f ca="1">+Q134/'Assumptions and Sensis'!$O$160</f>
        <v>4295465.9663829794</v>
      </c>
      <c r="R136" s="141">
        <f ca="1">+R134/'Assumptions and Sensis'!$O$160</f>
        <v>4375122.6959445532</v>
      </c>
      <c r="S136" s="141">
        <f ca="1">+S134/'Assumptions and Sensis'!$O$160</f>
        <v>4425973.3241227595</v>
      </c>
      <c r="T136" s="141">
        <f ca="1">+T134/'Assumptions and Sensis'!$O$160</f>
        <v>4506659.7513032313</v>
      </c>
      <c r="U136" s="141">
        <f ca="1">+U134/'Assumptions and Sensis'!$O$160</f>
        <v>4587827.3656119257</v>
      </c>
      <c r="V136" s="141">
        <f ca="1">+V134/'Assumptions and Sensis'!$O$160</f>
        <v>4639533.4733380247</v>
      </c>
      <c r="W136" s="141">
        <f ca="1">+W134/'Assumptions and Sensis'!$O$160</f>
        <v>4721588.8980661985</v>
      </c>
      <c r="X136" s="141">
        <f ca="1">+X134/'Assumptions and Sensis'!$O$160</f>
        <v>4804047.872705725</v>
      </c>
      <c r="Y136" s="141">
        <f ca="1">+Y134/'Assumptions and Sensis'!$O$160</f>
        <v>4856364.6334621981</v>
      </c>
      <c r="Z136" s="141">
        <f ca="1">+Z134/'Assumptions and Sensis'!$O$160</f>
        <v>4939541.8457287094</v>
      </c>
    </row>
    <row r="138" spans="2:26" x14ac:dyDescent="0.2">
      <c r="B138" s="137" t="s">
        <v>770</v>
      </c>
      <c r="C138" s="137"/>
      <c r="D138" s="137"/>
      <c r="E138" s="137"/>
      <c r="F138" s="138">
        <f t="shared" ref="F138:Z138" ca="1" si="89">+F134+F112+F91+F70+F49+F26</f>
        <v>0</v>
      </c>
      <c r="G138" s="138">
        <f t="shared" ca="1" si="89"/>
        <v>0</v>
      </c>
      <c r="H138" s="138">
        <f t="shared" ca="1" si="89"/>
        <v>0</v>
      </c>
      <c r="I138" s="138">
        <f t="shared" ca="1" si="89"/>
        <v>5525544.624410158</v>
      </c>
      <c r="J138" s="138">
        <f t="shared" ca="1" si="89"/>
        <v>11201767.3119852</v>
      </c>
      <c r="K138" s="138">
        <f t="shared" ca="1" si="89"/>
        <v>11403435.464829812</v>
      </c>
      <c r="L138" s="138">
        <f t="shared" ca="1" si="89"/>
        <v>12212578.757939668</v>
      </c>
      <c r="M138" s="138">
        <f t="shared" ca="1" si="89"/>
        <v>12379583.089409325</v>
      </c>
      <c r="N138" s="138">
        <f t="shared" ca="1" si="89"/>
        <v>12598984.298541032</v>
      </c>
      <c r="O138" s="138">
        <f t="shared" ca="1" si="89"/>
        <v>12824641.957385866</v>
      </c>
      <c r="P138" s="138">
        <f t="shared" ca="1" si="89"/>
        <v>13009494.462040752</v>
      </c>
      <c r="Q138" s="138">
        <f t="shared" ca="1" si="89"/>
        <v>13910118.964295344</v>
      </c>
      <c r="R138" s="138">
        <f t="shared" ca="1" si="89"/>
        <v>14155654.440265194</v>
      </c>
      <c r="S138" s="138">
        <f t="shared" ca="1" si="89"/>
        <v>14360015.913773319</v>
      </c>
      <c r="T138" s="138">
        <f t="shared" ca="1" si="89"/>
        <v>14619782.028232915</v>
      </c>
      <c r="U138" s="138">
        <f t="shared" ca="1" si="89"/>
        <v>14886974.462777274</v>
      </c>
      <c r="V138" s="138">
        <f t="shared" ca="1" si="89"/>
        <v>15840752.882371198</v>
      </c>
      <c r="W138" s="138">
        <f t="shared" ca="1" si="89"/>
        <v>16123450.64311651</v>
      </c>
      <c r="X138" s="138">
        <f t="shared" ca="1" si="89"/>
        <v>16414240.230604893</v>
      </c>
      <c r="Y138" s="138">
        <f t="shared" ca="1" si="89"/>
        <v>16663222.19542893</v>
      </c>
      <c r="Z138" s="138">
        <f t="shared" ca="1" si="89"/>
        <v>16970907.247983564</v>
      </c>
    </row>
    <row r="140" spans="2:26" x14ac:dyDescent="0.2">
      <c r="B140" s="147" t="s">
        <v>31</v>
      </c>
      <c r="F140" s="149">
        <f>+'Assumptions and Sensis'!$G$43</f>
        <v>44926</v>
      </c>
      <c r="G140" s="149">
        <f>+EOMONTH(F140,12)</f>
        <v>45291</v>
      </c>
      <c r="H140" s="149">
        <f t="shared" ref="H140:Z140" si="90">+EOMONTH(G140,12)</f>
        <v>45657</v>
      </c>
      <c r="I140" s="149">
        <f t="shared" si="90"/>
        <v>46022</v>
      </c>
      <c r="J140" s="149">
        <f t="shared" si="90"/>
        <v>46387</v>
      </c>
      <c r="K140" s="149">
        <f t="shared" si="90"/>
        <v>46752</v>
      </c>
      <c r="L140" s="149">
        <f t="shared" si="90"/>
        <v>47118</v>
      </c>
      <c r="M140" s="149">
        <f t="shared" si="90"/>
        <v>47483</v>
      </c>
      <c r="N140" s="149">
        <f t="shared" si="90"/>
        <v>47848</v>
      </c>
      <c r="O140" s="149">
        <f t="shared" si="90"/>
        <v>48213</v>
      </c>
      <c r="P140" s="149">
        <f t="shared" si="90"/>
        <v>48579</v>
      </c>
      <c r="Q140" s="149">
        <f t="shared" si="90"/>
        <v>48944</v>
      </c>
      <c r="R140" s="149">
        <f t="shared" si="90"/>
        <v>49309</v>
      </c>
      <c r="S140" s="149">
        <f t="shared" si="90"/>
        <v>49674</v>
      </c>
      <c r="T140" s="149">
        <f t="shared" si="90"/>
        <v>50040</v>
      </c>
      <c r="U140" s="149">
        <f t="shared" si="90"/>
        <v>50405</v>
      </c>
      <c r="V140" s="149">
        <f t="shared" si="90"/>
        <v>50770</v>
      </c>
      <c r="W140" s="149">
        <f t="shared" si="90"/>
        <v>51135</v>
      </c>
      <c r="X140" s="149">
        <f t="shared" si="90"/>
        <v>51501</v>
      </c>
      <c r="Y140" s="149">
        <f t="shared" si="90"/>
        <v>51866</v>
      </c>
      <c r="Z140" s="149">
        <f t="shared" si="90"/>
        <v>52231</v>
      </c>
    </row>
    <row r="141" spans="2:26" x14ac:dyDescent="0.2">
      <c r="B141" s="32" t="s">
        <v>331</v>
      </c>
      <c r="F141" s="33">
        <v>0</v>
      </c>
      <c r="G141" s="33">
        <f t="shared" ref="G141:Z141" ca="1" si="91">+F144</f>
        <v>0</v>
      </c>
      <c r="H141" s="33">
        <f t="shared" ca="1" si="91"/>
        <v>0</v>
      </c>
      <c r="I141" s="33">
        <f t="shared" ca="1" si="91"/>
        <v>0</v>
      </c>
      <c r="J141" s="33">
        <f t="shared" ca="1" si="91"/>
        <v>117751781.92173362</v>
      </c>
      <c r="K141" s="33">
        <f t="shared" ca="1" si="91"/>
        <v>116282899.37478246</v>
      </c>
      <c r="L141" s="33">
        <f t="shared" ca="1" si="91"/>
        <v>114718539.46227947</v>
      </c>
      <c r="M141" s="33">
        <f t="shared" ca="1" si="91"/>
        <v>113052496.15546378</v>
      </c>
      <c r="N141" s="33">
        <f t="shared" ca="1" si="91"/>
        <v>111278160.03370509</v>
      </c>
      <c r="O141" s="33">
        <f t="shared" ca="1" si="91"/>
        <v>109388492.06403208</v>
      </c>
      <c r="P141" s="33">
        <f t="shared" ca="1" si="91"/>
        <v>107375995.67633033</v>
      </c>
      <c r="Q141" s="33">
        <f t="shared" ca="1" si="91"/>
        <v>105232687.02342796</v>
      </c>
      <c r="R141" s="33">
        <f t="shared" ca="1" si="91"/>
        <v>102950063.30808693</v>
      </c>
      <c r="S141" s="33">
        <f t="shared" ca="1" si="91"/>
        <v>100519069.05124874</v>
      </c>
      <c r="T141" s="33">
        <f t="shared" ca="1" si="91"/>
        <v>97930060.167716071</v>
      </c>
      <c r="U141" s="33">
        <f t="shared" ca="1" si="91"/>
        <v>95172765.706753775</v>
      </c>
      <c r="V141" s="33">
        <f t="shared" ca="1" si="91"/>
        <v>92236247.105828926</v>
      </c>
      <c r="W141" s="33">
        <f t="shared" ca="1" si="91"/>
        <v>89108854.795843959</v>
      </c>
      <c r="X141" s="33">
        <f t="shared" ca="1" si="91"/>
        <v>85778181.985709965</v>
      </c>
      <c r="Y141" s="33">
        <f t="shared" ca="1" si="91"/>
        <v>82231015.442917272</v>
      </c>
      <c r="Z141" s="33">
        <f t="shared" ca="1" si="91"/>
        <v>78453283.074843049</v>
      </c>
    </row>
    <row r="142" spans="2:26" x14ac:dyDescent="0.2">
      <c r="B142" s="32" t="s">
        <v>342</v>
      </c>
      <c r="F142" s="150">
        <f>+IF(YEAR(F$140)=YEAR('Assumptions and Sensis'!$G$47),'S&amp;U'!$S$17,0)</f>
        <v>0</v>
      </c>
      <c r="G142" s="150">
        <f>+IF(YEAR(G$140)=YEAR('Assumptions and Sensis'!$G$47),'S&amp;U'!$S$17,0)</f>
        <v>0</v>
      </c>
      <c r="H142" s="150">
        <f>+IF(YEAR(H$140)=YEAR('Assumptions and Sensis'!$G$47),'S&amp;U'!$S$17,0)</f>
        <v>0</v>
      </c>
      <c r="I142" s="150">
        <f ca="1">+IF(YEAR(I$140)=YEAR('Assumptions and Sensis'!$G$47),'S&amp;U'!$S$17,0)</f>
        <v>119131014.36018541</v>
      </c>
      <c r="J142" s="150">
        <f>+IF(YEAR(J$140)=YEAR('Assumptions and Sensis'!$G$47),'S&amp;U'!$S$17,0)</f>
        <v>0</v>
      </c>
      <c r="K142" s="150">
        <f>+IF(YEAR(K$140)=YEAR('Assumptions and Sensis'!$G$47),'S&amp;U'!$S$17,0)</f>
        <v>0</v>
      </c>
      <c r="L142" s="150">
        <f>+IF(YEAR(L$140)=YEAR('Assumptions and Sensis'!$G$47),'S&amp;U'!$S$17,0)</f>
        <v>0</v>
      </c>
      <c r="M142" s="150">
        <f>+IF(YEAR(M$140)=YEAR('Assumptions and Sensis'!$G$47),'S&amp;U'!$S$17,0)</f>
        <v>0</v>
      </c>
      <c r="N142" s="150">
        <f>+IF(YEAR(N$140)=YEAR('Assumptions and Sensis'!$G$47),'S&amp;U'!$S$17,0)</f>
        <v>0</v>
      </c>
      <c r="O142" s="150">
        <f>+IF(YEAR(O$140)=YEAR('Assumptions and Sensis'!$G$47),'S&amp;U'!$S$17,0)</f>
        <v>0</v>
      </c>
      <c r="P142" s="150">
        <f>+IF(YEAR(P$140)=YEAR('Assumptions and Sensis'!$G$47),'S&amp;U'!$S$17,0)</f>
        <v>0</v>
      </c>
      <c r="Q142" s="150">
        <f>+IF(YEAR(Q$140)=YEAR('Assumptions and Sensis'!$G$47),'S&amp;U'!$S$17,0)</f>
        <v>0</v>
      </c>
      <c r="R142" s="150">
        <f>+IF(YEAR(R$140)=YEAR('Assumptions and Sensis'!$G$47),'S&amp;U'!$S$17,0)</f>
        <v>0</v>
      </c>
      <c r="S142" s="150">
        <f>+IF(YEAR(S$140)=YEAR('Assumptions and Sensis'!$G$47),'S&amp;U'!$S$17,0)</f>
        <v>0</v>
      </c>
      <c r="T142" s="150">
        <f>+IF(YEAR(T$140)=YEAR('Assumptions and Sensis'!$G$47),'S&amp;U'!$S$17,0)</f>
        <v>0</v>
      </c>
      <c r="U142" s="150">
        <f>+IF(YEAR(U$140)=YEAR('Assumptions and Sensis'!$G$47),'S&amp;U'!$S$17,0)</f>
        <v>0</v>
      </c>
      <c r="V142" s="150">
        <f>+IF(YEAR(V$140)=YEAR('Assumptions and Sensis'!$G$47),'S&amp;U'!$S$17,0)</f>
        <v>0</v>
      </c>
      <c r="W142" s="150">
        <f>+IF(YEAR(W$140)=YEAR('Assumptions and Sensis'!$G$47),'S&amp;U'!$S$17,0)</f>
        <v>0</v>
      </c>
      <c r="X142" s="150">
        <f>+IF(YEAR(X$140)=YEAR('Assumptions and Sensis'!$G$47),'S&amp;U'!$S$17,0)</f>
        <v>0</v>
      </c>
      <c r="Y142" s="150">
        <f>+IF(YEAR(Y$140)=YEAR('Assumptions and Sensis'!$G$47),'S&amp;U'!$S$17,0)</f>
        <v>0</v>
      </c>
      <c r="Z142" s="150">
        <f>+IF(YEAR(Z$140)=YEAR('Assumptions and Sensis'!$G$47),'S&amp;U'!$S$17,0)</f>
        <v>0</v>
      </c>
    </row>
    <row r="143" spans="2:26" x14ac:dyDescent="0.2">
      <c r="B143" s="32" t="s">
        <v>162</v>
      </c>
      <c r="F143" s="150">
        <f ca="1">+IFERROR(PPMT('Assumptions and Sensis'!$O$177,F2,'Assumptions and Sensis'!$O$179,'S&amp;U'!$S$17),0)</f>
        <v>0</v>
      </c>
      <c r="G143" s="150">
        <f ca="1">+IFERROR(PPMT('Assumptions and Sensis'!$O$177,G2,'Assumptions and Sensis'!$O$179,'S&amp;U'!$S$17),0)</f>
        <v>0</v>
      </c>
      <c r="H143" s="150">
        <f ca="1">+IFERROR(PPMT('Assumptions and Sensis'!$O$177,H2,'Assumptions and Sensis'!$O$179,'S&amp;U'!$S$17),0)</f>
        <v>0</v>
      </c>
      <c r="I143" s="150">
        <f ca="1">+IFERROR(PPMT('Assumptions and Sensis'!$O$177,I2,'Assumptions and Sensis'!$O$179,'S&amp;U'!$S$17),0)</f>
        <v>-1379232.4384517916</v>
      </c>
      <c r="J143" s="150">
        <f ca="1">+IFERROR(PPMT('Assumptions and Sensis'!$O$177,J2,'Assumptions and Sensis'!$O$179,'S&amp;U'!$S$17),0)</f>
        <v>-1468882.5469511577</v>
      </c>
      <c r="K143" s="150">
        <f ca="1">+IFERROR(PPMT('Assumptions and Sensis'!$O$177,K2,'Assumptions and Sensis'!$O$179,'S&amp;U'!$S$17),0)</f>
        <v>-1564359.9125029831</v>
      </c>
      <c r="L143" s="150">
        <f ca="1">+IFERROR(PPMT('Assumptions and Sensis'!$O$177,L2,'Assumptions and Sensis'!$O$179,'S&amp;U'!$S$17),0)</f>
        <v>-1666043.3068156771</v>
      </c>
      <c r="M143" s="150">
        <f ca="1">+IFERROR(PPMT('Assumptions and Sensis'!$O$177,M2,'Assumptions and Sensis'!$O$179,'S&amp;U'!$S$17),0)</f>
        <v>-1774336.1217586962</v>
      </c>
      <c r="N143" s="150">
        <f ca="1">+IFERROR(PPMT('Assumptions and Sensis'!$O$177,N2,'Assumptions and Sensis'!$O$179,'S&amp;U'!$S$17),0)</f>
        <v>-1889667.9696730115</v>
      </c>
      <c r="O143" s="150">
        <f ca="1">+IFERROR(PPMT('Assumptions and Sensis'!$O$177,O2,'Assumptions and Sensis'!$O$179,'S&amp;U'!$S$17),0)</f>
        <v>-2012496.387701757</v>
      </c>
      <c r="P143" s="150">
        <f ca="1">+IFERROR(PPMT('Assumptions and Sensis'!$O$177,P2,'Assumptions and Sensis'!$O$179,'S&amp;U'!$S$17),0)</f>
        <v>-2143308.6529023713</v>
      </c>
      <c r="Q143" s="150">
        <f ca="1">+IFERROR(PPMT('Assumptions and Sensis'!$O$177,Q2,'Assumptions and Sensis'!$O$179,'S&amp;U'!$S$17),0)</f>
        <v>-2282623.7153410255</v>
      </c>
      <c r="R143" s="150">
        <f ca="1">+IFERROR(PPMT('Assumptions and Sensis'!$O$177,R2,'Assumptions and Sensis'!$O$179,'S&amp;U'!$S$17),0)</f>
        <v>-2430994.2568381922</v>
      </c>
      <c r="S143" s="150">
        <f ca="1">+IFERROR(PPMT('Assumptions and Sensis'!$O$177,S2,'Assumptions and Sensis'!$O$179,'S&amp;U'!$S$17),0)</f>
        <v>-2589008.883532675</v>
      </c>
      <c r="T143" s="150">
        <f ca="1">+IFERROR(PPMT('Assumptions and Sensis'!$O$177,T2,'Assumptions and Sensis'!$O$179,'S&amp;U'!$S$17),0)</f>
        <v>-2757294.4609622988</v>
      </c>
      <c r="U143" s="150">
        <f ca="1">+IFERROR(PPMT('Assumptions and Sensis'!$O$177,U2,'Assumptions and Sensis'!$O$179,'S&amp;U'!$S$17),0)</f>
        <v>-2936518.6009248476</v>
      </c>
      <c r="V143" s="150">
        <f ca="1">+IFERROR(PPMT('Assumptions and Sensis'!$O$177,V2,'Assumptions and Sensis'!$O$179,'S&amp;U'!$S$17),0)</f>
        <v>-3127392.3099849629</v>
      </c>
      <c r="W143" s="150">
        <f ca="1">+IFERROR(PPMT('Assumptions and Sensis'!$O$177,W2,'Assumptions and Sensis'!$O$179,'S&amp;U'!$S$17),0)</f>
        <v>-3330672.8101339862</v>
      </c>
      <c r="X143" s="150">
        <f ca="1">+IFERROR(PPMT('Assumptions and Sensis'!$O$177,X2,'Assumptions and Sensis'!$O$179,'S&amp;U'!$S$17),0)</f>
        <v>-3547166.5427926951</v>
      </c>
      <c r="Y143" s="150">
        <f ca="1">+IFERROR(PPMT('Assumptions and Sensis'!$O$177,Y2,'Assumptions and Sensis'!$O$179,'S&amp;U'!$S$17),0)</f>
        <v>-3777732.3680742201</v>
      </c>
      <c r="Z143" s="150">
        <f ca="1">+IFERROR(PPMT('Assumptions and Sensis'!$O$177,Z2,'Assumptions and Sensis'!$O$179,'S&amp;U'!$S$17),0)</f>
        <v>-4023284.9719990445</v>
      </c>
    </row>
    <row r="144" spans="2:26" x14ac:dyDescent="0.2">
      <c r="B144" s="32" t="s">
        <v>333</v>
      </c>
      <c r="F144" s="150">
        <f t="shared" ref="F144:N144" ca="1" si="92">+SUM(F141:F143)</f>
        <v>0</v>
      </c>
      <c r="G144" s="150">
        <f t="shared" ca="1" si="92"/>
        <v>0</v>
      </c>
      <c r="H144" s="150">
        <f t="shared" ca="1" si="92"/>
        <v>0</v>
      </c>
      <c r="I144" s="150">
        <f t="shared" ca="1" si="92"/>
        <v>117751781.92173362</v>
      </c>
      <c r="J144" s="150">
        <f t="shared" ca="1" si="92"/>
        <v>116282899.37478246</v>
      </c>
      <c r="K144" s="150">
        <f t="shared" ca="1" si="92"/>
        <v>114718539.46227947</v>
      </c>
      <c r="L144" s="150">
        <f t="shared" ca="1" si="92"/>
        <v>113052496.15546378</v>
      </c>
      <c r="M144" s="150">
        <f t="shared" ca="1" si="92"/>
        <v>111278160.03370509</v>
      </c>
      <c r="N144" s="150">
        <f t="shared" ca="1" si="92"/>
        <v>109388492.06403208</v>
      </c>
      <c r="O144" s="150">
        <f t="shared" ref="O144:Z144" ca="1" si="93">+SUM(O141:O143)</f>
        <v>107375995.67633033</v>
      </c>
      <c r="P144" s="150">
        <f t="shared" ca="1" si="93"/>
        <v>105232687.02342796</v>
      </c>
      <c r="Q144" s="150">
        <f t="shared" ca="1" si="93"/>
        <v>102950063.30808693</v>
      </c>
      <c r="R144" s="150">
        <f t="shared" ca="1" si="93"/>
        <v>100519069.05124874</v>
      </c>
      <c r="S144" s="150">
        <f t="shared" ca="1" si="93"/>
        <v>97930060.167716071</v>
      </c>
      <c r="T144" s="150">
        <f t="shared" ca="1" si="93"/>
        <v>95172765.706753775</v>
      </c>
      <c r="U144" s="150">
        <f t="shared" ca="1" si="93"/>
        <v>92236247.105828926</v>
      </c>
      <c r="V144" s="150">
        <f t="shared" ca="1" si="93"/>
        <v>89108854.795843959</v>
      </c>
      <c r="W144" s="150">
        <f t="shared" ca="1" si="93"/>
        <v>85778181.985709965</v>
      </c>
      <c r="X144" s="150">
        <f t="shared" ca="1" si="93"/>
        <v>82231015.442917272</v>
      </c>
      <c r="Y144" s="150">
        <f t="shared" ca="1" si="93"/>
        <v>78453283.074843049</v>
      </c>
      <c r="Z144" s="150">
        <f t="shared" ca="1" si="93"/>
        <v>74429998.102844</v>
      </c>
    </row>
    <row r="146" spans="2:26" x14ac:dyDescent="0.2">
      <c r="B146" s="40" t="s">
        <v>332</v>
      </c>
      <c r="F146" s="33">
        <f ca="1">-IFERROR(IPMT('Assumptions and Sensis'!$O$177,F2,'Assumptions and Sensis'!$O$179,'S&amp;U'!$S$17),0)</f>
        <v>0</v>
      </c>
      <c r="G146" s="33">
        <f ca="1">-IFERROR(IPMT('Assumptions and Sensis'!$O$177,G2,'Assumptions and Sensis'!$O$179,'S&amp;U'!$S$17),0)</f>
        <v>0</v>
      </c>
      <c r="H146" s="33">
        <f ca="1">-IFERROR(IPMT('Assumptions and Sensis'!$O$177,H2,'Assumptions and Sensis'!$O$179,'S&amp;U'!$S$17),0)</f>
        <v>0</v>
      </c>
      <c r="I146" s="33">
        <f ca="1">-IFERROR(IPMT('Assumptions and Sensis'!$O$177,I2,'Assumptions and Sensis'!$O$179,'S&amp;U'!$S$17),0)</f>
        <v>7743515.9334120518</v>
      </c>
      <c r="J146" s="33">
        <f ca="1">-IFERROR(IPMT('Assumptions and Sensis'!$O$177,J2,'Assumptions and Sensis'!$O$179,'S&amp;U'!$S$17),0)</f>
        <v>7653865.8249126868</v>
      </c>
      <c r="K146" s="33">
        <f ca="1">-IFERROR(IPMT('Assumptions and Sensis'!$O$177,K2,'Assumptions and Sensis'!$O$179,'S&amp;U'!$S$17),0)</f>
        <v>7558388.4593608612</v>
      </c>
      <c r="L146" s="33">
        <f ca="1">-IFERROR(IPMT('Assumptions and Sensis'!$O$177,L2,'Assumptions and Sensis'!$O$179,'S&amp;U'!$S$17),0)</f>
        <v>7456705.0650481666</v>
      </c>
      <c r="M146" s="33">
        <f ca="1">-IFERROR(IPMT('Assumptions and Sensis'!$O$177,M2,'Assumptions and Sensis'!$O$179,'S&amp;U'!$S$17),0)</f>
        <v>7348412.2501051472</v>
      </c>
      <c r="N146" s="33">
        <f ca="1">-IFERROR(IPMT('Assumptions and Sensis'!$O$177,N2,'Assumptions and Sensis'!$O$179,'S&amp;U'!$S$17),0)</f>
        <v>7233080.4021908315</v>
      </c>
      <c r="O146" s="33">
        <f ca="1">-IFERROR(IPMT('Assumptions and Sensis'!$O$177,O2,'Assumptions and Sensis'!$O$179,'S&amp;U'!$S$17),0)</f>
        <v>7110251.9841620876</v>
      </c>
      <c r="P146" s="33">
        <f ca="1">-IFERROR(IPMT('Assumptions and Sensis'!$O$177,P2,'Assumptions and Sensis'!$O$179,'S&amp;U'!$S$17),0)</f>
        <v>6979439.7189614726</v>
      </c>
      <c r="Q146" s="33">
        <f ca="1">-IFERROR(IPMT('Assumptions and Sensis'!$O$177,Q2,'Assumptions and Sensis'!$O$179,'S&amp;U'!$S$17),0)</f>
        <v>6840124.6565228188</v>
      </c>
      <c r="R146" s="33">
        <f ca="1">-IFERROR(IPMT('Assumptions and Sensis'!$O$177,R2,'Assumptions and Sensis'!$O$179,'S&amp;U'!$S$17),0)</f>
        <v>6691754.1150256516</v>
      </c>
      <c r="S146" s="33">
        <f ca="1">-IFERROR(IPMT('Assumptions and Sensis'!$O$177,S2,'Assumptions and Sensis'!$O$179,'S&amp;U'!$S$17),0)</f>
        <v>6533739.4883311698</v>
      </c>
      <c r="T146" s="33">
        <f ca="1">-IFERROR(IPMT('Assumptions and Sensis'!$O$177,T2,'Assumptions and Sensis'!$O$179,'S&amp;U'!$S$17),0)</f>
        <v>6365453.9109015446</v>
      </c>
      <c r="U146" s="33">
        <f ca="1">-IFERROR(IPMT('Assumptions and Sensis'!$O$177,U2,'Assumptions and Sensis'!$O$179,'S&amp;U'!$S$17),0)</f>
        <v>6186229.7709389953</v>
      </c>
      <c r="V146" s="33">
        <f ca="1">-IFERROR(IPMT('Assumptions and Sensis'!$O$177,V2,'Assumptions and Sensis'!$O$179,'S&amp;U'!$S$17),0)</f>
        <v>5995356.0618788805</v>
      </c>
      <c r="W146" s="33">
        <f ca="1">-IFERROR(IPMT('Assumptions and Sensis'!$O$177,W2,'Assumptions and Sensis'!$O$179,'S&amp;U'!$S$17),0)</f>
        <v>5792075.5617298577</v>
      </c>
      <c r="X146" s="33">
        <f ca="1">-IFERROR(IPMT('Assumptions and Sensis'!$O$177,X2,'Assumptions and Sensis'!$O$179,'S&amp;U'!$S$17),0)</f>
        <v>5575581.8290711483</v>
      </c>
      <c r="Y146" s="33">
        <f ca="1">-IFERROR(IPMT('Assumptions and Sensis'!$O$177,Y2,'Assumptions and Sensis'!$O$179,'S&amp;U'!$S$17),0)</f>
        <v>5345016.0037896233</v>
      </c>
      <c r="Z146" s="33">
        <f ca="1">-IFERROR(IPMT('Assumptions and Sensis'!$O$177,Z2,'Assumptions and Sensis'!$O$179,'S&amp;U'!$S$17),0)</f>
        <v>5099463.3998647993</v>
      </c>
    </row>
    <row r="147" spans="2:26" x14ac:dyDescent="0.2">
      <c r="B147" s="136" t="s">
        <v>341</v>
      </c>
      <c r="C147" s="136"/>
      <c r="D147" s="136"/>
      <c r="E147" s="136"/>
      <c r="F147" s="128">
        <f t="shared" ref="F147:K147" ca="1" si="94">+F146-F143</f>
        <v>0</v>
      </c>
      <c r="G147" s="128">
        <f t="shared" ca="1" si="94"/>
        <v>0</v>
      </c>
      <c r="H147" s="128">
        <f t="shared" ca="1" si="94"/>
        <v>0</v>
      </c>
      <c r="I147" s="128">
        <f t="shared" ca="1" si="94"/>
        <v>9122748.3718638439</v>
      </c>
      <c r="J147" s="128">
        <f t="shared" ca="1" si="94"/>
        <v>9122748.3718638439</v>
      </c>
      <c r="K147" s="128">
        <f t="shared" ca="1" si="94"/>
        <v>9122748.3718638439</v>
      </c>
      <c r="L147" s="128">
        <f ca="1">+L146-L143</f>
        <v>9122748.3718638439</v>
      </c>
      <c r="M147" s="128">
        <f t="shared" ref="M147:Z147" ca="1" si="95">+M146-M143</f>
        <v>9122748.3718638439</v>
      </c>
      <c r="N147" s="128">
        <f t="shared" ca="1" si="95"/>
        <v>9122748.371863842</v>
      </c>
      <c r="O147" s="128">
        <f t="shared" ca="1" si="95"/>
        <v>9122748.3718638439</v>
      </c>
      <c r="P147" s="128">
        <f t="shared" ca="1" si="95"/>
        <v>9122748.3718638439</v>
      </c>
      <c r="Q147" s="128">
        <f t="shared" ca="1" si="95"/>
        <v>9122748.3718638439</v>
      </c>
      <c r="R147" s="128">
        <f t="shared" ca="1" si="95"/>
        <v>9122748.3718638439</v>
      </c>
      <c r="S147" s="128">
        <f t="shared" ca="1" si="95"/>
        <v>9122748.3718638457</v>
      </c>
      <c r="T147" s="128">
        <f t="shared" ca="1" si="95"/>
        <v>9122748.3718638439</v>
      </c>
      <c r="U147" s="128">
        <f t="shared" ca="1" si="95"/>
        <v>9122748.371863842</v>
      </c>
      <c r="V147" s="128">
        <f t="shared" ca="1" si="95"/>
        <v>9122748.3718638439</v>
      </c>
      <c r="W147" s="128">
        <f t="shared" ca="1" si="95"/>
        <v>9122748.3718638439</v>
      </c>
      <c r="X147" s="128">
        <f t="shared" ca="1" si="95"/>
        <v>9122748.3718638439</v>
      </c>
      <c r="Y147" s="128">
        <f t="shared" ca="1" si="95"/>
        <v>9122748.3718638439</v>
      </c>
      <c r="Z147" s="128">
        <f t="shared" ca="1" si="95"/>
        <v>9122748.3718638439</v>
      </c>
    </row>
    <row r="148" spans="2:26" x14ac:dyDescent="0.2">
      <c r="B148" s="145" t="s">
        <v>181</v>
      </c>
      <c r="F148" s="178" t="str">
        <f ca="1">+IFERROR(F138/F147,"")</f>
        <v/>
      </c>
      <c r="G148" s="178" t="str">
        <f t="shared" ref="G148:Z148" ca="1" si="96">+IFERROR(G138/G147,"")</f>
        <v/>
      </c>
      <c r="H148" s="178" t="str">
        <f t="shared" ca="1" si="96"/>
        <v/>
      </c>
      <c r="I148" s="178">
        <f t="shared" ca="1" si="96"/>
        <v>0.60568859286439458</v>
      </c>
      <c r="J148" s="178">
        <f t="shared" ca="1" si="96"/>
        <v>1.2278939257530566</v>
      </c>
      <c r="K148" s="178">
        <f t="shared" ca="1" si="96"/>
        <v>1.2500000000000007</v>
      </c>
      <c r="L148" s="178">
        <f t="shared" ca="1" si="96"/>
        <v>1.3386951234570279</v>
      </c>
      <c r="M148" s="178">
        <f t="shared" ca="1" si="96"/>
        <v>1.357001485165384</v>
      </c>
      <c r="N148" s="178">
        <f t="shared" ca="1" si="96"/>
        <v>1.381051387693484</v>
      </c>
      <c r="O148" s="178">
        <f t="shared" ca="1" si="96"/>
        <v>1.4057870977719074</v>
      </c>
      <c r="P148" s="178">
        <f t="shared" ca="1" si="96"/>
        <v>1.4260499064256025</v>
      </c>
      <c r="Q148" s="178">
        <f t="shared" ca="1" si="96"/>
        <v>1.5247728422715889</v>
      </c>
      <c r="R148" s="178">
        <f t="shared" ca="1" si="96"/>
        <v>1.5516874809266596</v>
      </c>
      <c r="S148" s="178">
        <f t="shared" ca="1" si="96"/>
        <v>1.5740887864519122</v>
      </c>
      <c r="T148" s="178">
        <f t="shared" ca="1" si="96"/>
        <v>1.6025633320461723</v>
      </c>
      <c r="U148" s="178">
        <f t="shared" ca="1" si="96"/>
        <v>1.631851921805858</v>
      </c>
      <c r="V148" s="178">
        <f t="shared" ca="1" si="96"/>
        <v>1.7364013822004407</v>
      </c>
      <c r="W148" s="178">
        <f t="shared" ca="1" si="96"/>
        <v>1.7673896051812696</v>
      </c>
      <c r="X148" s="178">
        <f t="shared" ca="1" si="96"/>
        <v>1.7992648225647974</v>
      </c>
      <c r="Y148" s="178">
        <f t="shared" ca="1" si="96"/>
        <v>1.8265572518498077</v>
      </c>
      <c r="Z148" s="178">
        <f t="shared" ca="1" si="96"/>
        <v>1.8602844840404476</v>
      </c>
    </row>
    <row r="150" spans="2:26" x14ac:dyDescent="0.2">
      <c r="B150" s="40" t="s">
        <v>156</v>
      </c>
      <c r="F150" s="33">
        <f>+F142*'Assumptions and Sensis'!$O$178</f>
        <v>0</v>
      </c>
      <c r="G150" s="33">
        <f>+G142*'Assumptions and Sensis'!$O$178</f>
        <v>0</v>
      </c>
      <c r="H150" s="33">
        <f>+H142*'Assumptions and Sensis'!$O$178</f>
        <v>0</v>
      </c>
      <c r="I150" s="33">
        <f ca="1">+I142*'Assumptions and Sensis'!$O$178</f>
        <v>893482.60770139063</v>
      </c>
      <c r="J150" s="33">
        <f>+J142*'Assumptions and Sensis'!$O$178</f>
        <v>0</v>
      </c>
      <c r="K150" s="33">
        <f>+K142*'Assumptions and Sensis'!$O$178</f>
        <v>0</v>
      </c>
      <c r="L150" s="33">
        <f>+L142*'Assumptions and Sensis'!$O$178</f>
        <v>0</v>
      </c>
      <c r="M150" s="33">
        <f>+M142*'Assumptions and Sensis'!$O$178</f>
        <v>0</v>
      </c>
      <c r="N150" s="33">
        <f>+N142*'Assumptions and Sensis'!$O$178</f>
        <v>0</v>
      </c>
      <c r="O150" s="33">
        <f>+O142*'Assumptions and Sensis'!$O$178</f>
        <v>0</v>
      </c>
      <c r="P150" s="33">
        <f>+P142*'Assumptions and Sensis'!$O$178</f>
        <v>0</v>
      </c>
      <c r="Q150" s="33">
        <f>+Q142*'Assumptions and Sensis'!$O$178</f>
        <v>0</v>
      </c>
      <c r="R150" s="33">
        <f>+R142*'Assumptions and Sensis'!$O$178</f>
        <v>0</v>
      </c>
      <c r="S150" s="33">
        <f>+S142*'Assumptions and Sensis'!$O$178</f>
        <v>0</v>
      </c>
      <c r="T150" s="33">
        <f>+T142*'Assumptions and Sensis'!$O$178</f>
        <v>0</v>
      </c>
      <c r="U150" s="33">
        <f>+U142*'Assumptions and Sensis'!$O$178</f>
        <v>0</v>
      </c>
      <c r="V150" s="33">
        <f>+V142*'Assumptions and Sensis'!$O$178</f>
        <v>0</v>
      </c>
      <c r="W150" s="33">
        <f>+W142*'Assumptions and Sensis'!$O$178</f>
        <v>0</v>
      </c>
      <c r="X150" s="33">
        <f>+X142*'Assumptions and Sensis'!$O$178</f>
        <v>0</v>
      </c>
      <c r="Y150" s="33">
        <f>+Y142*'Assumptions and Sensis'!$O$178</f>
        <v>0</v>
      </c>
      <c r="Z150" s="33">
        <f>+Z142*'Assumptions and Sensis'!$O$178</f>
        <v>0</v>
      </c>
    </row>
    <row r="152" spans="2:26" s="156" customFormat="1" x14ac:dyDescent="0.2">
      <c r="B152" s="136" t="s">
        <v>334</v>
      </c>
      <c r="C152" s="136"/>
      <c r="D152" s="136"/>
      <c r="E152" s="136"/>
      <c r="F152" s="128">
        <f ca="1">+F138-F147-F150</f>
        <v>0</v>
      </c>
      <c r="G152" s="128">
        <f t="shared" ref="G152:Z152" ca="1" si="97">+G138-G147-G150</f>
        <v>0</v>
      </c>
      <c r="H152" s="128">
        <f t="shared" ca="1" si="97"/>
        <v>0</v>
      </c>
      <c r="I152" s="128">
        <f t="shared" ca="1" si="97"/>
        <v>-4490686.3551550768</v>
      </c>
      <c r="J152" s="128">
        <f t="shared" ca="1" si="97"/>
        <v>2079018.9401213564</v>
      </c>
      <c r="K152" s="128">
        <f t="shared" ca="1" si="97"/>
        <v>2280687.092965968</v>
      </c>
      <c r="L152" s="128">
        <f t="shared" ca="1" si="97"/>
        <v>3089830.3860758245</v>
      </c>
      <c r="M152" s="128">
        <f t="shared" ca="1" si="97"/>
        <v>3256834.7175454814</v>
      </c>
      <c r="N152" s="128">
        <f t="shared" ca="1" si="97"/>
        <v>3476235.9266771898</v>
      </c>
      <c r="O152" s="128">
        <f t="shared" ca="1" si="97"/>
        <v>3701893.5855220221</v>
      </c>
      <c r="P152" s="128">
        <f t="shared" ca="1" si="97"/>
        <v>3886746.0901769083</v>
      </c>
      <c r="Q152" s="128">
        <f t="shared" ca="1" si="97"/>
        <v>4787370.5924315006</v>
      </c>
      <c r="R152" s="128">
        <f t="shared" ca="1" si="97"/>
        <v>5032906.0684013497</v>
      </c>
      <c r="S152" s="128">
        <f t="shared" ca="1" si="97"/>
        <v>5237267.541909473</v>
      </c>
      <c r="T152" s="128">
        <f t="shared" ca="1" si="97"/>
        <v>5497033.6563690715</v>
      </c>
      <c r="U152" s="128">
        <f t="shared" ca="1" si="97"/>
        <v>5764226.0909134317</v>
      </c>
      <c r="V152" s="128">
        <f t="shared" ca="1" si="97"/>
        <v>6718004.5105073545</v>
      </c>
      <c r="W152" s="128">
        <f t="shared" ca="1" si="97"/>
        <v>7000702.2712526657</v>
      </c>
      <c r="X152" s="128">
        <f t="shared" ca="1" si="97"/>
        <v>7291491.8587410487</v>
      </c>
      <c r="Y152" s="128">
        <f t="shared" ca="1" si="97"/>
        <v>7540473.8235650863</v>
      </c>
      <c r="Z152" s="128">
        <f t="shared" ca="1" si="97"/>
        <v>7848158.8761197198</v>
      </c>
    </row>
    <row r="154" spans="2:26" x14ac:dyDescent="0.2">
      <c r="B154" s="147" t="s">
        <v>335</v>
      </c>
    </row>
    <row r="155" spans="2:26" x14ac:dyDescent="0.2">
      <c r="B155" s="32" t="s">
        <v>336</v>
      </c>
      <c r="F155" s="33">
        <f>+IF(YEAR(F$140)=YEAR('Assumptions and Sensis'!$G$51),F136+F114+F93+F72+F51+F28,0)</f>
        <v>0</v>
      </c>
      <c r="G155" s="33">
        <f>+IF(YEAR(G$140)=YEAR('Assumptions and Sensis'!$G$51),G136+G114+G93+G72+G51+G28,0)</f>
        <v>0</v>
      </c>
      <c r="H155" s="33">
        <f>+IF(YEAR(H$140)=YEAR('Assumptions and Sensis'!$G$51),H136+H114+H93+H72+H51+H28,0)</f>
        <v>0</v>
      </c>
      <c r="I155" s="33">
        <f>+IF(YEAR(I$140)=YEAR('Assumptions and Sensis'!$G$51),I136+I114+I93+I72+I51+I28,0)</f>
        <v>0</v>
      </c>
      <c r="J155" s="33">
        <f>+IF(YEAR(J$140)=YEAR('Assumptions and Sensis'!$G$51),J136+J114+J93+J72+J51+J28,0)</f>
        <v>0</v>
      </c>
      <c r="K155" s="33">
        <f>+IF(YEAR(K$140)=YEAR('Assumptions and Sensis'!$G$51),K136+K114+K93+K72+K51+K28,0)</f>
        <v>0</v>
      </c>
      <c r="L155" s="33">
        <f>+IF(YEAR(L$140)=YEAR('Assumptions and Sensis'!$G$51),L136+L114+L93+L72+L51+L28,0)</f>
        <v>0</v>
      </c>
      <c r="M155" s="33">
        <f>+IF(YEAR(M$140)=YEAR('Assumptions and Sensis'!$G$51),M136+M114+M93+M72+M51+M28,0)</f>
        <v>0</v>
      </c>
      <c r="N155" s="33">
        <f ca="1">+IF(YEAR(N$140)=YEAR('Assumptions and Sensis'!$G$51),N136+N114+N93+N72+N51+N28,0)</f>
        <v>210949438.78373721</v>
      </c>
      <c r="O155" s="33">
        <f>+IF(YEAR(O$140)=YEAR('Assumptions and Sensis'!$G$51),O136+O114+O93+O72+O51+O28,0)</f>
        <v>0</v>
      </c>
      <c r="P155" s="33">
        <f>+IF(YEAR(P$140)=YEAR('Assumptions and Sensis'!$G$51),P136+P114+P93+P72+P51+P28,0)</f>
        <v>0</v>
      </c>
      <c r="Q155" s="33">
        <f>+IF(YEAR(Q$140)=YEAR('Assumptions and Sensis'!$G$51),Q136+Q114+Q93+Q72+Q51+Q28,0)</f>
        <v>0</v>
      </c>
      <c r="R155" s="33">
        <f>+IF(YEAR(R$140)=YEAR('Assumptions and Sensis'!$G$51),R136+R114+R93+R72+R51+R28,0)</f>
        <v>0</v>
      </c>
      <c r="S155" s="33">
        <f>+IF(YEAR(S$140)=YEAR('Assumptions and Sensis'!$G$51),S136+S114+S93+S72+S51+S28,0)</f>
        <v>0</v>
      </c>
      <c r="T155" s="33">
        <f>+IF(YEAR(T$140)=YEAR('Assumptions and Sensis'!$G$51),T136+T114+T93+T72+T51+T28,0)</f>
        <v>0</v>
      </c>
      <c r="U155" s="33">
        <f>+IF(YEAR(U$140)=YEAR('Assumptions and Sensis'!$G$51),U136+U114+U93+U72+U51+U28,0)</f>
        <v>0</v>
      </c>
      <c r="V155" s="33">
        <f>+IF(YEAR(V$140)=YEAR('Assumptions and Sensis'!$G$51),V136+V114+V93+V72+V51+V28,0)</f>
        <v>0</v>
      </c>
      <c r="W155" s="33">
        <f>+IF(YEAR(W$140)=YEAR('Assumptions and Sensis'!$G$51),W136+W114+W93+W72+W51+W28,0)</f>
        <v>0</v>
      </c>
      <c r="X155" s="33">
        <f>+IF(YEAR(X$140)=YEAR('Assumptions and Sensis'!$G$51),X136+X114+X93+X72+X51+X28,0)</f>
        <v>0</v>
      </c>
      <c r="Y155" s="33">
        <f>+IF(YEAR(Y$140)=YEAR('Assumptions and Sensis'!$G$51),Y136+Y114+Y93+Y72+Y51+Y28,0)</f>
        <v>0</v>
      </c>
      <c r="Z155" s="33">
        <f>+IF(YEAR(Z$140)=YEAR('Assumptions and Sensis'!$G$51),Z136+Z114+Z93+Z72+Z51+Z28,0)</f>
        <v>0</v>
      </c>
    </row>
    <row r="156" spans="2:26" ht="18" x14ac:dyDescent="0.2">
      <c r="B156" s="204" t="s">
        <v>369</v>
      </c>
      <c r="C156" s="204"/>
      <c r="D156" s="204"/>
      <c r="E156" s="204"/>
      <c r="F156" s="150">
        <f>+IF(YEAR(F$140)=YEAR('Assumptions and Sensis'!$G$47),('S&amp;U'!$I$23-'S&amp;U'!$S$25),0)</f>
        <v>0</v>
      </c>
      <c r="G156" s="150">
        <f>+IF(YEAR(G$140)=YEAR('Assumptions and Sensis'!$G$47),('S&amp;U'!$I$23-'S&amp;U'!$S$25),0)</f>
        <v>0</v>
      </c>
      <c r="H156" s="150">
        <f>+IF(YEAR(H$140)=YEAR('Assumptions and Sensis'!$G$47),('S&amp;U'!$I$23-'S&amp;U'!$S$25),0)</f>
        <v>0</v>
      </c>
      <c r="I156" s="150">
        <f ca="1">+IF(YEAR(I$140)=YEAR('Assumptions and Sensis'!$G$47),('S&amp;U'!$I$23-'S&amp;U'!$S$25),0)</f>
        <v>24672690.320007652</v>
      </c>
      <c r="J156" s="150">
        <f>+IF(YEAR(J$140)=YEAR('Assumptions and Sensis'!$G$47),('S&amp;U'!$I$23-'S&amp;U'!$S$25),0)</f>
        <v>0</v>
      </c>
      <c r="K156" s="150">
        <f>+IF(YEAR(K$140)=YEAR('Assumptions and Sensis'!$G$47),('S&amp;U'!$I$23-'S&amp;U'!$S$25),0)</f>
        <v>0</v>
      </c>
      <c r="L156" s="150">
        <f>+IF(YEAR(L$140)=YEAR('Assumptions and Sensis'!$G$47),('S&amp;U'!$I$23-'S&amp;U'!$S$25),0)</f>
        <v>0</v>
      </c>
      <c r="M156" s="150">
        <f>+IF(YEAR(M$140)=YEAR('Assumptions and Sensis'!$G$47),('S&amp;U'!$I$23-'S&amp;U'!$S$25),0)</f>
        <v>0</v>
      </c>
      <c r="N156" s="150">
        <f>+IF(YEAR(N$140)=YEAR('Assumptions and Sensis'!$G$47),('S&amp;U'!$I$23-'S&amp;U'!$S$25),0)</f>
        <v>0</v>
      </c>
      <c r="O156" s="150">
        <f>+IF(YEAR(O$140)=YEAR('Assumptions and Sensis'!$G$47),('S&amp;U'!$I$23-'S&amp;U'!$S$25),0)</f>
        <v>0</v>
      </c>
      <c r="P156" s="150">
        <f>+IF(YEAR(P$140)=YEAR('Assumptions and Sensis'!$G$47),('S&amp;U'!$I$23-'S&amp;U'!$S$25),0)</f>
        <v>0</v>
      </c>
      <c r="Q156" s="150">
        <f>+IF(YEAR(Q$140)=YEAR('Assumptions and Sensis'!$G$47),('S&amp;U'!$I$23-'S&amp;U'!$S$25),0)</f>
        <v>0</v>
      </c>
      <c r="R156" s="150">
        <f>+IF(YEAR(R$140)=YEAR('Assumptions and Sensis'!$G$47),('S&amp;U'!$I$23-'S&amp;U'!$S$25),0)</f>
        <v>0</v>
      </c>
      <c r="S156" s="150">
        <f>+IF(YEAR(S$140)=YEAR('Assumptions and Sensis'!$G$47),('S&amp;U'!$I$23-'S&amp;U'!$S$25),0)</f>
        <v>0</v>
      </c>
      <c r="T156" s="150">
        <f>+IF(YEAR(T$140)=YEAR('Assumptions and Sensis'!$G$47),('S&amp;U'!$I$23-'S&amp;U'!$S$25),0)</f>
        <v>0</v>
      </c>
      <c r="U156" s="150">
        <f>+IF(YEAR(U$140)=YEAR('Assumptions and Sensis'!$G$47),('S&amp;U'!$I$23-'S&amp;U'!$S$25),0)</f>
        <v>0</v>
      </c>
      <c r="V156" s="150">
        <f>+IF(YEAR(V$140)=YEAR('Assumptions and Sensis'!$G$47),('S&amp;U'!$I$23-'S&amp;U'!$S$25),0)</f>
        <v>0</v>
      </c>
      <c r="W156" s="150">
        <f>+IF(YEAR(W$140)=YEAR('Assumptions and Sensis'!$G$47),('S&amp;U'!$I$23-'S&amp;U'!$S$25),0)</f>
        <v>0</v>
      </c>
      <c r="X156" s="150">
        <f>+IF(YEAR(X$140)=YEAR('Assumptions and Sensis'!$G$47),('S&amp;U'!$I$23-'S&amp;U'!$S$25),0)</f>
        <v>0</v>
      </c>
      <c r="Y156" s="150">
        <f>+IF(YEAR(Y$140)=YEAR('Assumptions and Sensis'!$G$47),('S&amp;U'!$I$23-'S&amp;U'!$S$25),0)</f>
        <v>0</v>
      </c>
      <c r="Z156" s="150">
        <f>+IF(YEAR(Z$140)=YEAR('Assumptions and Sensis'!$G$47),('S&amp;U'!$I$23-'S&amp;U'!$S$25),0)</f>
        <v>0</v>
      </c>
    </row>
    <row r="157" spans="2:26" x14ac:dyDescent="0.2">
      <c r="B157" s="32" t="s">
        <v>337</v>
      </c>
      <c r="F157" s="150">
        <f>-F155*'Assumptions and Sensis'!$O$161</f>
        <v>0</v>
      </c>
      <c r="G157" s="150">
        <f>-G155*'Assumptions and Sensis'!$O$161</f>
        <v>0</v>
      </c>
      <c r="H157" s="150">
        <f>-H155*'Assumptions and Sensis'!$O$161</f>
        <v>0</v>
      </c>
      <c r="I157" s="150">
        <f>-I155*'Assumptions and Sensis'!$O$161</f>
        <v>0</v>
      </c>
      <c r="J157" s="150">
        <f>-J155*'Assumptions and Sensis'!$O$161</f>
        <v>0</v>
      </c>
      <c r="K157" s="150">
        <f>-K155*'Assumptions and Sensis'!$O$161</f>
        <v>0</v>
      </c>
      <c r="L157" s="150">
        <f>-L155*'Assumptions and Sensis'!$O$161</f>
        <v>0</v>
      </c>
      <c r="M157" s="150">
        <f>-M155*'Assumptions and Sensis'!$O$161</f>
        <v>0</v>
      </c>
      <c r="N157" s="150">
        <f ca="1">-N155*'Assumptions and Sensis'!$O$161</f>
        <v>-4218988.7756747445</v>
      </c>
      <c r="O157" s="150">
        <f>-O155*'Assumptions and Sensis'!$O$161</f>
        <v>0</v>
      </c>
      <c r="P157" s="150">
        <f>-P155*'Assumptions and Sensis'!$O$161</f>
        <v>0</v>
      </c>
      <c r="Q157" s="150">
        <f>-Q155*'Assumptions and Sensis'!$O$161</f>
        <v>0</v>
      </c>
      <c r="R157" s="150">
        <f>-R155*'Assumptions and Sensis'!$O$161</f>
        <v>0</v>
      </c>
      <c r="S157" s="150">
        <f>-S155*'Assumptions and Sensis'!$O$161</f>
        <v>0</v>
      </c>
      <c r="T157" s="150">
        <f>-T155*'Assumptions and Sensis'!$O$161</f>
        <v>0</v>
      </c>
      <c r="U157" s="150">
        <f>-U155*'Assumptions and Sensis'!$O$161</f>
        <v>0</v>
      </c>
      <c r="V157" s="150">
        <f>-V155*'Assumptions and Sensis'!$O$161</f>
        <v>0</v>
      </c>
      <c r="W157" s="150">
        <f>-W155*'Assumptions and Sensis'!$O$161</f>
        <v>0</v>
      </c>
      <c r="X157" s="150">
        <f>-X155*'Assumptions and Sensis'!$O$161</f>
        <v>0</v>
      </c>
      <c r="Y157" s="150">
        <f>-Y155*'Assumptions and Sensis'!$O$161</f>
        <v>0</v>
      </c>
      <c r="Z157" s="150">
        <f>-Z155*'Assumptions and Sensis'!$O$161</f>
        <v>0</v>
      </c>
    </row>
    <row r="158" spans="2:26" x14ac:dyDescent="0.2">
      <c r="B158" s="32" t="s">
        <v>338</v>
      </c>
      <c r="F158" s="150">
        <f>+IF(YEAR(F$140)=YEAR('Assumptions and Sensis'!$G$51),-F144,0)</f>
        <v>0</v>
      </c>
      <c r="G158" s="150">
        <f>+IF(YEAR(G$140)=YEAR('Assumptions and Sensis'!$G$51),-G144,0)</f>
        <v>0</v>
      </c>
      <c r="H158" s="150">
        <f>+IF(YEAR(H$140)=YEAR('Assumptions and Sensis'!$G$51),-H144,0)</f>
        <v>0</v>
      </c>
      <c r="I158" s="150">
        <f>+IF(YEAR(I$140)=YEAR('Assumptions and Sensis'!$G$51),-I144,0)</f>
        <v>0</v>
      </c>
      <c r="J158" s="150">
        <f>+IF(YEAR(J$140)=YEAR('Assumptions and Sensis'!$G$51),-J144,0)</f>
        <v>0</v>
      </c>
      <c r="K158" s="150">
        <f>+IF(YEAR(K$140)=YEAR('Assumptions and Sensis'!$G$51),-K144,0)</f>
        <v>0</v>
      </c>
      <c r="L158" s="150">
        <f>+IF(YEAR(L$140)=YEAR('Assumptions and Sensis'!$G$51),-L144,0)</f>
        <v>0</v>
      </c>
      <c r="M158" s="150">
        <f>+IF(YEAR(M$140)=YEAR('Assumptions and Sensis'!$G$51),-M144,0)</f>
        <v>0</v>
      </c>
      <c r="N158" s="150">
        <f ca="1">+IF(YEAR(N$140)=YEAR('Assumptions and Sensis'!$G$51),-N144,0)</f>
        <v>-109388492.06403208</v>
      </c>
      <c r="O158" s="150">
        <f>+IF(YEAR(O$140)=YEAR('Assumptions and Sensis'!$G$51),-O144,0)</f>
        <v>0</v>
      </c>
      <c r="P158" s="150">
        <f>+IF(YEAR(P$140)=YEAR('Assumptions and Sensis'!$G$51),-P144,0)</f>
        <v>0</v>
      </c>
      <c r="Q158" s="150">
        <f>+IF(YEAR(Q$140)=YEAR('Assumptions and Sensis'!$G$51),-Q144,0)</f>
        <v>0</v>
      </c>
      <c r="R158" s="150">
        <f>+IF(YEAR(R$140)=YEAR('Assumptions and Sensis'!$G$51),-R144,0)</f>
        <v>0</v>
      </c>
      <c r="S158" s="150">
        <f>+IF(YEAR(S$140)=YEAR('Assumptions and Sensis'!$G$51),-S144,0)</f>
        <v>0</v>
      </c>
      <c r="T158" s="150">
        <f>+IF(YEAR(T$140)=YEAR('Assumptions and Sensis'!$G$51),-T144,0)</f>
        <v>0</v>
      </c>
      <c r="U158" s="150">
        <f>+IF(YEAR(U$140)=YEAR('Assumptions and Sensis'!$G$51),-U144,0)</f>
        <v>0</v>
      </c>
      <c r="V158" s="150">
        <f>+IF(YEAR(V$140)=YEAR('Assumptions and Sensis'!$G$51),-V144,0)</f>
        <v>0</v>
      </c>
      <c r="W158" s="150">
        <f>+IF(YEAR(W$140)=YEAR('Assumptions and Sensis'!$G$51),-W144,0)</f>
        <v>0</v>
      </c>
      <c r="X158" s="150">
        <f>+IF(YEAR(X$140)=YEAR('Assumptions and Sensis'!$G$51),-X144,0)</f>
        <v>0</v>
      </c>
      <c r="Y158" s="150">
        <f>+IF(YEAR(Y$140)=YEAR('Assumptions and Sensis'!$G$51),-Y144,0)</f>
        <v>0</v>
      </c>
      <c r="Z158" s="150">
        <f>+IF(YEAR(Z$140)=YEAR('Assumptions and Sensis'!$G$51),-Z144,0)</f>
        <v>0</v>
      </c>
    </row>
    <row r="159" spans="2:26" x14ac:dyDescent="0.2">
      <c r="B159" s="136" t="s">
        <v>339</v>
      </c>
      <c r="C159" s="136"/>
      <c r="D159" s="136"/>
      <c r="E159" s="136"/>
      <c r="F159" s="128">
        <f>+SUM(F155:F158)</f>
        <v>0</v>
      </c>
      <c r="G159" s="128">
        <f t="shared" ref="G159:Z159" si="98">+SUM(G155:G158)</f>
        <v>0</v>
      </c>
      <c r="H159" s="128">
        <f t="shared" si="98"/>
        <v>0</v>
      </c>
      <c r="I159" s="128">
        <f t="shared" ca="1" si="98"/>
        <v>24672690.320007652</v>
      </c>
      <c r="J159" s="128">
        <f t="shared" si="98"/>
        <v>0</v>
      </c>
      <c r="K159" s="128">
        <f t="shared" si="98"/>
        <v>0</v>
      </c>
      <c r="L159" s="128">
        <f t="shared" si="98"/>
        <v>0</v>
      </c>
      <c r="M159" s="128">
        <f t="shared" si="98"/>
        <v>0</v>
      </c>
      <c r="N159" s="128">
        <f t="shared" ca="1" si="98"/>
        <v>97341957.944030404</v>
      </c>
      <c r="O159" s="128">
        <f t="shared" si="98"/>
        <v>0</v>
      </c>
      <c r="P159" s="128">
        <f t="shared" si="98"/>
        <v>0</v>
      </c>
      <c r="Q159" s="128">
        <f t="shared" si="98"/>
        <v>0</v>
      </c>
      <c r="R159" s="128">
        <f t="shared" si="98"/>
        <v>0</v>
      </c>
      <c r="S159" s="128">
        <f t="shared" si="98"/>
        <v>0</v>
      </c>
      <c r="T159" s="128">
        <f t="shared" si="98"/>
        <v>0</v>
      </c>
      <c r="U159" s="128">
        <f t="shared" si="98"/>
        <v>0</v>
      </c>
      <c r="V159" s="128">
        <f t="shared" si="98"/>
        <v>0</v>
      </c>
      <c r="W159" s="128">
        <f t="shared" si="98"/>
        <v>0</v>
      </c>
      <c r="X159" s="128">
        <f t="shared" si="98"/>
        <v>0</v>
      </c>
      <c r="Y159" s="128">
        <f t="shared" si="98"/>
        <v>0</v>
      </c>
      <c r="Z159" s="128">
        <f t="shared" si="98"/>
        <v>0</v>
      </c>
    </row>
    <row r="160" spans="2:26" x14ac:dyDescent="0.2">
      <c r="B160" s="205" t="s">
        <v>771</v>
      </c>
    </row>
    <row r="162" spans="2:26" x14ac:dyDescent="0.2">
      <c r="B162" s="137" t="s">
        <v>340</v>
      </c>
      <c r="C162" s="137"/>
      <c r="D162" s="137"/>
      <c r="E162" s="137"/>
      <c r="F162" s="138">
        <f ca="1">+IF(YEAR(F$140)&lt;=YEAR('Assumptions and Sensis'!$G$51),'Phase II Pro Forma'!F159+'Phase II Pro Forma'!F152,0)</f>
        <v>0</v>
      </c>
      <c r="G162" s="138">
        <f ca="1">+IF(YEAR(G$140)&lt;=YEAR('Assumptions and Sensis'!$G$51),'Phase II Pro Forma'!G159+'Phase II Pro Forma'!G152,0)</f>
        <v>0</v>
      </c>
      <c r="H162" s="138">
        <f ca="1">+IF(YEAR(H$140)&lt;=YEAR('Assumptions and Sensis'!$G$51),'Phase II Pro Forma'!H159+'Phase II Pro Forma'!H152,0)</f>
        <v>0</v>
      </c>
      <c r="I162" s="138">
        <f ca="1">+IF(YEAR(I$140)&lt;=YEAR('Assumptions and Sensis'!$G$51),'Phase II Pro Forma'!I159+'Phase II Pro Forma'!I152,0)</f>
        <v>20182003.964852575</v>
      </c>
      <c r="J162" s="138">
        <f ca="1">+IF(YEAR(J$140)&lt;=YEAR('Assumptions and Sensis'!$G$51),'Phase II Pro Forma'!J159+'Phase II Pro Forma'!J152,0)</f>
        <v>2079018.9401213564</v>
      </c>
      <c r="K162" s="138">
        <f ca="1">+IF(YEAR(K$140)&lt;=YEAR('Assumptions and Sensis'!$G$51),'Phase II Pro Forma'!K159+'Phase II Pro Forma'!K152,0)</f>
        <v>2280687.092965968</v>
      </c>
      <c r="L162" s="138">
        <f ca="1">+IF(YEAR(L$140)&lt;=YEAR('Assumptions and Sensis'!$G$51),'Phase II Pro Forma'!L159+'Phase II Pro Forma'!L152,0)</f>
        <v>3089830.3860758245</v>
      </c>
      <c r="M162" s="138">
        <f ca="1">+IF(YEAR(M$140)&lt;=YEAR('Assumptions and Sensis'!$G$51),'Phase II Pro Forma'!M159+'Phase II Pro Forma'!M152,0)</f>
        <v>3256834.7175454814</v>
      </c>
      <c r="N162" s="138">
        <f ca="1">+IF(YEAR(N$140)&lt;=YEAR('Assumptions and Sensis'!$G$51),'Phase II Pro Forma'!N159+'Phase II Pro Forma'!N152,0)</f>
        <v>100818193.8707076</v>
      </c>
      <c r="O162" s="138">
        <f>+IF(YEAR(O$140)&lt;=YEAR('Assumptions and Sensis'!$G$51),'Phase II Pro Forma'!O159+'Phase II Pro Forma'!O152,0)</f>
        <v>0</v>
      </c>
      <c r="P162" s="138">
        <f>+IF(YEAR(P$140)&lt;=YEAR('Assumptions and Sensis'!$G$51),'Phase II Pro Forma'!P159+'Phase II Pro Forma'!P152,0)</f>
        <v>0</v>
      </c>
      <c r="Q162" s="138">
        <f>+IF(YEAR(Q$140)&lt;=YEAR('Assumptions and Sensis'!$G$51),'Phase II Pro Forma'!Q159+'Phase II Pro Forma'!Q152,0)</f>
        <v>0</v>
      </c>
      <c r="R162" s="138">
        <f>+IF(YEAR(R$140)&lt;=YEAR('Assumptions and Sensis'!$G$51),'Phase II Pro Forma'!R159+'Phase II Pro Forma'!R152,0)</f>
        <v>0</v>
      </c>
      <c r="S162" s="138">
        <f>+IF(YEAR(S$140)&lt;=YEAR('Assumptions and Sensis'!$G$51),'Phase II Pro Forma'!S159+'Phase II Pro Forma'!S152,0)</f>
        <v>0</v>
      </c>
      <c r="T162" s="138">
        <f>+IF(YEAR(T$140)&lt;=YEAR('Assumptions and Sensis'!$G$51),'Phase II Pro Forma'!T159+'Phase II Pro Forma'!T152,0)</f>
        <v>0</v>
      </c>
      <c r="U162" s="138">
        <f>+IF(YEAR(U$140)&lt;=YEAR('Assumptions and Sensis'!$G$51),'Phase II Pro Forma'!U159+'Phase II Pro Forma'!U152,0)</f>
        <v>0</v>
      </c>
      <c r="V162" s="138">
        <f>+IF(YEAR(V$140)&lt;=YEAR('Assumptions and Sensis'!$G$51),'Phase II Pro Forma'!V159+'Phase II Pro Forma'!V152,0)</f>
        <v>0</v>
      </c>
      <c r="W162" s="138">
        <f>+IF(YEAR(W$140)&lt;=YEAR('Assumptions and Sensis'!$G$51),'Phase II Pro Forma'!W159+'Phase II Pro Forma'!W152,0)</f>
        <v>0</v>
      </c>
      <c r="X162" s="138">
        <f>+IF(YEAR(X$140)&lt;=YEAR('Assumptions and Sensis'!$G$51),'Phase II Pro Forma'!X159+'Phase II Pro Forma'!X152,0)</f>
        <v>0</v>
      </c>
      <c r="Y162" s="138">
        <f>+IF(YEAR(Y$140)&lt;=YEAR('Assumptions and Sensis'!$G$51),'Phase II Pro Forma'!Y159+'Phase II Pro Forma'!Y152,0)</f>
        <v>0</v>
      </c>
      <c r="Z162" s="138">
        <f>+IF(YEAR(Z$140)&lt;=YEAR('Assumptions and Sensis'!$G$51),'Phase II Pro Forma'!Z159+'Phase II Pro Forma'!Z152,0)</f>
        <v>0</v>
      </c>
    </row>
    <row r="164" spans="2:26" x14ac:dyDescent="0.2">
      <c r="B164" s="36" t="s">
        <v>768</v>
      </c>
      <c r="C164" s="37"/>
      <c r="D164" s="37"/>
      <c r="E164" s="37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6" spans="2:26" x14ac:dyDescent="0.2">
      <c r="B166" s="147" t="s">
        <v>26</v>
      </c>
      <c r="C166" s="148"/>
      <c r="D166" s="148"/>
      <c r="E166" s="148"/>
      <c r="F166" s="149">
        <f>+'Assumptions and Sensis'!$G$43</f>
        <v>44926</v>
      </c>
      <c r="G166" s="149">
        <f>+EOMONTH(F166,12)</f>
        <v>45291</v>
      </c>
      <c r="H166" s="149">
        <f t="shared" ref="H166:Z166" si="99">+EOMONTH(G166,12)</f>
        <v>45657</v>
      </c>
      <c r="I166" s="149">
        <f t="shared" si="99"/>
        <v>46022</v>
      </c>
      <c r="J166" s="149">
        <f t="shared" si="99"/>
        <v>46387</v>
      </c>
      <c r="K166" s="149">
        <f t="shared" si="99"/>
        <v>46752</v>
      </c>
      <c r="L166" s="149">
        <f t="shared" si="99"/>
        <v>47118</v>
      </c>
      <c r="M166" s="149">
        <f t="shared" si="99"/>
        <v>47483</v>
      </c>
      <c r="N166" s="149">
        <f t="shared" si="99"/>
        <v>47848</v>
      </c>
      <c r="O166" s="149">
        <f t="shared" si="99"/>
        <v>48213</v>
      </c>
      <c r="P166" s="149">
        <f t="shared" si="99"/>
        <v>48579</v>
      </c>
      <c r="Q166" s="149">
        <f t="shared" si="99"/>
        <v>48944</v>
      </c>
      <c r="R166" s="149">
        <f t="shared" si="99"/>
        <v>49309</v>
      </c>
      <c r="S166" s="149">
        <f t="shared" si="99"/>
        <v>49674</v>
      </c>
      <c r="T166" s="149">
        <f t="shared" si="99"/>
        <v>50040</v>
      </c>
      <c r="U166" s="149">
        <f t="shared" si="99"/>
        <v>50405</v>
      </c>
      <c r="V166" s="149">
        <f t="shared" si="99"/>
        <v>50770</v>
      </c>
      <c r="W166" s="149">
        <f t="shared" si="99"/>
        <v>51135</v>
      </c>
      <c r="X166" s="149">
        <f t="shared" si="99"/>
        <v>51501</v>
      </c>
      <c r="Y166" s="149">
        <f t="shared" si="99"/>
        <v>51866</v>
      </c>
      <c r="Z166" s="149">
        <f t="shared" si="99"/>
        <v>52231</v>
      </c>
    </row>
    <row r="167" spans="2:26" x14ac:dyDescent="0.2">
      <c r="B167" s="32" t="s">
        <v>757</v>
      </c>
      <c r="C167" s="32"/>
      <c r="D167" s="39"/>
      <c r="E167" s="39"/>
      <c r="F167" s="41">
        <f>+IF(AND(F166&gt;='Assumptions and Sensis'!$G$47,F166&lt;'Assumptions and Sensis'!$G$49),'Assumptions and Sensis'!$G$122/ROUNDUP(('Assumptions and Sensis'!$G$48/12),0),0)</f>
        <v>0</v>
      </c>
      <c r="G167" s="41">
        <f>+IF(AND(G166&gt;='Assumptions and Sensis'!$G$47,G166&lt;'Assumptions and Sensis'!$G$49),'Assumptions and Sensis'!$G$122/ROUNDUP(('Assumptions and Sensis'!$G$48/12),0),0)</f>
        <v>0</v>
      </c>
      <c r="H167" s="41">
        <f>+IF(AND(H166&gt;='Assumptions and Sensis'!$G$47,H166&lt;'Assumptions and Sensis'!$G$49),'Assumptions and Sensis'!$G$122/ROUNDUP(('Assumptions and Sensis'!$G$48/12),0),0)</f>
        <v>0</v>
      </c>
      <c r="I167" s="41">
        <f>+IF(AND(I166&gt;='Assumptions and Sensis'!$G$47,I166&lt;'Assumptions and Sensis'!$G$49),'Assumptions and Sensis'!$G$122/ROUNDUP(('Assumptions and Sensis'!$G$48/12),0),0)</f>
        <v>115.94133333333335</v>
      </c>
      <c r="J167" s="41">
        <f>+IF(AND(J166&gt;='Assumptions and Sensis'!$G$47,J166&lt;'Assumptions and Sensis'!$G$49),'Assumptions and Sensis'!$G$122/ROUNDUP(('Assumptions and Sensis'!$G$48/12),0),0)</f>
        <v>115.94133333333335</v>
      </c>
      <c r="K167" s="41">
        <f>+IF(AND(K166&gt;='Assumptions and Sensis'!$G$47,K166&lt;'Assumptions and Sensis'!$G$49),'Assumptions and Sensis'!$G$122/ROUNDUP(('Assumptions and Sensis'!$G$48/12),0),0)</f>
        <v>0</v>
      </c>
      <c r="L167" s="41">
        <f>+IF(AND(L166&gt;='Assumptions and Sensis'!$G$47,L166&lt;'Assumptions and Sensis'!$G$49),'Assumptions and Sensis'!$G$122/ROUNDUP(('Assumptions and Sensis'!$G$48/12),0),0)</f>
        <v>0</v>
      </c>
      <c r="M167" s="41">
        <f>+IF(AND(M166&gt;='Assumptions and Sensis'!$G$47,M166&lt;'Assumptions and Sensis'!$G$49),'Assumptions and Sensis'!$G$122/ROUNDUP(('Assumptions and Sensis'!$G$48/12),0),0)</f>
        <v>0</v>
      </c>
      <c r="N167" s="41">
        <f>+IF(AND(N166&gt;='Assumptions and Sensis'!$G$47,N166&lt;'Assumptions and Sensis'!$G$49),'Assumptions and Sensis'!$G$122/ROUNDUP(('Assumptions and Sensis'!$G$48/12),0),0)</f>
        <v>0</v>
      </c>
      <c r="O167" s="41">
        <f>+IF(AND(O166&gt;='Assumptions and Sensis'!$G$47,O166&lt;'Assumptions and Sensis'!$G$49),'Assumptions and Sensis'!$G$122/ROUNDUP(('Assumptions and Sensis'!$G$48/12),0),0)</f>
        <v>0</v>
      </c>
      <c r="P167" s="41">
        <f>+IF(AND(P166&gt;='Assumptions and Sensis'!$G$47,P166&lt;'Assumptions and Sensis'!$G$49),'Assumptions and Sensis'!$G$122/ROUNDUP(('Assumptions and Sensis'!$G$48/12),0),0)</f>
        <v>0</v>
      </c>
      <c r="Q167" s="41">
        <f>+IF(AND(Q166&gt;='Assumptions and Sensis'!$G$47,Q166&lt;'Assumptions and Sensis'!$G$49),'Assumptions and Sensis'!$G$122/ROUNDUP(('Assumptions and Sensis'!$G$48/12),0),0)</f>
        <v>0</v>
      </c>
      <c r="R167" s="41">
        <f>+IF(AND(R166&gt;='Assumptions and Sensis'!$G$47,R166&lt;'Assumptions and Sensis'!$G$49),'Assumptions and Sensis'!$G$122/ROUNDUP(('Assumptions and Sensis'!$G$48/12),0),0)</f>
        <v>0</v>
      </c>
      <c r="S167" s="41">
        <f>+IF(AND(S166&gt;='Assumptions and Sensis'!$G$47,S166&lt;'Assumptions and Sensis'!$G$49),'Assumptions and Sensis'!$G$122/ROUNDUP(('Assumptions and Sensis'!$G$48/12),0),0)</f>
        <v>0</v>
      </c>
      <c r="T167" s="41">
        <f>+IF(AND(T166&gt;='Assumptions and Sensis'!$G$47,T166&lt;'Assumptions and Sensis'!$G$49),'Assumptions and Sensis'!$G$122/ROUNDUP(('Assumptions and Sensis'!$G$48/12),0),0)</f>
        <v>0</v>
      </c>
      <c r="U167" s="41">
        <f>+IF(AND(U166&gt;='Assumptions and Sensis'!$G$47,U166&lt;'Assumptions and Sensis'!$G$49),'Assumptions and Sensis'!$G$122/ROUNDUP(('Assumptions and Sensis'!$G$48/12),0),0)</f>
        <v>0</v>
      </c>
      <c r="V167" s="41">
        <f>+IF(AND(V166&gt;='Assumptions and Sensis'!$G$47,V166&lt;'Assumptions and Sensis'!$G$49),'Assumptions and Sensis'!$G$122/ROUNDUP(('Assumptions and Sensis'!$G$48/12),0),0)</f>
        <v>0</v>
      </c>
      <c r="W167" s="41">
        <f>+IF(AND(W166&gt;='Assumptions and Sensis'!$G$47,W166&lt;'Assumptions and Sensis'!$G$49),'Assumptions and Sensis'!$G$122/ROUNDUP(('Assumptions and Sensis'!$G$48/12),0),0)</f>
        <v>0</v>
      </c>
      <c r="X167" s="41">
        <f>+IF(AND(X166&gt;='Assumptions and Sensis'!$G$47,X166&lt;'Assumptions and Sensis'!$G$49),'Assumptions and Sensis'!$G$122/ROUNDUP(('Assumptions and Sensis'!$G$48/12),0),0)</f>
        <v>0</v>
      </c>
      <c r="Y167" s="41">
        <f>+IF(AND(Y166&gt;='Assumptions and Sensis'!$G$47,Y166&lt;'Assumptions and Sensis'!$G$49),'Assumptions and Sensis'!$G$122/ROUNDUP(('Assumptions and Sensis'!$G$48/12),0),0)</f>
        <v>0</v>
      </c>
      <c r="Z167" s="41">
        <f>+IF(AND(Z166&gt;='Assumptions and Sensis'!$G$47,Z166&lt;'Assumptions and Sensis'!$G$49),'Assumptions and Sensis'!$G$122/ROUNDUP(('Assumptions and Sensis'!$G$48/12),0),0)</f>
        <v>0</v>
      </c>
    </row>
    <row r="168" spans="2:26" x14ac:dyDescent="0.2">
      <c r="B168" s="32" t="s">
        <v>306</v>
      </c>
      <c r="C168" s="32"/>
      <c r="D168" s="39"/>
      <c r="E168" s="39"/>
      <c r="F168" s="41">
        <f>+D168+F167</f>
        <v>0</v>
      </c>
      <c r="G168" s="41">
        <f t="shared" ref="G168:Z168" si="100">+F168+G167</f>
        <v>0</v>
      </c>
      <c r="H168" s="41">
        <f t="shared" si="100"/>
        <v>0</v>
      </c>
      <c r="I168" s="41">
        <f t="shared" si="100"/>
        <v>115.94133333333335</v>
      </c>
      <c r="J168" s="41">
        <f t="shared" si="100"/>
        <v>231.88266666666669</v>
      </c>
      <c r="K168" s="41">
        <f t="shared" si="100"/>
        <v>231.88266666666669</v>
      </c>
      <c r="L168" s="41">
        <f t="shared" si="100"/>
        <v>231.88266666666669</v>
      </c>
      <c r="M168" s="41">
        <f t="shared" si="100"/>
        <v>231.88266666666669</v>
      </c>
      <c r="N168" s="41">
        <f t="shared" si="100"/>
        <v>231.88266666666669</v>
      </c>
      <c r="O168" s="41">
        <f t="shared" si="100"/>
        <v>231.88266666666669</v>
      </c>
      <c r="P168" s="41">
        <f t="shared" si="100"/>
        <v>231.88266666666669</v>
      </c>
      <c r="Q168" s="41">
        <f t="shared" si="100"/>
        <v>231.88266666666669</v>
      </c>
      <c r="R168" s="41">
        <f t="shared" si="100"/>
        <v>231.88266666666669</v>
      </c>
      <c r="S168" s="41">
        <f t="shared" si="100"/>
        <v>231.88266666666669</v>
      </c>
      <c r="T168" s="41">
        <f t="shared" si="100"/>
        <v>231.88266666666669</v>
      </c>
      <c r="U168" s="41">
        <f t="shared" si="100"/>
        <v>231.88266666666669</v>
      </c>
      <c r="V168" s="41">
        <f t="shared" si="100"/>
        <v>231.88266666666669</v>
      </c>
      <c r="W168" s="41">
        <f t="shared" si="100"/>
        <v>231.88266666666669</v>
      </c>
      <c r="X168" s="41">
        <f t="shared" si="100"/>
        <v>231.88266666666669</v>
      </c>
      <c r="Y168" s="41">
        <f t="shared" si="100"/>
        <v>231.88266666666669</v>
      </c>
      <c r="Z168" s="41">
        <f t="shared" si="100"/>
        <v>231.88266666666669</v>
      </c>
    </row>
    <row r="169" spans="2:26" x14ac:dyDescent="0.2">
      <c r="B169" s="32" t="s">
        <v>300</v>
      </c>
      <c r="C169" s="32"/>
      <c r="D169" s="41"/>
      <c r="E169" s="41"/>
      <c r="F169" s="107">
        <f t="shared" ref="F169:J169" si="101">+F168/SUM($F167:$Z167)</f>
        <v>0</v>
      </c>
      <c r="G169" s="107">
        <f t="shared" si="101"/>
        <v>0</v>
      </c>
      <c r="H169" s="107">
        <f t="shared" si="101"/>
        <v>0</v>
      </c>
      <c r="I169" s="107">
        <f t="shared" si="101"/>
        <v>0.5</v>
      </c>
      <c r="J169" s="107">
        <f t="shared" si="101"/>
        <v>1</v>
      </c>
      <c r="K169" s="107">
        <f>+K168/SUM($F167:$Z167)</f>
        <v>1</v>
      </c>
      <c r="L169" s="107">
        <f t="shared" ref="L169:Z169" si="102">+L168/SUM($F167:$Z167)</f>
        <v>1</v>
      </c>
      <c r="M169" s="107">
        <f t="shared" si="102"/>
        <v>1</v>
      </c>
      <c r="N169" s="107">
        <f t="shared" si="102"/>
        <v>1</v>
      </c>
      <c r="O169" s="107">
        <f t="shared" si="102"/>
        <v>1</v>
      </c>
      <c r="P169" s="107">
        <f t="shared" si="102"/>
        <v>1</v>
      </c>
      <c r="Q169" s="107">
        <f t="shared" si="102"/>
        <v>1</v>
      </c>
      <c r="R169" s="107">
        <f t="shared" si="102"/>
        <v>1</v>
      </c>
      <c r="S169" s="107">
        <f t="shared" si="102"/>
        <v>1</v>
      </c>
      <c r="T169" s="107">
        <f t="shared" si="102"/>
        <v>1</v>
      </c>
      <c r="U169" s="107">
        <f t="shared" si="102"/>
        <v>1</v>
      </c>
      <c r="V169" s="107">
        <f t="shared" si="102"/>
        <v>1</v>
      </c>
      <c r="W169" s="107">
        <f t="shared" si="102"/>
        <v>1</v>
      </c>
      <c r="X169" s="107">
        <f t="shared" si="102"/>
        <v>1</v>
      </c>
      <c r="Y169" s="107">
        <f t="shared" si="102"/>
        <v>1</v>
      </c>
      <c r="Z169" s="107">
        <f t="shared" si="102"/>
        <v>1</v>
      </c>
    </row>
    <row r="170" spans="2:26" x14ac:dyDescent="0.2">
      <c r="B170" s="32"/>
      <c r="C170" s="32"/>
      <c r="D170" s="41"/>
      <c r="E170" s="41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2:26" x14ac:dyDescent="0.2">
      <c r="B171" s="32" t="s">
        <v>303</v>
      </c>
      <c r="F171" s="33">
        <f>+IF(F2=1,'Assumptions and Sensis'!$G$147,IF(F2=2,'Assumptions and Sensis'!$G$149,IF(F2&gt;2,'Assumptions and Sensis'!$G$126,0)))</f>
        <v>0</v>
      </c>
      <c r="G171" s="33">
        <f>+IF(G2=1,'Assumptions and Sensis'!$G$147,IF(G2=2,'Assumptions and Sensis'!$G$149,IF(G2&gt;2,'Assumptions and Sensis'!$G$126,0)))</f>
        <v>0</v>
      </c>
      <c r="H171" s="33">
        <f>+IF(H2=1,'Assumptions and Sensis'!$G$147,IF(H2=2,'Assumptions and Sensis'!$G$149,IF(H2&gt;2,'Assumptions and Sensis'!$G$126,0)))</f>
        <v>0</v>
      </c>
      <c r="I171" s="33">
        <f>+IF(I2=1,'Assumptions and Sensis'!$G$147,IF(I2=2,'Assumptions and Sensis'!$G$149,IF(I2&gt;2,'Assumptions and Sensis'!$G$126,0)))</f>
        <v>125</v>
      </c>
      <c r="J171" s="33">
        <f>+IF(J2=1,'Assumptions and Sensis'!$G$147,IF(J2=2,'Assumptions and Sensis'!$G$149,IF(J2&gt;2,'Assumptions and Sensis'!$G$126,0)))</f>
        <v>130</v>
      </c>
      <c r="K171" s="33">
        <f>+IF(K2=1,'Assumptions and Sensis'!$G$147,IF(K2=2,'Assumptions and Sensis'!$G$149,IF(K2&gt;2,'Assumptions and Sensis'!$G$126,0)))</f>
        <v>135</v>
      </c>
      <c r="L171" s="33">
        <f>+IF(L2=1,'Assumptions and Sensis'!$G$147,IF(L2=2,'Assumptions and Sensis'!$G$149,IF(L2&gt;2,'Assumptions and Sensis'!$G$126,0)))</f>
        <v>135</v>
      </c>
      <c r="M171" s="33">
        <f>+IF(M2=1,'Assumptions and Sensis'!$G$147,IF(M2=2,'Assumptions and Sensis'!$G$149,IF(M2&gt;2,'Assumptions and Sensis'!$G$126,0)))</f>
        <v>135</v>
      </c>
      <c r="N171" s="33">
        <f>+IF(N2=1,'Assumptions and Sensis'!$G$147,IF(N2=2,'Assumptions and Sensis'!$G$149,IF(N2&gt;2,'Assumptions and Sensis'!$G$126,0)))</f>
        <v>135</v>
      </c>
      <c r="O171" s="33">
        <f>+IF(O2=1,'Assumptions and Sensis'!$G$147,IF(O2=2,'Assumptions and Sensis'!$G$149,IF(O2&gt;2,'Assumptions and Sensis'!$G$126,0)))</f>
        <v>135</v>
      </c>
      <c r="P171" s="33">
        <f>+IF(P2=1,'Assumptions and Sensis'!$G$147,IF(P2=2,'Assumptions and Sensis'!$G$149,IF(P2&gt;2,'Assumptions and Sensis'!$G$126,0)))</f>
        <v>135</v>
      </c>
      <c r="Q171" s="33">
        <f>+IF(Q2=1,'Assumptions and Sensis'!$G$147,IF(Q2=2,'Assumptions and Sensis'!$G$149,IF(Q2&gt;2,'Assumptions and Sensis'!$G$126,0)))</f>
        <v>135</v>
      </c>
      <c r="R171" s="33">
        <f>+IF(R2=1,'Assumptions and Sensis'!$G$147,IF(R2=2,'Assumptions and Sensis'!$G$149,IF(R2&gt;2,'Assumptions and Sensis'!$G$126,0)))</f>
        <v>135</v>
      </c>
      <c r="S171" s="33">
        <f>+IF(S2=1,'Assumptions and Sensis'!$G$147,IF(S2=2,'Assumptions and Sensis'!$G$149,IF(S2&gt;2,'Assumptions and Sensis'!$G$126,0)))</f>
        <v>135</v>
      </c>
      <c r="T171" s="33">
        <f>+IF(T2=1,'Assumptions and Sensis'!$G$147,IF(T2=2,'Assumptions and Sensis'!$G$149,IF(T2&gt;2,'Assumptions and Sensis'!$G$126,0)))</f>
        <v>135</v>
      </c>
      <c r="U171" s="33">
        <f>+IF(U2=1,'Assumptions and Sensis'!$G$147,IF(U2=2,'Assumptions and Sensis'!$G$149,IF(U2&gt;2,'Assumptions and Sensis'!$G$126,0)))</f>
        <v>135</v>
      </c>
      <c r="V171" s="33">
        <f>+IF(V2=1,'Assumptions and Sensis'!$G$147,IF(V2=2,'Assumptions and Sensis'!$G$149,IF(V2&gt;2,'Assumptions and Sensis'!$G$126,0)))</f>
        <v>135</v>
      </c>
      <c r="W171" s="33">
        <f>+IF(W2=1,'Assumptions and Sensis'!$G$147,IF(W2=2,'Assumptions and Sensis'!$G$149,IF(W2&gt;2,'Assumptions and Sensis'!$G$126,0)))</f>
        <v>135</v>
      </c>
      <c r="X171" s="33">
        <f>+IF(X2=1,'Assumptions and Sensis'!$G$147,IF(X2=2,'Assumptions and Sensis'!$G$149,IF(X2&gt;2,'Assumptions and Sensis'!$G$126,0)))</f>
        <v>135</v>
      </c>
      <c r="Y171" s="33">
        <f>+IF(Y2=1,'Assumptions and Sensis'!$G$147,IF(Y2=2,'Assumptions and Sensis'!$G$149,IF(Y2&gt;2,'Assumptions and Sensis'!$G$126,0)))</f>
        <v>135</v>
      </c>
      <c r="Z171" s="33">
        <f>+IF(Z2=1,'Assumptions and Sensis'!$G$147,IF(Z2=2,'Assumptions and Sensis'!$G$149,IF(Z2&gt;2,'Assumptions and Sensis'!$G$126,0)))</f>
        <v>135</v>
      </c>
    </row>
    <row r="172" spans="2:26" x14ac:dyDescent="0.2">
      <c r="B172" s="32" t="s">
        <v>310</v>
      </c>
      <c r="C172" s="32"/>
      <c r="D172" s="41"/>
      <c r="E172" s="41"/>
      <c r="F172" s="107">
        <v>1</v>
      </c>
      <c r="G172" s="107">
        <f>+F172*(1+'Assumptions and Sensis'!$O$89)</f>
        <v>1.02</v>
      </c>
      <c r="H172" s="107">
        <f>+G172*(1+'Assumptions and Sensis'!$O$89)</f>
        <v>1.0404</v>
      </c>
      <c r="I172" s="107">
        <f>+H172*(1+'Assumptions and Sensis'!$O$89)</f>
        <v>1.0612079999999999</v>
      </c>
      <c r="J172" s="107">
        <f>+I172*(1+'Assumptions and Sensis'!$O$89)</f>
        <v>1.08243216</v>
      </c>
      <c r="K172" s="107">
        <f>+J172*(1+'Assumptions and Sensis'!$O$89)</f>
        <v>1.1040808032</v>
      </c>
      <c r="L172" s="107">
        <f>+K172*(1+'Assumptions and Sensis'!$O$89)</f>
        <v>1.1261624192640001</v>
      </c>
      <c r="M172" s="107">
        <f>+L172*(1+'Assumptions and Sensis'!$O$89)</f>
        <v>1.14868566764928</v>
      </c>
      <c r="N172" s="107">
        <f>+M172*(1+'Assumptions and Sensis'!$O$89)</f>
        <v>1.1716593810022657</v>
      </c>
      <c r="O172" s="107">
        <f>+N172*(1+'Assumptions and Sensis'!$O$89)</f>
        <v>1.1950925686223111</v>
      </c>
      <c r="P172" s="107">
        <f>+O172*(1+'Assumptions and Sensis'!$O$89)</f>
        <v>1.2189944199947573</v>
      </c>
      <c r="Q172" s="107">
        <f>+P172*(1+'Assumptions and Sensis'!$O$89)</f>
        <v>1.2433743083946525</v>
      </c>
      <c r="R172" s="107">
        <f>+Q172*(1+'Assumptions and Sensis'!$O$89)</f>
        <v>1.2682417945625455</v>
      </c>
      <c r="S172" s="107">
        <f>+R172*(1+'Assumptions and Sensis'!$O$89)</f>
        <v>1.2936066304537963</v>
      </c>
      <c r="T172" s="107">
        <f>+S172*(1+'Assumptions and Sensis'!$O$89)</f>
        <v>1.3194787630628724</v>
      </c>
      <c r="U172" s="107">
        <f>+T172*(1+'Assumptions and Sensis'!$O$89)</f>
        <v>1.3458683383241299</v>
      </c>
      <c r="V172" s="107">
        <f>+U172*(1+'Assumptions and Sensis'!$O$89)</f>
        <v>1.3727857050906125</v>
      </c>
      <c r="W172" s="107">
        <f>+V172*(1+'Assumptions and Sensis'!$O$89)</f>
        <v>1.4002414191924248</v>
      </c>
      <c r="X172" s="107">
        <f>+W172*(1+'Assumptions and Sensis'!$O$89)</f>
        <v>1.4282462475762734</v>
      </c>
      <c r="Y172" s="107">
        <f>+X172*(1+'Assumptions and Sensis'!$O$89)</f>
        <v>1.4568111725277988</v>
      </c>
      <c r="Z172" s="107">
        <f>+Y172*(1+'Assumptions and Sensis'!$O$89)</f>
        <v>1.4859473959783549</v>
      </c>
    </row>
    <row r="173" spans="2:26" x14ac:dyDescent="0.2">
      <c r="B173" s="32" t="s">
        <v>304</v>
      </c>
      <c r="C173" s="32"/>
      <c r="D173" s="41"/>
      <c r="E173" s="41"/>
      <c r="F173" s="33">
        <f>+F171*F172</f>
        <v>0</v>
      </c>
      <c r="G173" s="33">
        <f t="shared" ref="G173:Z173" si="103">+G171*G172</f>
        <v>0</v>
      </c>
      <c r="H173" s="33">
        <f t="shared" si="103"/>
        <v>0</v>
      </c>
      <c r="I173" s="33">
        <f t="shared" si="103"/>
        <v>132.65099999999998</v>
      </c>
      <c r="J173" s="33">
        <f t="shared" si="103"/>
        <v>140.71618079999999</v>
      </c>
      <c r="K173" s="33">
        <f t="shared" si="103"/>
        <v>149.050908432</v>
      </c>
      <c r="L173" s="33">
        <f t="shared" si="103"/>
        <v>152.03192660064002</v>
      </c>
      <c r="M173" s="33">
        <f t="shared" si="103"/>
        <v>155.07256513265281</v>
      </c>
      <c r="N173" s="33">
        <f t="shared" si="103"/>
        <v>158.17401643530587</v>
      </c>
      <c r="O173" s="33">
        <f t="shared" si="103"/>
        <v>161.337496764012</v>
      </c>
      <c r="P173" s="33">
        <f t="shared" si="103"/>
        <v>164.56424669929223</v>
      </c>
      <c r="Q173" s="33">
        <f t="shared" si="103"/>
        <v>167.85553163327808</v>
      </c>
      <c r="R173" s="33">
        <f t="shared" si="103"/>
        <v>171.21264226594363</v>
      </c>
      <c r="S173" s="33">
        <f t="shared" si="103"/>
        <v>174.6368951112625</v>
      </c>
      <c r="T173" s="33">
        <f t="shared" si="103"/>
        <v>178.12963301348776</v>
      </c>
      <c r="U173" s="33">
        <f t="shared" si="103"/>
        <v>181.69222567375755</v>
      </c>
      <c r="V173" s="33">
        <f t="shared" si="103"/>
        <v>185.32607018723269</v>
      </c>
      <c r="W173" s="33">
        <f t="shared" si="103"/>
        <v>189.03259159097735</v>
      </c>
      <c r="X173" s="33">
        <f t="shared" si="103"/>
        <v>192.81324342279692</v>
      </c>
      <c r="Y173" s="33">
        <f t="shared" si="103"/>
        <v>196.66950829125284</v>
      </c>
      <c r="Z173" s="33">
        <f t="shared" si="103"/>
        <v>200.60289845707791</v>
      </c>
    </row>
    <row r="174" spans="2:26" x14ac:dyDescent="0.2">
      <c r="B174" s="32"/>
    </row>
    <row r="175" spans="2:26" x14ac:dyDescent="0.2">
      <c r="B175" s="32" t="s">
        <v>153</v>
      </c>
      <c r="F175" s="107">
        <f>+IF(F2=1,'Assumptions and Sensis'!$G$146,IF(F2=2,'Assumptions and Sensis'!$G$148,IF(F2&gt;2,'Assumptions and Sensis'!$G$125,0)))</f>
        <v>0</v>
      </c>
      <c r="G175" s="107">
        <f>+IF(G2=1,'Assumptions and Sensis'!$G$146,IF(G2=2,'Assumptions and Sensis'!$G$148,IF(G2&gt;2,'Assumptions and Sensis'!$G$125,0)))</f>
        <v>0</v>
      </c>
      <c r="H175" s="107">
        <f>+IF(H2=1,'Assumptions and Sensis'!$G$146,IF(H2=2,'Assumptions and Sensis'!$G$148,IF(H2&gt;2,'Assumptions and Sensis'!$G$125,0)))</f>
        <v>0</v>
      </c>
      <c r="I175" s="107">
        <f>+IF(I2=1,'Assumptions and Sensis'!$G$146,IF(I2=2,'Assumptions and Sensis'!$G$148,IF(I2&gt;2,'Assumptions and Sensis'!$G$125,0)))</f>
        <v>0.65</v>
      </c>
      <c r="J175" s="107">
        <f>+IF(J2=1,'Assumptions and Sensis'!$G$146,IF(J2=2,'Assumptions and Sensis'!$G$148,IF(J2&gt;2,'Assumptions and Sensis'!$G$125,0)))</f>
        <v>0.7</v>
      </c>
      <c r="K175" s="107">
        <f>+IF(K2=1,'Assumptions and Sensis'!$G$146,IF(K2=2,'Assumptions and Sensis'!$G$148,IF(K2&gt;2,'Assumptions and Sensis'!$G$125,0)))</f>
        <v>0.7</v>
      </c>
      <c r="L175" s="107">
        <f>+IF(L2=1,'Assumptions and Sensis'!$G$146,IF(L2=2,'Assumptions and Sensis'!$G$148,IF(L2&gt;2,'Assumptions and Sensis'!$G$125,0)))</f>
        <v>0.7</v>
      </c>
      <c r="M175" s="107">
        <f>+IF(M2=1,'Assumptions and Sensis'!$G$146,IF(M2=2,'Assumptions and Sensis'!$G$148,IF(M2&gt;2,'Assumptions and Sensis'!$G$125,0)))</f>
        <v>0.7</v>
      </c>
      <c r="N175" s="107">
        <f>+IF(N2=1,'Assumptions and Sensis'!$G$146,IF(N2=2,'Assumptions and Sensis'!$G$148,IF(N2&gt;2,'Assumptions and Sensis'!$G$125,0)))</f>
        <v>0.7</v>
      </c>
      <c r="O175" s="107">
        <f>+IF(O2=1,'Assumptions and Sensis'!$G$146,IF(O2=2,'Assumptions and Sensis'!$G$148,IF(O2&gt;2,'Assumptions and Sensis'!$G$125,0)))</f>
        <v>0.7</v>
      </c>
      <c r="P175" s="107">
        <f>+IF(P2=1,'Assumptions and Sensis'!$G$146,IF(P2=2,'Assumptions and Sensis'!$G$148,IF(P2&gt;2,'Assumptions and Sensis'!$G$125,0)))</f>
        <v>0.7</v>
      </c>
      <c r="Q175" s="107">
        <f>+IF(Q2=1,'Assumptions and Sensis'!$G$146,IF(Q2=2,'Assumptions and Sensis'!$G$148,IF(Q2&gt;2,'Assumptions and Sensis'!$G$125,0)))</f>
        <v>0.7</v>
      </c>
      <c r="R175" s="107">
        <f>+IF(R2=1,'Assumptions and Sensis'!$G$146,IF(R2=2,'Assumptions and Sensis'!$G$148,IF(R2&gt;2,'Assumptions and Sensis'!$G$125,0)))</f>
        <v>0.7</v>
      </c>
      <c r="S175" s="107">
        <f>+IF(S2=1,'Assumptions and Sensis'!$G$146,IF(S2=2,'Assumptions and Sensis'!$G$148,IF(S2&gt;2,'Assumptions and Sensis'!$G$125,0)))</f>
        <v>0.7</v>
      </c>
      <c r="T175" s="107">
        <f>+IF(T2=1,'Assumptions and Sensis'!$G$146,IF(T2=2,'Assumptions and Sensis'!$G$148,IF(T2&gt;2,'Assumptions and Sensis'!$G$125,0)))</f>
        <v>0.7</v>
      </c>
      <c r="U175" s="107">
        <f>+IF(U2=1,'Assumptions and Sensis'!$G$146,IF(U2=2,'Assumptions and Sensis'!$G$148,IF(U2&gt;2,'Assumptions and Sensis'!$G$125,0)))</f>
        <v>0.7</v>
      </c>
      <c r="V175" s="107">
        <f>+IF(V2=1,'Assumptions and Sensis'!$G$146,IF(V2=2,'Assumptions and Sensis'!$G$148,IF(V2&gt;2,'Assumptions and Sensis'!$G$125,0)))</f>
        <v>0.7</v>
      </c>
      <c r="W175" s="107">
        <f>+IF(W2=1,'Assumptions and Sensis'!$G$146,IF(W2=2,'Assumptions and Sensis'!$G$148,IF(W2&gt;2,'Assumptions and Sensis'!$G$125,0)))</f>
        <v>0.7</v>
      </c>
      <c r="X175" s="107">
        <f>+IF(X2=1,'Assumptions and Sensis'!$G$146,IF(X2=2,'Assumptions and Sensis'!$G$148,IF(X2&gt;2,'Assumptions and Sensis'!$G$125,0)))</f>
        <v>0.7</v>
      </c>
      <c r="Y175" s="107">
        <f>+IF(Y2=1,'Assumptions and Sensis'!$G$146,IF(Y2=2,'Assumptions and Sensis'!$G$148,IF(Y2&gt;2,'Assumptions and Sensis'!$G$125,0)))</f>
        <v>0.7</v>
      </c>
      <c r="Z175" s="107">
        <f>+IF(Z2=1,'Assumptions and Sensis'!$G$146,IF(Z2=2,'Assumptions and Sensis'!$G$148,IF(Z2&gt;2,'Assumptions and Sensis'!$G$125,0)))</f>
        <v>0.7</v>
      </c>
    </row>
    <row r="176" spans="2:26" x14ac:dyDescent="0.2">
      <c r="B176" s="32" t="s">
        <v>152</v>
      </c>
      <c r="F176" s="33">
        <f>+F173*F175</f>
        <v>0</v>
      </c>
      <c r="G176" s="33">
        <f t="shared" ref="G176:Z176" si="104">+G173*G175</f>
        <v>0</v>
      </c>
      <c r="H176" s="33">
        <f t="shared" si="104"/>
        <v>0</v>
      </c>
      <c r="I176" s="33">
        <f t="shared" si="104"/>
        <v>86.22314999999999</v>
      </c>
      <c r="J176" s="33">
        <f t="shared" si="104"/>
        <v>98.501326559999981</v>
      </c>
      <c r="K176" s="33">
        <f t="shared" si="104"/>
        <v>104.3356359024</v>
      </c>
      <c r="L176" s="33">
        <f t="shared" si="104"/>
        <v>106.42234862044801</v>
      </c>
      <c r="M176" s="33">
        <f t="shared" si="104"/>
        <v>108.55079559285696</v>
      </c>
      <c r="N176" s="33">
        <f t="shared" si="104"/>
        <v>110.72181150471411</v>
      </c>
      <c r="O176" s="33">
        <f t="shared" si="104"/>
        <v>112.93624773480839</v>
      </c>
      <c r="P176" s="33">
        <f t="shared" si="104"/>
        <v>115.19497268950455</v>
      </c>
      <c r="Q176" s="33">
        <f t="shared" si="104"/>
        <v>117.49887214329465</v>
      </c>
      <c r="R176" s="33">
        <f t="shared" si="104"/>
        <v>119.84884958616053</v>
      </c>
      <c r="S176" s="33">
        <f t="shared" si="104"/>
        <v>122.24582657788375</v>
      </c>
      <c r="T176" s="33">
        <f t="shared" si="104"/>
        <v>124.69074310944143</v>
      </c>
      <c r="U176" s="33">
        <f t="shared" si="104"/>
        <v>127.18455797163027</v>
      </c>
      <c r="V176" s="33">
        <f t="shared" si="104"/>
        <v>129.72824913106288</v>
      </c>
      <c r="W176" s="33">
        <f t="shared" si="104"/>
        <v>132.32281411368413</v>
      </c>
      <c r="X176" s="33">
        <f t="shared" si="104"/>
        <v>134.96927039595784</v>
      </c>
      <c r="Y176" s="33">
        <f t="shared" si="104"/>
        <v>137.66865580387699</v>
      </c>
      <c r="Z176" s="33">
        <f t="shared" si="104"/>
        <v>140.42202891995453</v>
      </c>
    </row>
    <row r="177" spans="2:26" x14ac:dyDescent="0.2">
      <c r="B177" s="136" t="s">
        <v>302</v>
      </c>
      <c r="C177" s="136"/>
      <c r="D177" s="136"/>
      <c r="E177" s="136"/>
      <c r="F177" s="128">
        <f>+F176*365.25*F168</f>
        <v>0</v>
      </c>
      <c r="G177" s="128">
        <f t="shared" ref="G177:Z177" si="105">+G176*365.25*G168</f>
        <v>0</v>
      </c>
      <c r="H177" s="128">
        <f t="shared" si="105"/>
        <v>0</v>
      </c>
      <c r="I177" s="128">
        <f t="shared" si="105"/>
        <v>3651341.0526918001</v>
      </c>
      <c r="J177" s="128">
        <f t="shared" si="105"/>
        <v>8342584.037190225</v>
      </c>
      <c r="K177" s="128">
        <f t="shared" si="105"/>
        <v>8836721.7070853394</v>
      </c>
      <c r="L177" s="128">
        <f t="shared" si="105"/>
        <v>9013456.141227046</v>
      </c>
      <c r="M177" s="128">
        <f t="shared" si="105"/>
        <v>9193725.2640515864</v>
      </c>
      <c r="N177" s="128">
        <f t="shared" si="105"/>
        <v>9377599.7693326194</v>
      </c>
      <c r="O177" s="128">
        <f t="shared" si="105"/>
        <v>9565151.764719272</v>
      </c>
      <c r="P177" s="128">
        <f t="shared" si="105"/>
        <v>9756454.8000136577</v>
      </c>
      <c r="Q177" s="128">
        <f t="shared" si="105"/>
        <v>9951583.8960139286</v>
      </c>
      <c r="R177" s="128">
        <f t="shared" si="105"/>
        <v>10150615.573934207</v>
      </c>
      <c r="S177" s="128">
        <f t="shared" si="105"/>
        <v>10353627.885412892</v>
      </c>
      <c r="T177" s="128">
        <f t="shared" si="105"/>
        <v>10560700.44312115</v>
      </c>
      <c r="U177" s="128">
        <f t="shared" si="105"/>
        <v>10771914.451983575</v>
      </c>
      <c r="V177" s="128">
        <f t="shared" si="105"/>
        <v>10987352.741023246</v>
      </c>
      <c r="W177" s="128">
        <f t="shared" si="105"/>
        <v>11207099.795843711</v>
      </c>
      <c r="X177" s="128">
        <f t="shared" si="105"/>
        <v>11431241.791760586</v>
      </c>
      <c r="Y177" s="128">
        <f t="shared" si="105"/>
        <v>11659866.627595799</v>
      </c>
      <c r="Z177" s="128">
        <f t="shared" si="105"/>
        <v>11893063.960147714</v>
      </c>
    </row>
    <row r="179" spans="2:26" x14ac:dyDescent="0.2">
      <c r="B179" s="32" t="s">
        <v>308</v>
      </c>
      <c r="F179" s="33">
        <f>+'Assumptions and Sensis'!$G$137*'Phase II Pro Forma'!F172*'Phase II Pro Forma'!F169</f>
        <v>0</v>
      </c>
      <c r="G179" s="33">
        <f>+'Assumptions and Sensis'!$G$137*'Phase II Pro Forma'!G172*'Phase II Pro Forma'!G169</f>
        <v>0</v>
      </c>
      <c r="H179" s="33">
        <f>+'Assumptions and Sensis'!$G$137*'Phase II Pro Forma'!H172*'Phase II Pro Forma'!H169</f>
        <v>0</v>
      </c>
      <c r="I179" s="33">
        <f>+'Assumptions and Sensis'!$G$137*'Phase II Pro Forma'!I172*'Phase II Pro Forma'!I169</f>
        <v>1258092.9849620161</v>
      </c>
      <c r="J179" s="33">
        <f>+'Assumptions and Sensis'!$G$137*'Phase II Pro Forma'!J172*'Phase II Pro Forma'!J169</f>
        <v>2566509.6893225131</v>
      </c>
      <c r="K179" s="33">
        <f>+'Assumptions and Sensis'!$G$137*'Phase II Pro Forma'!K172*'Phase II Pro Forma'!K169</f>
        <v>2617839.8831089633</v>
      </c>
      <c r="L179" s="33">
        <f>+'Assumptions and Sensis'!$G$137*'Phase II Pro Forma'!L172*'Phase II Pro Forma'!L169</f>
        <v>2670196.6807711427</v>
      </c>
      <c r="M179" s="33">
        <f>+'Assumptions and Sensis'!$G$137*'Phase II Pro Forma'!M172*'Phase II Pro Forma'!M169</f>
        <v>2723600.6143865655</v>
      </c>
      <c r="N179" s="33">
        <f>+'Assumptions and Sensis'!$G$137*'Phase II Pro Forma'!N172*'Phase II Pro Forma'!N169</f>
        <v>2778072.6266742968</v>
      </c>
      <c r="O179" s="33">
        <f>+'Assumptions and Sensis'!$G$137*'Phase II Pro Forma'!O172*'Phase II Pro Forma'!O169</f>
        <v>2833634.0792077826</v>
      </c>
      <c r="P179" s="33">
        <f>+'Assumptions and Sensis'!$G$137*'Phase II Pro Forma'!P172*'Phase II Pro Forma'!P169</f>
        <v>2890306.7607919388</v>
      </c>
      <c r="Q179" s="33">
        <f>+'Assumptions and Sensis'!$G$137*'Phase II Pro Forma'!Q172*'Phase II Pro Forma'!Q169</f>
        <v>2948112.8960077772</v>
      </c>
      <c r="R179" s="33">
        <f>+'Assumptions and Sensis'!$G$137*'Phase II Pro Forma'!R172*'Phase II Pro Forma'!R169</f>
        <v>3007075.153927933</v>
      </c>
      <c r="S179" s="33">
        <f>+'Assumptions and Sensis'!$G$137*'Phase II Pro Forma'!S172*'Phase II Pro Forma'!S169</f>
        <v>3067216.6570064914</v>
      </c>
      <c r="T179" s="33">
        <f>+'Assumptions and Sensis'!$G$137*'Phase II Pro Forma'!T172*'Phase II Pro Forma'!T169</f>
        <v>3128560.9901466216</v>
      </c>
      <c r="U179" s="33">
        <f>+'Assumptions and Sensis'!$G$137*'Phase II Pro Forma'!U172*'Phase II Pro Forma'!U169</f>
        <v>3191132.2099495539</v>
      </c>
      <c r="V179" s="33">
        <f>+'Assumptions and Sensis'!$G$137*'Phase II Pro Forma'!V172*'Phase II Pro Forma'!V169</f>
        <v>3254954.8541485453</v>
      </c>
      <c r="W179" s="33">
        <f>+'Assumptions and Sensis'!$G$137*'Phase II Pro Forma'!W172*'Phase II Pro Forma'!W169</f>
        <v>3320053.9512315164</v>
      </c>
      <c r="X179" s="33">
        <f>+'Assumptions and Sensis'!$G$137*'Phase II Pro Forma'!X172*'Phase II Pro Forma'!X169</f>
        <v>3386455.0302561466</v>
      </c>
      <c r="Y179" s="33">
        <f>+'Assumptions and Sensis'!$G$137*'Phase II Pro Forma'!Y172*'Phase II Pro Forma'!Y169</f>
        <v>3454184.1308612693</v>
      </c>
      <c r="Z179" s="33">
        <f>+'Assumptions and Sensis'!$G$137*'Phase II Pro Forma'!Z172*'Phase II Pro Forma'!Z169</f>
        <v>3523267.8134784955</v>
      </c>
    </row>
    <row r="180" spans="2:26" x14ac:dyDescent="0.2">
      <c r="B180" s="136" t="s">
        <v>311</v>
      </c>
      <c r="C180" s="136"/>
      <c r="D180" s="136"/>
      <c r="E180" s="136"/>
      <c r="F180" s="128">
        <f>+F177+F179</f>
        <v>0</v>
      </c>
      <c r="G180" s="128">
        <f t="shared" ref="G180:Z180" si="106">+G177+G179</f>
        <v>0</v>
      </c>
      <c r="H180" s="128">
        <f t="shared" si="106"/>
        <v>0</v>
      </c>
      <c r="I180" s="128">
        <f t="shared" si="106"/>
        <v>4909434.0376538159</v>
      </c>
      <c r="J180" s="128">
        <f t="shared" si="106"/>
        <v>10909093.726512738</v>
      </c>
      <c r="K180" s="128">
        <f t="shared" si="106"/>
        <v>11454561.590194304</v>
      </c>
      <c r="L180" s="128">
        <f t="shared" si="106"/>
        <v>11683652.821998188</v>
      </c>
      <c r="M180" s="128">
        <f t="shared" si="106"/>
        <v>11917325.878438152</v>
      </c>
      <c r="N180" s="128">
        <f t="shared" si="106"/>
        <v>12155672.396006916</v>
      </c>
      <c r="O180" s="128">
        <f t="shared" si="106"/>
        <v>12398785.843927056</v>
      </c>
      <c r="P180" s="128">
        <f t="shared" si="106"/>
        <v>12646761.560805596</v>
      </c>
      <c r="Q180" s="128">
        <f t="shared" si="106"/>
        <v>12899696.792021707</v>
      </c>
      <c r="R180" s="128">
        <f t="shared" si="106"/>
        <v>13157690.72786214</v>
      </c>
      <c r="S180" s="128">
        <f t="shared" si="106"/>
        <v>13420844.542419383</v>
      </c>
      <c r="T180" s="128">
        <f t="shared" si="106"/>
        <v>13689261.433267772</v>
      </c>
      <c r="U180" s="128">
        <f t="shared" si="106"/>
        <v>13963046.661933128</v>
      </c>
      <c r="V180" s="128">
        <f t="shared" si="106"/>
        <v>14242307.595171791</v>
      </c>
      <c r="W180" s="128">
        <f t="shared" si="106"/>
        <v>14527153.747075228</v>
      </c>
      <c r="X180" s="128">
        <f t="shared" si="106"/>
        <v>14817696.822016733</v>
      </c>
      <c r="Y180" s="128">
        <f t="shared" si="106"/>
        <v>15114050.758457068</v>
      </c>
      <c r="Z180" s="128">
        <f t="shared" si="106"/>
        <v>15416331.77362621</v>
      </c>
    </row>
    <row r="181" spans="2:26" x14ac:dyDescent="0.2">
      <c r="B181" s="32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2:26" x14ac:dyDescent="0.2">
      <c r="B182" s="32" t="s">
        <v>309</v>
      </c>
      <c r="F182" s="41">
        <f>+'Assumptions and Sensis'!$G$144*'Phase II Pro Forma'!F172*'Phase II Pro Forma'!F169</f>
        <v>0</v>
      </c>
      <c r="G182" s="41">
        <f>+'Assumptions and Sensis'!$G$144*'Phase II Pro Forma'!G172*'Phase II Pro Forma'!G169</f>
        <v>0</v>
      </c>
      <c r="H182" s="41">
        <f>+'Assumptions and Sensis'!$G$144*'Phase II Pro Forma'!H172*'Phase II Pro Forma'!H169</f>
        <v>0</v>
      </c>
      <c r="I182" s="41">
        <f>+'Assumptions and Sensis'!$G$144*'Phase II Pro Forma'!I172*'Phase II Pro Forma'!I169</f>
        <v>835701.29999999993</v>
      </c>
      <c r="J182" s="41">
        <f>+'Assumptions and Sensis'!$G$144*'Phase II Pro Forma'!J172*'Phase II Pro Forma'!J169</f>
        <v>1704830.652</v>
      </c>
      <c r="K182" s="41">
        <f>+'Assumptions and Sensis'!$G$144*'Phase II Pro Forma'!K172*'Phase II Pro Forma'!K169</f>
        <v>1738927.26504</v>
      </c>
      <c r="L182" s="41">
        <f>+'Assumptions and Sensis'!$G$144*'Phase II Pro Forma'!L172*'Phase II Pro Forma'!L169</f>
        <v>1773705.8103408001</v>
      </c>
      <c r="M182" s="41">
        <f>+'Assumptions and Sensis'!$G$144*'Phase II Pro Forma'!M172*'Phase II Pro Forma'!M169</f>
        <v>1809179.926547616</v>
      </c>
      <c r="N182" s="41">
        <f>+'Assumptions and Sensis'!$G$144*'Phase II Pro Forma'!N172*'Phase II Pro Forma'!N169</f>
        <v>1845363.5250785686</v>
      </c>
      <c r="O182" s="41">
        <f>+'Assumptions and Sensis'!$G$144*'Phase II Pro Forma'!O172*'Phase II Pro Forma'!O169</f>
        <v>1882270.7955801398</v>
      </c>
      <c r="P182" s="41">
        <f>+'Assumptions and Sensis'!$G$144*'Phase II Pro Forma'!P172*'Phase II Pro Forma'!P169</f>
        <v>1919916.2114917429</v>
      </c>
      <c r="Q182" s="41">
        <f>+'Assumptions and Sensis'!$G$144*'Phase II Pro Forma'!Q172*'Phase II Pro Forma'!Q169</f>
        <v>1958314.5357215777</v>
      </c>
      <c r="R182" s="41">
        <f>+'Assumptions and Sensis'!$G$144*'Phase II Pro Forma'!R172*'Phase II Pro Forma'!R169</f>
        <v>1997480.8264360093</v>
      </c>
      <c r="S182" s="41">
        <f>+'Assumptions and Sensis'!$G$144*'Phase II Pro Forma'!S172*'Phase II Pro Forma'!S169</f>
        <v>2037430.4429647292</v>
      </c>
      <c r="T182" s="41">
        <f>+'Assumptions and Sensis'!$G$144*'Phase II Pro Forma'!T172*'Phase II Pro Forma'!T169</f>
        <v>2078179.0518240239</v>
      </c>
      <c r="U182" s="41">
        <f>+'Assumptions and Sensis'!$G$144*'Phase II Pro Forma'!U172*'Phase II Pro Forma'!U169</f>
        <v>2119742.6328605046</v>
      </c>
      <c r="V182" s="41">
        <f>+'Assumptions and Sensis'!$G$144*'Phase II Pro Forma'!V172*'Phase II Pro Forma'!V169</f>
        <v>2162137.4855177146</v>
      </c>
      <c r="W182" s="41">
        <f>+'Assumptions and Sensis'!$G$144*'Phase II Pro Forma'!W172*'Phase II Pro Forma'!W169</f>
        <v>2205380.2352280691</v>
      </c>
      <c r="X182" s="41">
        <f>+'Assumptions and Sensis'!$G$144*'Phase II Pro Forma'!X172*'Phase II Pro Forma'!X169</f>
        <v>2249487.8399326308</v>
      </c>
      <c r="Y182" s="41">
        <f>+'Assumptions and Sensis'!$G$144*'Phase II Pro Forma'!Y172*'Phase II Pro Forma'!Y169</f>
        <v>2294477.5967312832</v>
      </c>
      <c r="Z182" s="41">
        <f>+'Assumptions and Sensis'!$G$144*'Phase II Pro Forma'!Z172*'Phase II Pro Forma'!Z169</f>
        <v>2340367.1486659092</v>
      </c>
    </row>
    <row r="183" spans="2:26" s="156" customFormat="1" x14ac:dyDescent="0.2">
      <c r="B183" s="136" t="s">
        <v>772</v>
      </c>
      <c r="C183" s="136"/>
      <c r="D183" s="136"/>
      <c r="E183" s="136"/>
      <c r="F183" s="128">
        <f>+F180+F182</f>
        <v>0</v>
      </c>
      <c r="G183" s="128">
        <f t="shared" ref="G183:Z183" si="107">+G180+G182</f>
        <v>0</v>
      </c>
      <c r="H183" s="128">
        <f t="shared" si="107"/>
        <v>0</v>
      </c>
      <c r="I183" s="128">
        <f t="shared" si="107"/>
        <v>5745135.3376538157</v>
      </c>
      <c r="J183" s="128">
        <f t="shared" si="107"/>
        <v>12613924.378512738</v>
      </c>
      <c r="K183" s="128">
        <f t="shared" si="107"/>
        <v>13193488.855234303</v>
      </c>
      <c r="L183" s="128">
        <f t="shared" si="107"/>
        <v>13457358.632338988</v>
      </c>
      <c r="M183" s="128">
        <f t="shared" si="107"/>
        <v>13726505.804985769</v>
      </c>
      <c r="N183" s="128">
        <f t="shared" si="107"/>
        <v>14001035.921085484</v>
      </c>
      <c r="O183" s="128">
        <f t="shared" si="107"/>
        <v>14281056.639507195</v>
      </c>
      <c r="P183" s="128">
        <f t="shared" si="107"/>
        <v>14566677.77229734</v>
      </c>
      <c r="Q183" s="128">
        <f t="shared" si="107"/>
        <v>14858011.327743284</v>
      </c>
      <c r="R183" s="128">
        <f t="shared" si="107"/>
        <v>15155171.554298149</v>
      </c>
      <c r="S183" s="128">
        <f t="shared" si="107"/>
        <v>15458274.985384112</v>
      </c>
      <c r="T183" s="128">
        <f t="shared" si="107"/>
        <v>15767440.485091796</v>
      </c>
      <c r="U183" s="128">
        <f t="shared" si="107"/>
        <v>16082789.294793632</v>
      </c>
      <c r="V183" s="128">
        <f t="shared" si="107"/>
        <v>16404445.080689505</v>
      </c>
      <c r="W183" s="128">
        <f t="shared" si="107"/>
        <v>16732533.982303297</v>
      </c>
      <c r="X183" s="128">
        <f t="shared" si="107"/>
        <v>17067184.661949363</v>
      </c>
      <c r="Y183" s="128">
        <f t="shared" si="107"/>
        <v>17408528.355188351</v>
      </c>
      <c r="Z183" s="128">
        <f t="shared" si="107"/>
        <v>17756698.922292121</v>
      </c>
    </row>
    <row r="185" spans="2:26" x14ac:dyDescent="0.2">
      <c r="B185" s="154" t="s">
        <v>144</v>
      </c>
    </row>
    <row r="186" spans="2:26" x14ac:dyDescent="0.2">
      <c r="B186" s="63" t="s">
        <v>280</v>
      </c>
      <c r="D186" s="114">
        <f>+'Assumptions and Sensis'!M125</f>
        <v>0.25</v>
      </c>
      <c r="E186" s="114"/>
      <c r="F186" s="33">
        <f>F$177*$D186</f>
        <v>0</v>
      </c>
      <c r="G186" s="33">
        <f t="shared" ref="G186:Z186" si="108">G$177*$D186</f>
        <v>0</v>
      </c>
      <c r="H186" s="33">
        <f t="shared" si="108"/>
        <v>0</v>
      </c>
      <c r="I186" s="33">
        <f t="shared" si="108"/>
        <v>912835.26317295001</v>
      </c>
      <c r="J186" s="33">
        <f t="shared" si="108"/>
        <v>2085646.0092975562</v>
      </c>
      <c r="K186" s="33">
        <f t="shared" si="108"/>
        <v>2209180.4267713348</v>
      </c>
      <c r="L186" s="33">
        <f t="shared" si="108"/>
        <v>2253364.0353067615</v>
      </c>
      <c r="M186" s="33">
        <f t="shared" si="108"/>
        <v>2298431.3160128966</v>
      </c>
      <c r="N186" s="33">
        <f t="shared" si="108"/>
        <v>2344399.9423331548</v>
      </c>
      <c r="O186" s="33">
        <f t="shared" si="108"/>
        <v>2391287.941179818</v>
      </c>
      <c r="P186" s="33">
        <f t="shared" si="108"/>
        <v>2439113.7000034144</v>
      </c>
      <c r="Q186" s="33">
        <f t="shared" si="108"/>
        <v>2487895.9740034821</v>
      </c>
      <c r="R186" s="33">
        <f t="shared" si="108"/>
        <v>2537653.8934835517</v>
      </c>
      <c r="S186" s="33">
        <f t="shared" si="108"/>
        <v>2588406.9713532231</v>
      </c>
      <c r="T186" s="33">
        <f t="shared" si="108"/>
        <v>2640175.1107802875</v>
      </c>
      <c r="U186" s="33">
        <f t="shared" si="108"/>
        <v>2692978.6129958937</v>
      </c>
      <c r="V186" s="33">
        <f t="shared" si="108"/>
        <v>2746838.1852558115</v>
      </c>
      <c r="W186" s="33">
        <f t="shared" si="108"/>
        <v>2801774.9489609278</v>
      </c>
      <c r="X186" s="33">
        <f t="shared" si="108"/>
        <v>2857810.4479401466</v>
      </c>
      <c r="Y186" s="33">
        <f t="shared" si="108"/>
        <v>2914966.6568989498</v>
      </c>
      <c r="Z186" s="33">
        <f t="shared" si="108"/>
        <v>2973265.9900369286</v>
      </c>
    </row>
    <row r="187" spans="2:26" x14ac:dyDescent="0.2">
      <c r="B187" s="63" t="s">
        <v>307</v>
      </c>
      <c r="D187" s="114">
        <f>+'Assumptions and Sensis'!M126</f>
        <v>0.7</v>
      </c>
      <c r="E187" s="114"/>
      <c r="F187" s="41">
        <f>F$179*$D187</f>
        <v>0</v>
      </c>
      <c r="G187" s="41">
        <f t="shared" ref="G187:Z187" si="109">G$179*$D187</f>
        <v>0</v>
      </c>
      <c r="H187" s="41">
        <f t="shared" si="109"/>
        <v>0</v>
      </c>
      <c r="I187" s="41">
        <f t="shared" si="109"/>
        <v>880665.08947341121</v>
      </c>
      <c r="J187" s="41">
        <f t="shared" si="109"/>
        <v>1796556.782525759</v>
      </c>
      <c r="K187" s="41">
        <f t="shared" si="109"/>
        <v>1832487.9181762743</v>
      </c>
      <c r="L187" s="41">
        <f t="shared" si="109"/>
        <v>1869137.6765397997</v>
      </c>
      <c r="M187" s="41">
        <f t="shared" si="109"/>
        <v>1906520.4300705958</v>
      </c>
      <c r="N187" s="41">
        <f t="shared" si="109"/>
        <v>1944650.8386720077</v>
      </c>
      <c r="O187" s="41">
        <f t="shared" si="109"/>
        <v>1983543.8554454476</v>
      </c>
      <c r="P187" s="41">
        <f t="shared" si="109"/>
        <v>2023214.732554357</v>
      </c>
      <c r="Q187" s="41">
        <f t="shared" si="109"/>
        <v>2063679.0272054439</v>
      </c>
      <c r="R187" s="41">
        <f t="shared" si="109"/>
        <v>2104952.6077495529</v>
      </c>
      <c r="S187" s="41">
        <f t="shared" si="109"/>
        <v>2147051.6599045438</v>
      </c>
      <c r="T187" s="41">
        <f t="shared" si="109"/>
        <v>2189992.693102635</v>
      </c>
      <c r="U187" s="41">
        <f t="shared" si="109"/>
        <v>2233792.5469646878</v>
      </c>
      <c r="V187" s="41">
        <f t="shared" si="109"/>
        <v>2278468.3979039816</v>
      </c>
      <c r="W187" s="41">
        <f t="shared" si="109"/>
        <v>2324037.7658620612</v>
      </c>
      <c r="X187" s="41">
        <f t="shared" si="109"/>
        <v>2370518.5211793026</v>
      </c>
      <c r="Y187" s="41">
        <f t="shared" si="109"/>
        <v>2417928.8916028882</v>
      </c>
      <c r="Z187" s="41">
        <f t="shared" si="109"/>
        <v>2466287.4694349468</v>
      </c>
    </row>
    <row r="188" spans="2:26" x14ac:dyDescent="0.2">
      <c r="B188" s="154" t="s">
        <v>281</v>
      </c>
    </row>
    <row r="189" spans="2:26" x14ac:dyDescent="0.2">
      <c r="B189" s="63" t="s">
        <v>282</v>
      </c>
      <c r="D189" s="114">
        <f>+'Assumptions and Sensis'!M128</f>
        <v>0.08</v>
      </c>
      <c r="E189" s="114"/>
      <c r="F189" s="41">
        <f>F$180*$D189</f>
        <v>0</v>
      </c>
      <c r="G189" s="41">
        <f t="shared" ref="G189:V197" si="110">G$180*$D189</f>
        <v>0</v>
      </c>
      <c r="H189" s="41">
        <f t="shared" si="110"/>
        <v>0</v>
      </c>
      <c r="I189" s="41">
        <f t="shared" si="110"/>
        <v>392754.72301230527</v>
      </c>
      <c r="J189" s="41">
        <f t="shared" si="110"/>
        <v>872727.49812101899</v>
      </c>
      <c r="K189" s="41">
        <f t="shared" si="110"/>
        <v>916364.92721554427</v>
      </c>
      <c r="L189" s="41">
        <f t="shared" si="110"/>
        <v>934692.22575985512</v>
      </c>
      <c r="M189" s="41">
        <f t="shared" si="110"/>
        <v>953386.07027505222</v>
      </c>
      <c r="N189" s="41">
        <f t="shared" si="110"/>
        <v>972453.79168055323</v>
      </c>
      <c r="O189" s="41">
        <f t="shared" si="110"/>
        <v>991902.86751416442</v>
      </c>
      <c r="P189" s="41">
        <f t="shared" si="110"/>
        <v>1011740.9248644478</v>
      </c>
      <c r="Q189" s="41">
        <f t="shared" si="110"/>
        <v>1031975.7433617365</v>
      </c>
      <c r="R189" s="41">
        <f t="shared" si="110"/>
        <v>1052615.2582289712</v>
      </c>
      <c r="S189" s="41">
        <f t="shared" si="110"/>
        <v>1073667.5633935507</v>
      </c>
      <c r="T189" s="41">
        <f t="shared" si="110"/>
        <v>1095140.9146614219</v>
      </c>
      <c r="U189" s="41">
        <f t="shared" si="110"/>
        <v>1117043.7329546502</v>
      </c>
      <c r="V189" s="41">
        <f t="shared" si="110"/>
        <v>1139384.6076137433</v>
      </c>
      <c r="W189" s="41">
        <f t="shared" ref="W189:Z197" si="111">W$180*$D189</f>
        <v>1162172.2997660183</v>
      </c>
      <c r="X189" s="41">
        <f t="shared" si="111"/>
        <v>1185415.7457613386</v>
      </c>
      <c r="Y189" s="41">
        <f t="shared" si="111"/>
        <v>1209124.0606765654</v>
      </c>
      <c r="Z189" s="41">
        <f t="shared" si="111"/>
        <v>1233306.5418900969</v>
      </c>
    </row>
    <row r="190" spans="2:26" x14ac:dyDescent="0.2">
      <c r="B190" s="63" t="s">
        <v>283</v>
      </c>
      <c r="D190" s="114">
        <f>+'Assumptions and Sensis'!M129</f>
        <v>0.01</v>
      </c>
      <c r="E190" s="114"/>
      <c r="F190" s="41">
        <f t="shared" ref="F190:F197" si="112">F$180*$D190</f>
        <v>0</v>
      </c>
      <c r="G190" s="41">
        <f t="shared" si="110"/>
        <v>0</v>
      </c>
      <c r="H190" s="41">
        <f t="shared" si="110"/>
        <v>0</v>
      </c>
      <c r="I190" s="41">
        <f t="shared" si="110"/>
        <v>49094.340376538159</v>
      </c>
      <c r="J190" s="41">
        <f t="shared" si="110"/>
        <v>109090.93726512737</v>
      </c>
      <c r="K190" s="41">
        <f t="shared" si="110"/>
        <v>114545.61590194303</v>
      </c>
      <c r="L190" s="41">
        <f t="shared" si="110"/>
        <v>116836.52821998189</v>
      </c>
      <c r="M190" s="41">
        <f t="shared" si="110"/>
        <v>119173.25878438153</v>
      </c>
      <c r="N190" s="41">
        <f t="shared" si="110"/>
        <v>121556.72396006915</v>
      </c>
      <c r="O190" s="41">
        <f t="shared" si="110"/>
        <v>123987.85843927055</v>
      </c>
      <c r="P190" s="41">
        <f t="shared" si="110"/>
        <v>126467.61560805597</v>
      </c>
      <c r="Q190" s="41">
        <f t="shared" si="110"/>
        <v>128996.96792021707</v>
      </c>
      <c r="R190" s="41">
        <f t="shared" si="110"/>
        <v>131576.90727862139</v>
      </c>
      <c r="S190" s="41">
        <f t="shared" si="110"/>
        <v>134208.44542419384</v>
      </c>
      <c r="T190" s="41">
        <f t="shared" si="110"/>
        <v>136892.61433267774</v>
      </c>
      <c r="U190" s="41">
        <f t="shared" si="110"/>
        <v>139630.46661933127</v>
      </c>
      <c r="V190" s="41">
        <f t="shared" si="110"/>
        <v>142423.07595171791</v>
      </c>
      <c r="W190" s="41">
        <f t="shared" si="111"/>
        <v>145271.53747075229</v>
      </c>
      <c r="X190" s="41">
        <f t="shared" si="111"/>
        <v>148176.96822016733</v>
      </c>
      <c r="Y190" s="41">
        <f t="shared" si="111"/>
        <v>151140.50758457067</v>
      </c>
      <c r="Z190" s="41">
        <f t="shared" si="111"/>
        <v>154163.31773626211</v>
      </c>
    </row>
    <row r="191" spans="2:26" x14ac:dyDescent="0.2">
      <c r="B191" s="63" t="s">
        <v>73</v>
      </c>
      <c r="D191" s="114">
        <f>+'Assumptions and Sensis'!M130</f>
        <v>6.5000000000000002E-2</v>
      </c>
      <c r="E191" s="114"/>
      <c r="F191" s="41">
        <f t="shared" si="112"/>
        <v>0</v>
      </c>
      <c r="G191" s="41">
        <f t="shared" si="110"/>
        <v>0</v>
      </c>
      <c r="H191" s="41">
        <f t="shared" si="110"/>
        <v>0</v>
      </c>
      <c r="I191" s="41">
        <f t="shared" si="110"/>
        <v>319113.21244749805</v>
      </c>
      <c r="J191" s="41">
        <f t="shared" si="110"/>
        <v>709091.09222332796</v>
      </c>
      <c r="K191" s="41">
        <f t="shared" si="110"/>
        <v>744546.5033626298</v>
      </c>
      <c r="L191" s="41">
        <f t="shared" si="110"/>
        <v>759437.43342988228</v>
      </c>
      <c r="M191" s="41">
        <f t="shared" si="110"/>
        <v>774626.18209847994</v>
      </c>
      <c r="N191" s="41">
        <f t="shared" si="110"/>
        <v>790118.7057404496</v>
      </c>
      <c r="O191" s="41">
        <f t="shared" si="110"/>
        <v>805921.07985525869</v>
      </c>
      <c r="P191" s="41">
        <f t="shared" si="110"/>
        <v>822039.50145236379</v>
      </c>
      <c r="Q191" s="41">
        <f t="shared" si="110"/>
        <v>838480.29148141097</v>
      </c>
      <c r="R191" s="41">
        <f t="shared" si="110"/>
        <v>855249.89731103915</v>
      </c>
      <c r="S191" s="41">
        <f t="shared" si="110"/>
        <v>872354.89525725995</v>
      </c>
      <c r="T191" s="41">
        <f t="shared" si="110"/>
        <v>889801.99316240521</v>
      </c>
      <c r="U191" s="41">
        <f t="shared" si="110"/>
        <v>907598.03302565333</v>
      </c>
      <c r="V191" s="41">
        <f t="shared" si="110"/>
        <v>925749.99368616648</v>
      </c>
      <c r="W191" s="41">
        <f t="shared" si="111"/>
        <v>944264.99355988984</v>
      </c>
      <c r="X191" s="41">
        <f t="shared" si="111"/>
        <v>963150.29343108763</v>
      </c>
      <c r="Y191" s="41">
        <f t="shared" si="111"/>
        <v>982413.2992997095</v>
      </c>
      <c r="Z191" s="41">
        <f t="shared" si="111"/>
        <v>1002061.5652857037</v>
      </c>
    </row>
    <row r="192" spans="2:26" x14ac:dyDescent="0.2">
      <c r="B192" s="63" t="s">
        <v>284</v>
      </c>
      <c r="D192" s="114">
        <f>+'Assumptions and Sensis'!M131</f>
        <v>0.02</v>
      </c>
      <c r="E192" s="114"/>
      <c r="F192" s="41">
        <f t="shared" si="112"/>
        <v>0</v>
      </c>
      <c r="G192" s="41">
        <f t="shared" si="110"/>
        <v>0</v>
      </c>
      <c r="H192" s="41">
        <f t="shared" si="110"/>
        <v>0</v>
      </c>
      <c r="I192" s="41">
        <f t="shared" si="110"/>
        <v>98188.680753076318</v>
      </c>
      <c r="J192" s="41">
        <f t="shared" si="110"/>
        <v>218181.87453025475</v>
      </c>
      <c r="K192" s="41">
        <f t="shared" si="110"/>
        <v>229091.23180388607</v>
      </c>
      <c r="L192" s="41">
        <f t="shared" si="110"/>
        <v>233673.05643996378</v>
      </c>
      <c r="M192" s="41">
        <f t="shared" si="110"/>
        <v>238346.51756876305</v>
      </c>
      <c r="N192" s="41">
        <f t="shared" si="110"/>
        <v>243113.44792013831</v>
      </c>
      <c r="O192" s="41">
        <f t="shared" si="110"/>
        <v>247975.7168785411</v>
      </c>
      <c r="P192" s="41">
        <f t="shared" si="110"/>
        <v>252935.23121611195</v>
      </c>
      <c r="Q192" s="41">
        <f t="shared" si="110"/>
        <v>257993.93584043413</v>
      </c>
      <c r="R192" s="41">
        <f t="shared" si="110"/>
        <v>263153.81455724279</v>
      </c>
      <c r="S192" s="41">
        <f t="shared" si="110"/>
        <v>268416.89084838767</v>
      </c>
      <c r="T192" s="41">
        <f t="shared" si="110"/>
        <v>273785.22866535548</v>
      </c>
      <c r="U192" s="41">
        <f t="shared" si="110"/>
        <v>279260.93323866255</v>
      </c>
      <c r="V192" s="41">
        <f t="shared" si="110"/>
        <v>284846.15190343582</v>
      </c>
      <c r="W192" s="41">
        <f t="shared" si="111"/>
        <v>290543.07494150457</v>
      </c>
      <c r="X192" s="41">
        <f t="shared" si="111"/>
        <v>296353.93644033466</v>
      </c>
      <c r="Y192" s="41">
        <f t="shared" si="111"/>
        <v>302281.01516914135</v>
      </c>
      <c r="Z192" s="41">
        <f t="shared" si="111"/>
        <v>308326.63547252421</v>
      </c>
    </row>
    <row r="193" spans="2:26" x14ac:dyDescent="0.2">
      <c r="B193" s="63" t="s">
        <v>285</v>
      </c>
      <c r="D193" s="114">
        <f>+'Assumptions and Sensis'!M132</f>
        <v>0.03</v>
      </c>
      <c r="E193" s="114"/>
      <c r="F193" s="41">
        <f t="shared" si="112"/>
        <v>0</v>
      </c>
      <c r="G193" s="41">
        <f t="shared" si="110"/>
        <v>0</v>
      </c>
      <c r="H193" s="41">
        <f t="shared" si="110"/>
        <v>0</v>
      </c>
      <c r="I193" s="41">
        <f t="shared" si="110"/>
        <v>147283.02112961447</v>
      </c>
      <c r="J193" s="41">
        <f t="shared" si="110"/>
        <v>327272.81179538212</v>
      </c>
      <c r="K193" s="41">
        <f t="shared" si="110"/>
        <v>343636.84770582907</v>
      </c>
      <c r="L193" s="41">
        <f t="shared" si="110"/>
        <v>350509.58465994563</v>
      </c>
      <c r="M193" s="41">
        <f t="shared" si="110"/>
        <v>357519.77635314455</v>
      </c>
      <c r="N193" s="41">
        <f t="shared" si="110"/>
        <v>364670.17188020743</v>
      </c>
      <c r="O193" s="41">
        <f t="shared" si="110"/>
        <v>371963.57531781163</v>
      </c>
      <c r="P193" s="41">
        <f t="shared" si="110"/>
        <v>379402.84682416788</v>
      </c>
      <c r="Q193" s="41">
        <f t="shared" si="110"/>
        <v>386990.90376065118</v>
      </c>
      <c r="R193" s="41">
        <f t="shared" si="110"/>
        <v>394730.72183586418</v>
      </c>
      <c r="S193" s="41">
        <f t="shared" si="110"/>
        <v>402625.33627258148</v>
      </c>
      <c r="T193" s="41">
        <f t="shared" si="110"/>
        <v>410677.84299803316</v>
      </c>
      <c r="U193" s="41">
        <f t="shared" si="110"/>
        <v>418891.39985799382</v>
      </c>
      <c r="V193" s="41">
        <f t="shared" si="110"/>
        <v>427269.22785515367</v>
      </c>
      <c r="W193" s="41">
        <f t="shared" si="111"/>
        <v>435814.61241225683</v>
      </c>
      <c r="X193" s="41">
        <f t="shared" si="111"/>
        <v>444530.90466050198</v>
      </c>
      <c r="Y193" s="41">
        <f t="shared" si="111"/>
        <v>453421.52275371202</v>
      </c>
      <c r="Z193" s="41">
        <f t="shared" si="111"/>
        <v>462489.95320878626</v>
      </c>
    </row>
    <row r="194" spans="2:26" x14ac:dyDescent="0.2">
      <c r="B194" s="63" t="s">
        <v>286</v>
      </c>
      <c r="D194" s="114">
        <f>+'Assumptions and Sensis'!M133</f>
        <v>0.04</v>
      </c>
      <c r="E194" s="114"/>
      <c r="F194" s="41">
        <f t="shared" si="112"/>
        <v>0</v>
      </c>
      <c r="G194" s="41">
        <f t="shared" si="110"/>
        <v>0</v>
      </c>
      <c r="H194" s="41">
        <f t="shared" si="110"/>
        <v>0</v>
      </c>
      <c r="I194" s="41">
        <f t="shared" si="110"/>
        <v>196377.36150615264</v>
      </c>
      <c r="J194" s="41">
        <f t="shared" si="110"/>
        <v>436363.74906050949</v>
      </c>
      <c r="K194" s="41">
        <f t="shared" si="110"/>
        <v>458182.46360777214</v>
      </c>
      <c r="L194" s="41">
        <f t="shared" si="110"/>
        <v>467346.11287992756</v>
      </c>
      <c r="M194" s="41">
        <f t="shared" si="110"/>
        <v>476693.03513752611</v>
      </c>
      <c r="N194" s="41">
        <f t="shared" si="110"/>
        <v>486226.89584027661</v>
      </c>
      <c r="O194" s="41">
        <f t="shared" si="110"/>
        <v>495951.43375708221</v>
      </c>
      <c r="P194" s="41">
        <f t="shared" si="110"/>
        <v>505870.4624322239</v>
      </c>
      <c r="Q194" s="41">
        <f t="shared" si="110"/>
        <v>515987.87168086827</v>
      </c>
      <c r="R194" s="41">
        <f t="shared" si="110"/>
        <v>526307.62911448558</v>
      </c>
      <c r="S194" s="41">
        <f t="shared" si="110"/>
        <v>536833.78169677535</v>
      </c>
      <c r="T194" s="41">
        <f t="shared" si="110"/>
        <v>547570.45733071095</v>
      </c>
      <c r="U194" s="41">
        <f t="shared" si="110"/>
        <v>558521.86647732509</v>
      </c>
      <c r="V194" s="41">
        <f t="shared" si="110"/>
        <v>569692.30380687164</v>
      </c>
      <c r="W194" s="41">
        <f t="shared" si="111"/>
        <v>581086.14988300914</v>
      </c>
      <c r="X194" s="41">
        <f t="shared" si="111"/>
        <v>592707.87288066931</v>
      </c>
      <c r="Y194" s="41">
        <f t="shared" si="111"/>
        <v>604562.0303382827</v>
      </c>
      <c r="Z194" s="41">
        <f t="shared" si="111"/>
        <v>616653.27094504843</v>
      </c>
    </row>
    <row r="195" spans="2:26" x14ac:dyDescent="0.2">
      <c r="B195" s="63" t="s">
        <v>59</v>
      </c>
      <c r="D195" s="114">
        <f>+'Assumptions and Sensis'!M134</f>
        <v>0.01</v>
      </c>
      <c r="E195" s="114"/>
      <c r="F195" s="41">
        <f t="shared" si="112"/>
        <v>0</v>
      </c>
      <c r="G195" s="41">
        <f t="shared" si="110"/>
        <v>0</v>
      </c>
      <c r="H195" s="41">
        <f t="shared" si="110"/>
        <v>0</v>
      </c>
      <c r="I195" s="41">
        <f t="shared" si="110"/>
        <v>49094.340376538159</v>
      </c>
      <c r="J195" s="41">
        <f t="shared" si="110"/>
        <v>109090.93726512737</v>
      </c>
      <c r="K195" s="41">
        <f t="shared" si="110"/>
        <v>114545.61590194303</v>
      </c>
      <c r="L195" s="41">
        <f t="shared" si="110"/>
        <v>116836.52821998189</v>
      </c>
      <c r="M195" s="41">
        <f t="shared" si="110"/>
        <v>119173.25878438153</v>
      </c>
      <c r="N195" s="41">
        <f t="shared" si="110"/>
        <v>121556.72396006915</v>
      </c>
      <c r="O195" s="41">
        <f t="shared" si="110"/>
        <v>123987.85843927055</v>
      </c>
      <c r="P195" s="41">
        <f t="shared" si="110"/>
        <v>126467.61560805597</v>
      </c>
      <c r="Q195" s="41">
        <f t="shared" si="110"/>
        <v>128996.96792021707</v>
      </c>
      <c r="R195" s="41">
        <f t="shared" si="110"/>
        <v>131576.90727862139</v>
      </c>
      <c r="S195" s="41">
        <f t="shared" si="110"/>
        <v>134208.44542419384</v>
      </c>
      <c r="T195" s="41">
        <f t="shared" si="110"/>
        <v>136892.61433267774</v>
      </c>
      <c r="U195" s="41">
        <f t="shared" si="110"/>
        <v>139630.46661933127</v>
      </c>
      <c r="V195" s="41">
        <f t="shared" si="110"/>
        <v>142423.07595171791</v>
      </c>
      <c r="W195" s="41">
        <f t="shared" si="111"/>
        <v>145271.53747075229</v>
      </c>
      <c r="X195" s="41">
        <f t="shared" si="111"/>
        <v>148176.96822016733</v>
      </c>
      <c r="Y195" s="41">
        <f t="shared" si="111"/>
        <v>151140.50758457067</v>
      </c>
      <c r="Z195" s="41">
        <f t="shared" si="111"/>
        <v>154163.31773626211</v>
      </c>
    </row>
    <row r="196" spans="2:26" x14ac:dyDescent="0.2">
      <c r="B196" s="168" t="s">
        <v>325</v>
      </c>
      <c r="D196" s="115">
        <f ca="1">+SUM(F196:Z196)/SUM(F180:Z180)</f>
        <v>0.10181266670955759</v>
      </c>
      <c r="E196" s="115"/>
      <c r="F196" s="150">
        <f ca="1">+IFERROR(INDEX('Taxes and TIF'!$AC$11:$AC$45,MATCH('Phase II Pro Forma'!F$7,'Taxes and TIF'!$R$11:$R$45,0)),0)*'Loan Sizing'!$K$38*F169</f>
        <v>0</v>
      </c>
      <c r="G196" s="150">
        <f ca="1">+IFERROR(INDEX('Taxes and TIF'!$AC$11:$AC$45,MATCH('Phase II Pro Forma'!G$7,'Taxes and TIF'!$R$11:$R$45,0)),0)*'Loan Sizing'!$K$38*G169</f>
        <v>0</v>
      </c>
      <c r="H196" s="150">
        <f ca="1">+IFERROR(INDEX('Taxes and TIF'!$AC$11:$AC$45,MATCH('Phase II Pro Forma'!H$7,'Taxes and TIF'!$R$11:$R$45,0)),0)*'Loan Sizing'!$K$38*H169</f>
        <v>0</v>
      </c>
      <c r="I196" s="150">
        <f ca="1">+IFERROR(INDEX('Taxes and TIF'!$AC$11:$AC$45,MATCH('Phase II Pro Forma'!I$7,'Taxes and TIF'!$R$11:$R$45,0)),0)*'Loan Sizing'!$K$38*I169</f>
        <v>625057.93444194726</v>
      </c>
      <c r="J196" s="150">
        <f ca="1">+IFERROR(INDEX('Taxes and TIF'!$AC$11:$AC$45,MATCH('Phase II Pro Forma'!J$7,'Taxes and TIF'!$R$11:$R$45,0)),0)*'Loan Sizing'!$K$38*J169</f>
        <v>1275118.1862615722</v>
      </c>
      <c r="K196" s="150">
        <f ca="1">+IFERROR(INDEX('Taxes and TIF'!$AC$11:$AC$45,MATCH('Phase II Pro Forma'!K$7,'Taxes and TIF'!$R$11:$R$45,0)),0)*'Loan Sizing'!$K$38*K169</f>
        <v>1275118.1862615722</v>
      </c>
      <c r="L196" s="150">
        <f ca="1">+IFERROR(INDEX('Taxes and TIF'!$AC$11:$AC$45,MATCH('Phase II Pro Forma'!L$7,'Taxes and TIF'!$R$11:$R$45,0)),0)*'Loan Sizing'!$K$38*L169</f>
        <v>1275118.1862615722</v>
      </c>
      <c r="M196" s="150">
        <f ca="1">+IFERROR(INDEX('Taxes and TIF'!$AC$11:$AC$45,MATCH('Phase II Pro Forma'!M$7,'Taxes and TIF'!$R$11:$R$45,0)),0)*'Loan Sizing'!$K$38*M169</f>
        <v>1300620.5499868039</v>
      </c>
      <c r="N196" s="150">
        <f ca="1">+IFERROR(INDEX('Taxes and TIF'!$AC$11:$AC$45,MATCH('Phase II Pro Forma'!N$7,'Taxes and TIF'!$R$11:$R$45,0)),0)*'Loan Sizing'!$K$38*N169</f>
        <v>1300620.5499868039</v>
      </c>
      <c r="O196" s="150">
        <f ca="1">+IFERROR(INDEX('Taxes and TIF'!$AC$11:$AC$45,MATCH('Phase II Pro Forma'!O$7,'Taxes and TIF'!$R$11:$R$45,0)),0)*'Loan Sizing'!$K$38*O169</f>
        <v>1300620.5499868039</v>
      </c>
      <c r="P196" s="150">
        <f ca="1">+IFERROR(INDEX('Taxes and TIF'!$AC$11:$AC$45,MATCH('Phase II Pro Forma'!P$7,'Taxes and TIF'!$R$11:$R$45,0)),0)*'Loan Sizing'!$K$38*P169</f>
        <v>1326632.9609865397</v>
      </c>
      <c r="Q196" s="150">
        <f ca="1">+IFERROR(INDEX('Taxes and TIF'!$AC$11:$AC$45,MATCH('Phase II Pro Forma'!Q$7,'Taxes and TIF'!$R$11:$R$45,0)),0)*'Loan Sizing'!$K$38*Q169</f>
        <v>1326632.9609865397</v>
      </c>
      <c r="R196" s="150">
        <f ca="1">+IFERROR(INDEX('Taxes and TIF'!$AC$11:$AC$45,MATCH('Phase II Pro Forma'!R$7,'Taxes and TIF'!$R$11:$R$45,0)),0)*'Loan Sizing'!$K$38*R169</f>
        <v>1326632.9609865397</v>
      </c>
      <c r="S196" s="150">
        <f ca="1">+IFERROR(INDEX('Taxes and TIF'!$AC$11:$AC$45,MATCH('Phase II Pro Forma'!S$7,'Taxes and TIF'!$R$11:$R$45,0)),0)*'Loan Sizing'!$K$38*S169</f>
        <v>1353165.6202062706</v>
      </c>
      <c r="T196" s="150">
        <f ca="1">+IFERROR(INDEX('Taxes and TIF'!$AC$11:$AC$45,MATCH('Phase II Pro Forma'!T$7,'Taxes and TIF'!$R$11:$R$45,0)),0)*'Loan Sizing'!$K$38*T169</f>
        <v>1353165.6202062706</v>
      </c>
      <c r="U196" s="150">
        <f ca="1">+IFERROR(INDEX('Taxes and TIF'!$AC$11:$AC$45,MATCH('Phase II Pro Forma'!U$7,'Taxes and TIF'!$R$11:$R$45,0)),0)*'Loan Sizing'!$K$38*U169</f>
        <v>1353165.6202062706</v>
      </c>
      <c r="V196" s="150">
        <f ca="1">+IFERROR(INDEX('Taxes and TIF'!$AC$11:$AC$45,MATCH('Phase II Pro Forma'!V$7,'Taxes and TIF'!$R$11:$R$45,0)),0)*'Loan Sizing'!$K$38*V169</f>
        <v>1380228.9326103963</v>
      </c>
      <c r="W196" s="150">
        <f ca="1">+IFERROR(INDEX('Taxes and TIF'!$AC$11:$AC$45,MATCH('Phase II Pro Forma'!W$7,'Taxes and TIF'!$R$11:$R$45,0)),0)*'Loan Sizing'!$K$38*W169</f>
        <v>1380228.9326103963</v>
      </c>
      <c r="X196" s="150">
        <f ca="1">+IFERROR(INDEX('Taxes and TIF'!$AC$11:$AC$45,MATCH('Phase II Pro Forma'!X$7,'Taxes and TIF'!$R$11:$R$45,0)),0)*'Loan Sizing'!$K$38*X169</f>
        <v>1380228.9326103963</v>
      </c>
      <c r="Y196" s="150">
        <f ca="1">+IFERROR(INDEX('Taxes and TIF'!$AC$11:$AC$45,MATCH('Phase II Pro Forma'!Y$7,'Taxes and TIF'!$R$11:$R$45,0)),0)*'Loan Sizing'!$K$38*Y169</f>
        <v>1407833.5112626043</v>
      </c>
      <c r="Z196" s="150">
        <f ca="1">+IFERROR(INDEX('Taxes and TIF'!$AC$11:$AC$45,MATCH('Phase II Pro Forma'!Z$7,'Taxes and TIF'!$R$11:$R$45,0)),0)*'Loan Sizing'!$K$38*Z169</f>
        <v>1407833.5112626043</v>
      </c>
    </row>
    <row r="197" spans="2:26" x14ac:dyDescent="0.2">
      <c r="B197" s="63" t="s">
        <v>287</v>
      </c>
      <c r="D197" s="114">
        <f>+'Assumptions and Sensis'!M135</f>
        <v>3.5000000000000003E-2</v>
      </c>
      <c r="E197" s="114"/>
      <c r="F197" s="41">
        <f t="shared" si="112"/>
        <v>0</v>
      </c>
      <c r="G197" s="41">
        <f t="shared" si="110"/>
        <v>0</v>
      </c>
      <c r="H197" s="41">
        <f t="shared" si="110"/>
        <v>0</v>
      </c>
      <c r="I197" s="41">
        <f t="shared" si="110"/>
        <v>171830.19131788358</v>
      </c>
      <c r="J197" s="41">
        <f t="shared" si="110"/>
        <v>381818.28042794584</v>
      </c>
      <c r="K197" s="41">
        <f t="shared" si="110"/>
        <v>400909.65565680066</v>
      </c>
      <c r="L197" s="41">
        <f t="shared" si="110"/>
        <v>408927.84876993665</v>
      </c>
      <c r="M197" s="41">
        <f t="shared" si="110"/>
        <v>417106.40574533539</v>
      </c>
      <c r="N197" s="41">
        <f t="shared" si="110"/>
        <v>425448.53386024211</v>
      </c>
      <c r="O197" s="41">
        <f t="shared" si="110"/>
        <v>433957.50453744701</v>
      </c>
      <c r="P197" s="41">
        <f t="shared" si="110"/>
        <v>442636.65462819592</v>
      </c>
      <c r="Q197" s="41">
        <f t="shared" si="110"/>
        <v>451489.38772075978</v>
      </c>
      <c r="R197" s="41">
        <f t="shared" si="110"/>
        <v>460519.17547517497</v>
      </c>
      <c r="S197" s="41">
        <f t="shared" si="110"/>
        <v>469729.55898467847</v>
      </c>
      <c r="T197" s="41">
        <f t="shared" si="110"/>
        <v>479124.15016437205</v>
      </c>
      <c r="U197" s="41">
        <f t="shared" si="110"/>
        <v>488706.63316765951</v>
      </c>
      <c r="V197" s="41">
        <f t="shared" si="110"/>
        <v>498480.76583101274</v>
      </c>
      <c r="W197" s="41">
        <f t="shared" si="111"/>
        <v>508450.38114763302</v>
      </c>
      <c r="X197" s="41">
        <f t="shared" si="111"/>
        <v>518619.38877058571</v>
      </c>
      <c r="Y197" s="41">
        <f t="shared" si="111"/>
        <v>528991.77654599748</v>
      </c>
      <c r="Z197" s="41">
        <f t="shared" si="111"/>
        <v>539571.61207691743</v>
      </c>
    </row>
    <row r="198" spans="2:26" x14ac:dyDescent="0.2">
      <c r="B198" s="155" t="s">
        <v>180</v>
      </c>
    </row>
    <row r="199" spans="2:26" x14ac:dyDescent="0.2">
      <c r="B199" s="63" t="s">
        <v>9</v>
      </c>
      <c r="D199" s="114">
        <f>+'Assumptions and Sensis'!M139</f>
        <v>0.4</v>
      </c>
      <c r="E199" s="114"/>
      <c r="F199" s="41">
        <f t="shared" ref="F199:Z199" si="113">F$182*$D199</f>
        <v>0</v>
      </c>
      <c r="G199" s="41">
        <f t="shared" si="113"/>
        <v>0</v>
      </c>
      <c r="H199" s="41">
        <f t="shared" si="113"/>
        <v>0</v>
      </c>
      <c r="I199" s="41">
        <f t="shared" si="113"/>
        <v>334280.52</v>
      </c>
      <c r="J199" s="41">
        <f t="shared" si="113"/>
        <v>681932.26080000005</v>
      </c>
      <c r="K199" s="41">
        <f t="shared" si="113"/>
        <v>695570.90601600008</v>
      </c>
      <c r="L199" s="41">
        <f t="shared" si="113"/>
        <v>709482.32413632004</v>
      </c>
      <c r="M199" s="41">
        <f t="shared" si="113"/>
        <v>723671.97061904648</v>
      </c>
      <c r="N199" s="41">
        <f t="shared" si="113"/>
        <v>738145.41003142751</v>
      </c>
      <c r="O199" s="41">
        <f t="shared" si="113"/>
        <v>752908.31823205599</v>
      </c>
      <c r="P199" s="41">
        <f t="shared" si="113"/>
        <v>767966.48459669715</v>
      </c>
      <c r="Q199" s="41">
        <f t="shared" si="113"/>
        <v>783325.81428863108</v>
      </c>
      <c r="R199" s="41">
        <f t="shared" si="113"/>
        <v>798992.33057440375</v>
      </c>
      <c r="S199" s="41">
        <f t="shared" si="113"/>
        <v>814972.17718589166</v>
      </c>
      <c r="T199" s="41">
        <f t="shared" si="113"/>
        <v>831271.62072960963</v>
      </c>
      <c r="U199" s="41">
        <f t="shared" si="113"/>
        <v>847897.05314420187</v>
      </c>
      <c r="V199" s="41">
        <f t="shared" si="113"/>
        <v>864854.99420708593</v>
      </c>
      <c r="W199" s="41">
        <f t="shared" si="113"/>
        <v>882152.09409122774</v>
      </c>
      <c r="X199" s="41">
        <f t="shared" si="113"/>
        <v>899795.13597305235</v>
      </c>
      <c r="Y199" s="41">
        <f t="shared" si="113"/>
        <v>917791.03869251336</v>
      </c>
      <c r="Z199" s="41">
        <f t="shared" si="113"/>
        <v>936146.85946636368</v>
      </c>
    </row>
    <row r="200" spans="2:26" x14ac:dyDescent="0.2">
      <c r="B200" s="136" t="s">
        <v>313</v>
      </c>
      <c r="C200" s="136"/>
      <c r="D200" s="136"/>
      <c r="E200" s="136"/>
      <c r="F200" s="128">
        <f t="shared" ref="F200:Z200" ca="1" si="114">+SUM(F186:F199)</f>
        <v>0</v>
      </c>
      <c r="G200" s="128">
        <f t="shared" ca="1" si="114"/>
        <v>0</v>
      </c>
      <c r="H200" s="128">
        <f t="shared" ca="1" si="114"/>
        <v>0</v>
      </c>
      <c r="I200" s="128">
        <f t="shared" ca="1" si="114"/>
        <v>4176574.6780079156</v>
      </c>
      <c r="J200" s="128">
        <f t="shared" ca="1" si="114"/>
        <v>9002890.419573579</v>
      </c>
      <c r="K200" s="128">
        <f t="shared" ca="1" si="114"/>
        <v>9334180.2983815297</v>
      </c>
      <c r="L200" s="128">
        <f t="shared" ca="1" si="114"/>
        <v>9495361.5406239275</v>
      </c>
      <c r="M200" s="128">
        <f t="shared" ca="1" si="114"/>
        <v>9685268.7714364063</v>
      </c>
      <c r="N200" s="128">
        <f t="shared" ca="1" si="114"/>
        <v>9852961.7358653974</v>
      </c>
      <c r="O200" s="128">
        <f t="shared" ca="1" si="114"/>
        <v>10024008.559582969</v>
      </c>
      <c r="P200" s="128">
        <f t="shared" ca="1" si="114"/>
        <v>10224488.730774634</v>
      </c>
      <c r="Q200" s="128">
        <f t="shared" ca="1" si="114"/>
        <v>10402445.846170392</v>
      </c>
      <c r="R200" s="128">
        <f t="shared" ca="1" si="114"/>
        <v>10583962.103874069</v>
      </c>
      <c r="S200" s="128">
        <f t="shared" ca="1" si="114"/>
        <v>10795641.34595155</v>
      </c>
      <c r="T200" s="128">
        <f t="shared" ca="1" si="114"/>
        <v>10984490.860466458</v>
      </c>
      <c r="U200" s="128">
        <f t="shared" ca="1" si="114"/>
        <v>11177117.365271661</v>
      </c>
      <c r="V200" s="128">
        <f t="shared" ca="1" si="114"/>
        <v>11400659.712577093</v>
      </c>
      <c r="W200" s="128">
        <f t="shared" ca="1" si="114"/>
        <v>11601068.328176428</v>
      </c>
      <c r="X200" s="128">
        <f t="shared" ca="1" si="114"/>
        <v>11805485.116087751</v>
      </c>
      <c r="Y200" s="128">
        <f t="shared" ca="1" si="114"/>
        <v>12041594.818409504</v>
      </c>
      <c r="Z200" s="128">
        <f t="shared" ca="1" si="114"/>
        <v>12254270.044552445</v>
      </c>
    </row>
    <row r="202" spans="2:26" x14ac:dyDescent="0.2">
      <c r="B202" s="136" t="s">
        <v>312</v>
      </c>
      <c r="C202" s="136"/>
      <c r="D202" s="136"/>
      <c r="E202" s="136"/>
      <c r="F202" s="128">
        <f t="shared" ref="F202:Z202" ca="1" si="115">+F183-F200</f>
        <v>0</v>
      </c>
      <c r="G202" s="128">
        <f t="shared" ca="1" si="115"/>
        <v>0</v>
      </c>
      <c r="H202" s="128">
        <f t="shared" ca="1" si="115"/>
        <v>0</v>
      </c>
      <c r="I202" s="128">
        <f t="shared" ca="1" si="115"/>
        <v>1568560.6596459001</v>
      </c>
      <c r="J202" s="128">
        <f t="shared" ca="1" si="115"/>
        <v>3611033.9589391593</v>
      </c>
      <c r="K202" s="128">
        <f t="shared" ca="1" si="115"/>
        <v>3859308.5568527728</v>
      </c>
      <c r="L202" s="128">
        <f t="shared" ca="1" si="115"/>
        <v>3961997.0917150602</v>
      </c>
      <c r="M202" s="128">
        <f t="shared" ca="1" si="115"/>
        <v>4041237.0335493628</v>
      </c>
      <c r="N202" s="128">
        <f t="shared" ca="1" si="115"/>
        <v>4148074.1852200869</v>
      </c>
      <c r="O202" s="128">
        <f t="shared" ca="1" si="115"/>
        <v>4257048.0799242258</v>
      </c>
      <c r="P202" s="128">
        <f t="shared" ca="1" si="115"/>
        <v>4342189.0415227059</v>
      </c>
      <c r="Q202" s="128">
        <f t="shared" ca="1" si="115"/>
        <v>4455565.4815728925</v>
      </c>
      <c r="R202" s="128">
        <f t="shared" ca="1" si="115"/>
        <v>4571209.4504240807</v>
      </c>
      <c r="S202" s="128">
        <f t="shared" ca="1" si="115"/>
        <v>4662633.6394325625</v>
      </c>
      <c r="T202" s="128">
        <f t="shared" ca="1" si="115"/>
        <v>4782949.6246253382</v>
      </c>
      <c r="U202" s="128">
        <f t="shared" ca="1" si="115"/>
        <v>4905671.9295219705</v>
      </c>
      <c r="V202" s="128">
        <f t="shared" ca="1" si="115"/>
        <v>5003785.3681124114</v>
      </c>
      <c r="W202" s="128">
        <f t="shared" ca="1" si="115"/>
        <v>5131465.6541268695</v>
      </c>
      <c r="X202" s="128">
        <f t="shared" ca="1" si="115"/>
        <v>5261699.5458616111</v>
      </c>
      <c r="Y202" s="128">
        <f t="shared" ca="1" si="115"/>
        <v>5366933.5367788468</v>
      </c>
      <c r="Z202" s="128">
        <f t="shared" ca="1" si="115"/>
        <v>5502428.8777396753</v>
      </c>
    </row>
    <row r="204" spans="2:26" x14ac:dyDescent="0.2">
      <c r="B204" s="155" t="s">
        <v>83</v>
      </c>
    </row>
    <row r="205" spans="2:26" x14ac:dyDescent="0.2">
      <c r="B205" s="63" t="s">
        <v>288</v>
      </c>
      <c r="D205" s="114">
        <f>+'Assumptions and Sensis'!M137</f>
        <v>0.03</v>
      </c>
      <c r="E205" s="114"/>
      <c r="F205" s="41">
        <f t="shared" ref="F205:Z205" si="116">F$180*$D205</f>
        <v>0</v>
      </c>
      <c r="G205" s="41">
        <f t="shared" si="116"/>
        <v>0</v>
      </c>
      <c r="H205" s="41">
        <f t="shared" si="116"/>
        <v>0</v>
      </c>
      <c r="I205" s="41">
        <f t="shared" si="116"/>
        <v>147283.02112961447</v>
      </c>
      <c r="J205" s="41">
        <f t="shared" si="116"/>
        <v>327272.81179538212</v>
      </c>
      <c r="K205" s="41">
        <f t="shared" si="116"/>
        <v>343636.84770582907</v>
      </c>
      <c r="L205" s="41">
        <f t="shared" si="116"/>
        <v>350509.58465994563</v>
      </c>
      <c r="M205" s="41">
        <f t="shared" si="116"/>
        <v>357519.77635314455</v>
      </c>
      <c r="N205" s="41">
        <f t="shared" si="116"/>
        <v>364670.17188020743</v>
      </c>
      <c r="O205" s="41">
        <f t="shared" si="116"/>
        <v>371963.57531781163</v>
      </c>
      <c r="P205" s="41">
        <f t="shared" si="116"/>
        <v>379402.84682416788</v>
      </c>
      <c r="Q205" s="41">
        <f t="shared" si="116"/>
        <v>386990.90376065118</v>
      </c>
      <c r="R205" s="41">
        <f t="shared" si="116"/>
        <v>394730.72183586418</v>
      </c>
      <c r="S205" s="41">
        <f t="shared" si="116"/>
        <v>402625.33627258148</v>
      </c>
      <c r="T205" s="41">
        <f t="shared" si="116"/>
        <v>410677.84299803316</v>
      </c>
      <c r="U205" s="41">
        <f t="shared" si="116"/>
        <v>418891.39985799382</v>
      </c>
      <c r="V205" s="41">
        <f t="shared" si="116"/>
        <v>427269.22785515367</v>
      </c>
      <c r="W205" s="41">
        <f t="shared" si="116"/>
        <v>435814.61241225683</v>
      </c>
      <c r="X205" s="41">
        <f t="shared" si="116"/>
        <v>444530.90466050198</v>
      </c>
      <c r="Y205" s="41">
        <f t="shared" si="116"/>
        <v>453421.52275371202</v>
      </c>
      <c r="Z205" s="41">
        <f t="shared" si="116"/>
        <v>462489.95320878626</v>
      </c>
    </row>
    <row r="206" spans="2:26" x14ac:dyDescent="0.2">
      <c r="B206" s="137" t="s">
        <v>314</v>
      </c>
      <c r="C206" s="137"/>
      <c r="D206" s="137"/>
      <c r="E206" s="137"/>
      <c r="F206" s="138">
        <f ca="1">+F202-F205</f>
        <v>0</v>
      </c>
      <c r="G206" s="138">
        <f t="shared" ref="G206:Z206" ca="1" si="117">+G202-G205</f>
        <v>0</v>
      </c>
      <c r="H206" s="138">
        <f t="shared" ca="1" si="117"/>
        <v>0</v>
      </c>
      <c r="I206" s="138">
        <f t="shared" ca="1" si="117"/>
        <v>1421277.6385162857</v>
      </c>
      <c r="J206" s="138">
        <f t="shared" ca="1" si="117"/>
        <v>3283761.147143777</v>
      </c>
      <c r="K206" s="138">
        <f t="shared" ca="1" si="117"/>
        <v>3515671.7091469439</v>
      </c>
      <c r="L206" s="138">
        <f t="shared" ca="1" si="117"/>
        <v>3611487.5070551145</v>
      </c>
      <c r="M206" s="138">
        <f t="shared" ca="1" si="117"/>
        <v>3683717.2571962182</v>
      </c>
      <c r="N206" s="138">
        <f t="shared" ca="1" si="117"/>
        <v>3783404.0133398795</v>
      </c>
      <c r="O206" s="138">
        <f t="shared" ca="1" si="117"/>
        <v>3885084.5046064141</v>
      </c>
      <c r="P206" s="138">
        <f t="shared" ca="1" si="117"/>
        <v>3962786.1946985382</v>
      </c>
      <c r="Q206" s="138">
        <f t="shared" ca="1" si="117"/>
        <v>4068574.5778122414</v>
      </c>
      <c r="R206" s="138">
        <f t="shared" ca="1" si="117"/>
        <v>4176478.7285882165</v>
      </c>
      <c r="S206" s="138">
        <f t="shared" ca="1" si="117"/>
        <v>4260008.303159981</v>
      </c>
      <c r="T206" s="138">
        <f t="shared" ca="1" si="117"/>
        <v>4372271.7816273049</v>
      </c>
      <c r="U206" s="138">
        <f t="shared" ca="1" si="117"/>
        <v>4486780.5296639763</v>
      </c>
      <c r="V206" s="138">
        <f t="shared" ca="1" si="117"/>
        <v>4576516.140257258</v>
      </c>
      <c r="W206" s="138">
        <f t="shared" ca="1" si="117"/>
        <v>4695651.0417146124</v>
      </c>
      <c r="X206" s="138">
        <f t="shared" ca="1" si="117"/>
        <v>4817168.6412011087</v>
      </c>
      <c r="Y206" s="138">
        <f t="shared" ca="1" si="117"/>
        <v>4913512.014025135</v>
      </c>
      <c r="Z206" s="138">
        <f t="shared" ca="1" si="117"/>
        <v>5039938.9245308889</v>
      </c>
    </row>
    <row r="207" spans="2:26" x14ac:dyDescent="0.2">
      <c r="B207" s="142" t="s">
        <v>254</v>
      </c>
      <c r="C207" s="140"/>
      <c r="D207" s="140"/>
      <c r="E207" s="140"/>
      <c r="F207" s="143" t="str">
        <f t="shared" ref="F207:Z207" ca="1" si="118">+IFERROR(F206/F183,"")</f>
        <v/>
      </c>
      <c r="G207" s="143" t="str">
        <f t="shared" ca="1" si="118"/>
        <v/>
      </c>
      <c r="H207" s="143" t="str">
        <f t="shared" ca="1" si="118"/>
        <v/>
      </c>
      <c r="I207" s="143">
        <f t="shared" ca="1" si="118"/>
        <v>0.24738801698911822</v>
      </c>
      <c r="J207" s="143">
        <f t="shared" ca="1" si="118"/>
        <v>0.26032827283613008</v>
      </c>
      <c r="K207" s="143">
        <f t="shared" ca="1" si="118"/>
        <v>0.26647020721529302</v>
      </c>
      <c r="L207" s="143">
        <f t="shared" ca="1" si="118"/>
        <v>0.2683652569365621</v>
      </c>
      <c r="M207" s="143">
        <f t="shared" ca="1" si="118"/>
        <v>0.26836525693656216</v>
      </c>
      <c r="N207" s="143">
        <f t="shared" ca="1" si="118"/>
        <v>0.27022314882015935</v>
      </c>
      <c r="O207" s="143">
        <f t="shared" ca="1" si="118"/>
        <v>0.27204461145113695</v>
      </c>
      <c r="P207" s="143">
        <f t="shared" ca="1" si="118"/>
        <v>0.27204461145113662</v>
      </c>
      <c r="Q207" s="143">
        <f t="shared" ca="1" si="118"/>
        <v>0.27383035912856574</v>
      </c>
      <c r="R207" s="143">
        <f t="shared" ca="1" si="118"/>
        <v>0.27558109214565291</v>
      </c>
      <c r="S207" s="143">
        <f t="shared" ca="1" si="118"/>
        <v>0.27558109214565296</v>
      </c>
      <c r="T207" s="143">
        <f t="shared" ca="1" si="118"/>
        <v>0.27729749706436579</v>
      </c>
      <c r="U207" s="143">
        <f t="shared" ca="1" si="118"/>
        <v>0.27898024698467261</v>
      </c>
      <c r="V207" s="143">
        <f t="shared" ca="1" si="118"/>
        <v>0.27898024698467278</v>
      </c>
      <c r="W207" s="143">
        <f t="shared" ca="1" si="118"/>
        <v>0.280630001808503</v>
      </c>
      <c r="X207" s="143">
        <f t="shared" ca="1" si="118"/>
        <v>0.28224740849853241</v>
      </c>
      <c r="Y207" s="143">
        <f t="shared" ca="1" si="118"/>
        <v>0.28224740849853264</v>
      </c>
      <c r="Z207" s="143">
        <f t="shared" ca="1" si="118"/>
        <v>0.28383310133189493</v>
      </c>
    </row>
    <row r="208" spans="2:26" x14ac:dyDescent="0.2">
      <c r="B208" s="142" t="s">
        <v>188</v>
      </c>
      <c r="C208" s="140"/>
      <c r="D208" s="140"/>
      <c r="E208" s="140"/>
      <c r="F208" s="141">
        <f ca="1">+F202/'Assumptions and Sensis'!$O$156</f>
        <v>0</v>
      </c>
      <c r="G208" s="141">
        <f ca="1">+G202/'Assumptions and Sensis'!$O$156</f>
        <v>0</v>
      </c>
      <c r="H208" s="141">
        <f ca="1">+H202/'Assumptions and Sensis'!$O$156</f>
        <v>0</v>
      </c>
      <c r="I208" s="141">
        <f ca="1">+I202/'Assumptions and Sensis'!$O$156</f>
        <v>19607008.245573752</v>
      </c>
      <c r="J208" s="141">
        <f ca="1">+J202/'Assumptions and Sensis'!$O$156</f>
        <v>45137924.486739486</v>
      </c>
      <c r="K208" s="141">
        <f ca="1">+K202/'Assumptions and Sensis'!$O$156</f>
        <v>48241356.96065966</v>
      </c>
      <c r="L208" s="141">
        <f ca="1">+L202/'Assumptions and Sensis'!$O$156</f>
        <v>49524963.646438248</v>
      </c>
      <c r="M208" s="141">
        <f ca="1">+M202/'Assumptions and Sensis'!$O$156</f>
        <v>50515462.91936703</v>
      </c>
      <c r="N208" s="141">
        <f ca="1">+N202/'Assumptions and Sensis'!$O$156</f>
        <v>51850927.315251082</v>
      </c>
      <c r="O208" s="141">
        <f ca="1">+O202/'Assumptions and Sensis'!$O$156</f>
        <v>53213100.999052823</v>
      </c>
      <c r="P208" s="141">
        <f ca="1">+P202/'Assumptions and Sensis'!$O$156</f>
        <v>54277363.019033819</v>
      </c>
      <c r="Q208" s="141">
        <f ca="1">+Q202/'Assumptions and Sensis'!$O$156</f>
        <v>55694568.519661158</v>
      </c>
      <c r="R208" s="141">
        <f ca="1">+R202/'Assumptions and Sensis'!$O$156</f>
        <v>57140118.130301006</v>
      </c>
      <c r="S208" s="141">
        <f ca="1">+S202/'Assumptions and Sensis'!$O$156</f>
        <v>58282920.492907032</v>
      </c>
      <c r="T208" s="141">
        <f ca="1">+T202/'Assumptions and Sensis'!$O$156</f>
        <v>59786870.307816729</v>
      </c>
      <c r="U208" s="141">
        <f ca="1">+U202/'Assumptions and Sensis'!$O$156</f>
        <v>61320899.119024627</v>
      </c>
      <c r="V208" s="141">
        <f ca="1">+V202/'Assumptions and Sensis'!$O$156</f>
        <v>62547317.101405144</v>
      </c>
      <c r="W208" s="141">
        <f ca="1">+W202/'Assumptions and Sensis'!$O$156</f>
        <v>64143320.676585868</v>
      </c>
      <c r="X208" s="141">
        <f ca="1">+X202/'Assumptions and Sensis'!$O$156</f>
        <v>65771244.323270135</v>
      </c>
      <c r="Y208" s="141">
        <f ca="1">+Y202/'Assumptions and Sensis'!$O$156</f>
        <v>67086669.20973558</v>
      </c>
      <c r="Z208" s="141">
        <f ca="1">+Z202/'Assumptions and Sensis'!$O$156</f>
        <v>68780360.971745938</v>
      </c>
    </row>
    <row r="210" spans="2:26" x14ac:dyDescent="0.2">
      <c r="B210" s="147" t="s">
        <v>31</v>
      </c>
      <c r="F210" s="149">
        <f>+'Assumptions and Sensis'!$G$43</f>
        <v>44926</v>
      </c>
      <c r="G210" s="149">
        <f>+EOMONTH(F210,12)</f>
        <v>45291</v>
      </c>
      <c r="H210" s="149">
        <f t="shared" ref="H210:Z210" si="119">+EOMONTH(G210,12)</f>
        <v>45657</v>
      </c>
      <c r="I210" s="149">
        <f t="shared" si="119"/>
        <v>46022</v>
      </c>
      <c r="J210" s="149">
        <f t="shared" si="119"/>
        <v>46387</v>
      </c>
      <c r="K210" s="149">
        <f t="shared" si="119"/>
        <v>46752</v>
      </c>
      <c r="L210" s="149">
        <f t="shared" si="119"/>
        <v>47118</v>
      </c>
      <c r="M210" s="149">
        <f t="shared" si="119"/>
        <v>47483</v>
      </c>
      <c r="N210" s="149">
        <f t="shared" si="119"/>
        <v>47848</v>
      </c>
      <c r="O210" s="149">
        <f t="shared" si="119"/>
        <v>48213</v>
      </c>
      <c r="P210" s="149">
        <f t="shared" si="119"/>
        <v>48579</v>
      </c>
      <c r="Q210" s="149">
        <f t="shared" si="119"/>
        <v>48944</v>
      </c>
      <c r="R210" s="149">
        <f t="shared" si="119"/>
        <v>49309</v>
      </c>
      <c r="S210" s="149">
        <f t="shared" si="119"/>
        <v>49674</v>
      </c>
      <c r="T210" s="149">
        <f t="shared" si="119"/>
        <v>50040</v>
      </c>
      <c r="U210" s="149">
        <f t="shared" si="119"/>
        <v>50405</v>
      </c>
      <c r="V210" s="149">
        <f t="shared" si="119"/>
        <v>50770</v>
      </c>
      <c r="W210" s="149">
        <f t="shared" si="119"/>
        <v>51135</v>
      </c>
      <c r="X210" s="149">
        <f t="shared" si="119"/>
        <v>51501</v>
      </c>
      <c r="Y210" s="149">
        <f t="shared" si="119"/>
        <v>51866</v>
      </c>
      <c r="Z210" s="149">
        <f t="shared" si="119"/>
        <v>52231</v>
      </c>
    </row>
    <row r="211" spans="2:26" x14ac:dyDescent="0.2">
      <c r="B211" s="32" t="s">
        <v>331</v>
      </c>
      <c r="F211" s="33">
        <v>0</v>
      </c>
      <c r="G211" s="33">
        <f t="shared" ref="G211:Z211" si="120">+F214</f>
        <v>0</v>
      </c>
      <c r="H211" s="33">
        <f t="shared" si="120"/>
        <v>0</v>
      </c>
      <c r="I211" s="33">
        <f t="shared" si="120"/>
        <v>0</v>
      </c>
      <c r="J211" s="33">
        <f t="shared" ca="1" si="120"/>
        <v>38593085.568527728</v>
      </c>
      <c r="K211" s="33">
        <f t="shared" ca="1" si="120"/>
        <v>38593085.568527728</v>
      </c>
      <c r="L211" s="33">
        <f t="shared" ca="1" si="120"/>
        <v>38593085.568527728</v>
      </c>
      <c r="M211" s="33">
        <f t="shared" ca="1" si="120"/>
        <v>38593085.568527728</v>
      </c>
      <c r="N211" s="33">
        <f t="shared" ca="1" si="120"/>
        <v>38593085.568527728</v>
      </c>
      <c r="O211" s="33">
        <f t="shared" ca="1" si="120"/>
        <v>38593085.568527728</v>
      </c>
      <c r="P211" s="33">
        <f t="shared" ca="1" si="120"/>
        <v>38593085.568527728</v>
      </c>
      <c r="Q211" s="33">
        <f t="shared" ca="1" si="120"/>
        <v>38593085.568527728</v>
      </c>
      <c r="R211" s="33">
        <f t="shared" ca="1" si="120"/>
        <v>38593085.568527728</v>
      </c>
      <c r="S211" s="33">
        <f t="shared" ca="1" si="120"/>
        <v>38593085.568527728</v>
      </c>
      <c r="T211" s="33">
        <f t="shared" ca="1" si="120"/>
        <v>38593085.568527728</v>
      </c>
      <c r="U211" s="33">
        <f t="shared" ca="1" si="120"/>
        <v>38593085.568527728</v>
      </c>
      <c r="V211" s="33">
        <f t="shared" ca="1" si="120"/>
        <v>38593085.568527728</v>
      </c>
      <c r="W211" s="33">
        <f t="shared" ca="1" si="120"/>
        <v>38593085.568527728</v>
      </c>
      <c r="X211" s="33">
        <f t="shared" ca="1" si="120"/>
        <v>38593085.568527728</v>
      </c>
      <c r="Y211" s="33">
        <f t="shared" ca="1" si="120"/>
        <v>38593085.568527728</v>
      </c>
      <c r="Z211" s="33">
        <f t="shared" ca="1" si="120"/>
        <v>38593085.568527728</v>
      </c>
    </row>
    <row r="212" spans="2:26" x14ac:dyDescent="0.2">
      <c r="B212" s="32" t="s">
        <v>342</v>
      </c>
      <c r="F212" s="150">
        <f>+IF(YEAR(F$140)=YEAR('Assumptions and Sensis'!$G$47),'S&amp;U'!$S$18,0)</f>
        <v>0</v>
      </c>
      <c r="G212" s="150">
        <f>+IF(YEAR(G$140)=YEAR('Assumptions and Sensis'!$G$47),'S&amp;U'!$S$18,0)</f>
        <v>0</v>
      </c>
      <c r="H212" s="150">
        <f>+IF(YEAR(H$140)=YEAR('Assumptions and Sensis'!$G$47),'S&amp;U'!$S$18,0)</f>
        <v>0</v>
      </c>
      <c r="I212" s="150">
        <f ca="1">+IF(YEAR(I$140)=YEAR('Assumptions and Sensis'!$G$47),'S&amp;U'!$S$18,0)</f>
        <v>38593085.568527728</v>
      </c>
      <c r="J212" s="150">
        <f>+IF(YEAR(J$140)=YEAR('Assumptions and Sensis'!$G$47),'S&amp;U'!$S$18,0)</f>
        <v>0</v>
      </c>
      <c r="K212" s="150">
        <f>+IF(YEAR(K$140)=YEAR('Assumptions and Sensis'!$G$47),'S&amp;U'!$S$18,0)</f>
        <v>0</v>
      </c>
      <c r="L212" s="150">
        <f>+IF(YEAR(L$140)=YEAR('Assumptions and Sensis'!$G$47),'S&amp;U'!$S$18,0)</f>
        <v>0</v>
      </c>
      <c r="M212" s="150">
        <f>+IF(YEAR(M$140)=YEAR('Assumptions and Sensis'!$G$47),'S&amp;U'!$S$18,0)</f>
        <v>0</v>
      </c>
      <c r="N212" s="150">
        <f>+IF(YEAR(N$140)=YEAR('Assumptions and Sensis'!$G$47),'S&amp;U'!$S$18,0)</f>
        <v>0</v>
      </c>
      <c r="O212" s="150">
        <f>+IF(YEAR(O$140)=YEAR('Assumptions and Sensis'!$G$47),'S&amp;U'!$S$18,0)</f>
        <v>0</v>
      </c>
      <c r="P212" s="150">
        <f>+IF(YEAR(P$140)=YEAR('Assumptions and Sensis'!$G$47),'S&amp;U'!$S$18,0)</f>
        <v>0</v>
      </c>
      <c r="Q212" s="150">
        <f>+IF(YEAR(Q$140)=YEAR('Assumptions and Sensis'!$G$47),'S&amp;U'!$S$18,0)</f>
        <v>0</v>
      </c>
      <c r="R212" s="150">
        <f>+IF(YEAR(R$140)=YEAR('Assumptions and Sensis'!$G$47),'S&amp;U'!$S$18,0)</f>
        <v>0</v>
      </c>
      <c r="S212" s="150">
        <f>+IF(YEAR(S$140)=YEAR('Assumptions and Sensis'!$G$47),'S&amp;U'!$S$18,0)</f>
        <v>0</v>
      </c>
      <c r="T212" s="150">
        <f>+IF(YEAR(T$140)=YEAR('Assumptions and Sensis'!$G$47),'S&amp;U'!$S$18,0)</f>
        <v>0</v>
      </c>
      <c r="U212" s="150">
        <f>+IF(YEAR(U$140)=YEAR('Assumptions and Sensis'!$G$47),'S&amp;U'!$S$18,0)</f>
        <v>0</v>
      </c>
      <c r="V212" s="150">
        <f>+IF(YEAR(V$140)=YEAR('Assumptions and Sensis'!$G$47),'S&amp;U'!$S$18,0)</f>
        <v>0</v>
      </c>
      <c r="W212" s="150">
        <f>+IF(YEAR(W$140)=YEAR('Assumptions and Sensis'!$G$47),'S&amp;U'!$S$18,0)</f>
        <v>0</v>
      </c>
      <c r="X212" s="150">
        <f>+IF(YEAR(X$140)=YEAR('Assumptions and Sensis'!$G$47),'S&amp;U'!$S$18,0)</f>
        <v>0</v>
      </c>
      <c r="Y212" s="150">
        <f>+IF(YEAR(Y$140)=YEAR('Assumptions and Sensis'!$G$47),'S&amp;U'!$S$18,0)</f>
        <v>0</v>
      </c>
      <c r="Z212" s="150">
        <f>+IF(YEAR(Z$140)=YEAR('Assumptions and Sensis'!$G$47),'S&amp;U'!$S$18,0)</f>
        <v>0</v>
      </c>
    </row>
    <row r="213" spans="2:26" x14ac:dyDescent="0.2">
      <c r="B213" s="32" t="s">
        <v>162</v>
      </c>
      <c r="F213" s="150">
        <v>0</v>
      </c>
      <c r="G213" s="150">
        <v>0</v>
      </c>
      <c r="H213" s="150">
        <v>0</v>
      </c>
      <c r="I213" s="150">
        <v>0</v>
      </c>
      <c r="J213" s="150">
        <v>0</v>
      </c>
      <c r="K213" s="150">
        <v>0</v>
      </c>
      <c r="L213" s="150">
        <v>0</v>
      </c>
      <c r="M213" s="150">
        <v>0</v>
      </c>
      <c r="N213" s="150">
        <v>0</v>
      </c>
      <c r="O213" s="150">
        <v>0</v>
      </c>
      <c r="P213" s="150">
        <v>0</v>
      </c>
      <c r="Q213" s="150">
        <v>0</v>
      </c>
      <c r="R213" s="150">
        <v>0</v>
      </c>
      <c r="S213" s="150">
        <v>0</v>
      </c>
      <c r="T213" s="150">
        <v>0</v>
      </c>
      <c r="U213" s="150">
        <v>0</v>
      </c>
      <c r="V213" s="150">
        <v>0</v>
      </c>
      <c r="W213" s="150">
        <v>0</v>
      </c>
      <c r="X213" s="150">
        <v>0</v>
      </c>
      <c r="Y213" s="150">
        <v>0</v>
      </c>
      <c r="Z213" s="150">
        <v>0</v>
      </c>
    </row>
    <row r="214" spans="2:26" x14ac:dyDescent="0.2">
      <c r="B214" s="32" t="s">
        <v>333</v>
      </c>
      <c r="F214" s="150">
        <f t="shared" ref="F214:N214" si="121">+SUM(F211:F213)</f>
        <v>0</v>
      </c>
      <c r="G214" s="150">
        <f t="shared" si="121"/>
        <v>0</v>
      </c>
      <c r="H214" s="150">
        <f t="shared" si="121"/>
        <v>0</v>
      </c>
      <c r="I214" s="150">
        <f t="shared" ca="1" si="121"/>
        <v>38593085.568527728</v>
      </c>
      <c r="J214" s="150">
        <f t="shared" ca="1" si="121"/>
        <v>38593085.568527728</v>
      </c>
      <c r="K214" s="150">
        <f t="shared" ca="1" si="121"/>
        <v>38593085.568527728</v>
      </c>
      <c r="L214" s="150">
        <f t="shared" ca="1" si="121"/>
        <v>38593085.568527728</v>
      </c>
      <c r="M214" s="150">
        <f t="shared" ca="1" si="121"/>
        <v>38593085.568527728</v>
      </c>
      <c r="N214" s="150">
        <f t="shared" ca="1" si="121"/>
        <v>38593085.568527728</v>
      </c>
      <c r="O214" s="150">
        <f t="shared" ref="O214" ca="1" si="122">+SUM(O211:O213)</f>
        <v>38593085.568527728</v>
      </c>
      <c r="P214" s="150">
        <f t="shared" ref="P214:Z214" ca="1" si="123">+SUM(P211:P213)</f>
        <v>38593085.568527728</v>
      </c>
      <c r="Q214" s="150">
        <f t="shared" ca="1" si="123"/>
        <v>38593085.568527728</v>
      </c>
      <c r="R214" s="150">
        <f t="shared" ca="1" si="123"/>
        <v>38593085.568527728</v>
      </c>
      <c r="S214" s="150">
        <f t="shared" ca="1" si="123"/>
        <v>38593085.568527728</v>
      </c>
      <c r="T214" s="150">
        <f t="shared" ca="1" si="123"/>
        <v>38593085.568527728</v>
      </c>
      <c r="U214" s="150">
        <f t="shared" ca="1" si="123"/>
        <v>38593085.568527728</v>
      </c>
      <c r="V214" s="150">
        <f t="shared" ca="1" si="123"/>
        <v>38593085.568527728</v>
      </c>
      <c r="W214" s="150">
        <f t="shared" ca="1" si="123"/>
        <v>38593085.568527728</v>
      </c>
      <c r="X214" s="150">
        <f t="shared" ca="1" si="123"/>
        <v>38593085.568527728</v>
      </c>
      <c r="Y214" s="150">
        <f t="shared" ca="1" si="123"/>
        <v>38593085.568527728</v>
      </c>
      <c r="Z214" s="150">
        <f t="shared" ca="1" si="123"/>
        <v>38593085.568527728</v>
      </c>
    </row>
    <row r="216" spans="2:26" x14ac:dyDescent="0.2">
      <c r="B216" s="40" t="s">
        <v>332</v>
      </c>
      <c r="F216" s="33">
        <f>+F214*'Assumptions and Sensis'!$O$184</f>
        <v>0</v>
      </c>
      <c r="G216" s="33">
        <f>+G214*'Assumptions and Sensis'!$O$184</f>
        <v>0</v>
      </c>
      <c r="H216" s="33">
        <f>+H214*'Assumptions and Sensis'!$O$184</f>
        <v>0</v>
      </c>
      <c r="I216" s="33">
        <f ca="1">+I214*'Assumptions and Sensis'!$O$184</f>
        <v>2315585.1341116638</v>
      </c>
      <c r="J216" s="33">
        <f ca="1">+J214*'Assumptions and Sensis'!$O$184</f>
        <v>2315585.1341116638</v>
      </c>
      <c r="K216" s="33">
        <f ca="1">+K214*'Assumptions and Sensis'!$O$184</f>
        <v>2315585.1341116638</v>
      </c>
      <c r="L216" s="33">
        <f ca="1">+L214*'Assumptions and Sensis'!$O$184</f>
        <v>2315585.1341116638</v>
      </c>
      <c r="M216" s="33">
        <f ca="1">+M214*'Assumptions and Sensis'!$O$184</f>
        <v>2315585.1341116638</v>
      </c>
      <c r="N216" s="33">
        <f ca="1">+N214*'Assumptions and Sensis'!$O$184</f>
        <v>2315585.1341116638</v>
      </c>
      <c r="O216" s="33">
        <f ca="1">+O214*'Assumptions and Sensis'!$O$184</f>
        <v>2315585.1341116638</v>
      </c>
      <c r="P216" s="33">
        <f ca="1">+P214*'Assumptions and Sensis'!$O$184</f>
        <v>2315585.1341116638</v>
      </c>
      <c r="Q216" s="33">
        <f ca="1">+Q214*'Assumptions and Sensis'!$O$184</f>
        <v>2315585.1341116638</v>
      </c>
      <c r="R216" s="33">
        <f ca="1">+R214*'Assumptions and Sensis'!$O$184</f>
        <v>2315585.1341116638</v>
      </c>
      <c r="S216" s="33">
        <f ca="1">+S214*'Assumptions and Sensis'!$O$184</f>
        <v>2315585.1341116638</v>
      </c>
      <c r="T216" s="33">
        <f ca="1">+T214*'Assumptions and Sensis'!$O$184</f>
        <v>2315585.1341116638</v>
      </c>
      <c r="U216" s="33">
        <f ca="1">+U214*'Assumptions and Sensis'!$O$184</f>
        <v>2315585.1341116638</v>
      </c>
      <c r="V216" s="33">
        <f ca="1">+V214*'Assumptions and Sensis'!$O$184</f>
        <v>2315585.1341116638</v>
      </c>
      <c r="W216" s="33">
        <f ca="1">+W214*'Assumptions and Sensis'!$O$184</f>
        <v>2315585.1341116638</v>
      </c>
      <c r="X216" s="33">
        <f ca="1">+X214*'Assumptions and Sensis'!$O$184</f>
        <v>2315585.1341116638</v>
      </c>
      <c r="Y216" s="33">
        <f ca="1">+Y214*'Assumptions and Sensis'!$O$184</f>
        <v>2315585.1341116638</v>
      </c>
      <c r="Z216" s="33">
        <f ca="1">+Z214*'Assumptions and Sensis'!$O$184</f>
        <v>2315585.1341116638</v>
      </c>
    </row>
    <row r="217" spans="2:26" x14ac:dyDescent="0.2">
      <c r="B217" s="136" t="s">
        <v>341</v>
      </c>
      <c r="C217" s="136"/>
      <c r="D217" s="136"/>
      <c r="E217" s="136"/>
      <c r="F217" s="128">
        <f t="shared" ref="F217:K217" si="124">+F216-F213</f>
        <v>0</v>
      </c>
      <c r="G217" s="128">
        <f t="shared" si="124"/>
        <v>0</v>
      </c>
      <c r="H217" s="128">
        <f t="shared" si="124"/>
        <v>0</v>
      </c>
      <c r="I217" s="128">
        <f t="shared" ca="1" si="124"/>
        <v>2315585.1341116638</v>
      </c>
      <c r="J217" s="128">
        <f t="shared" ca="1" si="124"/>
        <v>2315585.1341116638</v>
      </c>
      <c r="K217" s="128">
        <f t="shared" ca="1" si="124"/>
        <v>2315585.1341116638</v>
      </c>
      <c r="L217" s="128">
        <f ca="1">+L216-L213</f>
        <v>2315585.1341116638</v>
      </c>
      <c r="M217" s="128">
        <f t="shared" ref="M217:Z217" ca="1" si="125">+M216-M213</f>
        <v>2315585.1341116638</v>
      </c>
      <c r="N217" s="128">
        <f t="shared" ca="1" si="125"/>
        <v>2315585.1341116638</v>
      </c>
      <c r="O217" s="128">
        <f t="shared" ca="1" si="125"/>
        <v>2315585.1341116638</v>
      </c>
      <c r="P217" s="128">
        <f t="shared" ca="1" si="125"/>
        <v>2315585.1341116638</v>
      </c>
      <c r="Q217" s="128">
        <f t="shared" ca="1" si="125"/>
        <v>2315585.1341116638</v>
      </c>
      <c r="R217" s="128">
        <f t="shared" ca="1" si="125"/>
        <v>2315585.1341116638</v>
      </c>
      <c r="S217" s="128">
        <f t="shared" ca="1" si="125"/>
        <v>2315585.1341116638</v>
      </c>
      <c r="T217" s="128">
        <f t="shared" ca="1" si="125"/>
        <v>2315585.1341116638</v>
      </c>
      <c r="U217" s="128">
        <f t="shared" ca="1" si="125"/>
        <v>2315585.1341116638</v>
      </c>
      <c r="V217" s="128">
        <f t="shared" ca="1" si="125"/>
        <v>2315585.1341116638</v>
      </c>
      <c r="W217" s="128">
        <f t="shared" ca="1" si="125"/>
        <v>2315585.1341116638</v>
      </c>
      <c r="X217" s="128">
        <f t="shared" ca="1" si="125"/>
        <v>2315585.1341116638</v>
      </c>
      <c r="Y217" s="128">
        <f t="shared" ca="1" si="125"/>
        <v>2315585.1341116638</v>
      </c>
      <c r="Z217" s="128">
        <f t="shared" ca="1" si="125"/>
        <v>2315585.1341116638</v>
      </c>
    </row>
    <row r="218" spans="2:26" x14ac:dyDescent="0.2">
      <c r="B218" s="145" t="s">
        <v>181</v>
      </c>
      <c r="F218" s="178" t="str">
        <f t="shared" ref="F218:J218" ca="1" si="126">+IFERROR(F206/F217,"")</f>
        <v/>
      </c>
      <c r="G218" s="178" t="str">
        <f t="shared" ca="1" si="126"/>
        <v/>
      </c>
      <c r="H218" s="178" t="str">
        <f t="shared" ca="1" si="126"/>
        <v/>
      </c>
      <c r="I218" s="178">
        <f t="shared" ca="1" si="126"/>
        <v>0.61378768483998558</v>
      </c>
      <c r="J218" s="178">
        <f t="shared" ca="1" si="126"/>
        <v>1.418112898882268</v>
      </c>
      <c r="K218" s="178">
        <f ca="1">+IFERROR(K206/K217,"")</f>
        <v>1.5182649332803191</v>
      </c>
      <c r="L218" s="178">
        <f t="shared" ref="L218:Z218" ca="1" si="127">+IFERROR(L206/L217,"")</f>
        <v>1.5596435880733024</v>
      </c>
      <c r="M218" s="178">
        <f t="shared" ca="1" si="127"/>
        <v>1.5908364598347691</v>
      </c>
      <c r="N218" s="178">
        <f t="shared" ca="1" si="127"/>
        <v>1.6338868122813892</v>
      </c>
      <c r="O218" s="178">
        <f t="shared" ca="1" si="127"/>
        <v>1.6777981717769419</v>
      </c>
      <c r="P218" s="178">
        <f t="shared" ca="1" si="127"/>
        <v>1.7113541352124788</v>
      </c>
      <c r="Q218" s="178">
        <f t="shared" ca="1" si="127"/>
        <v>1.7570395136316519</v>
      </c>
      <c r="R218" s="178">
        <f t="shared" ca="1" si="127"/>
        <v>1.8036385996192077</v>
      </c>
      <c r="S218" s="178">
        <f t="shared" ca="1" si="127"/>
        <v>1.8397113716115918</v>
      </c>
      <c r="T218" s="178">
        <f t="shared" ca="1" si="127"/>
        <v>1.8881930606730446</v>
      </c>
      <c r="U218" s="178">
        <f t="shared" ca="1" si="127"/>
        <v>1.9376443835157269</v>
      </c>
      <c r="V218" s="178">
        <f t="shared" ca="1" si="127"/>
        <v>1.9763972711860422</v>
      </c>
      <c r="W218" s="178">
        <f t="shared" ca="1" si="127"/>
        <v>2.0278464274715695</v>
      </c>
      <c r="X218" s="178">
        <f t="shared" ca="1" si="127"/>
        <v>2.0803245668828048</v>
      </c>
      <c r="Y218" s="178">
        <f t="shared" ca="1" si="127"/>
        <v>2.1219310582204627</v>
      </c>
      <c r="Z218" s="178">
        <f t="shared" ca="1" si="127"/>
        <v>2.1765293144639135</v>
      </c>
    </row>
    <row r="220" spans="2:26" x14ac:dyDescent="0.2">
      <c r="B220" s="40" t="s">
        <v>156</v>
      </c>
      <c r="F220" s="33">
        <f>+F212*'Assumptions and Sensis'!$O$185</f>
        <v>0</v>
      </c>
      <c r="G220" s="33">
        <f>+G212*'Assumptions and Sensis'!$O$185</f>
        <v>0</v>
      </c>
      <c r="H220" s="33">
        <f>+H212*'Assumptions and Sensis'!$O$185</f>
        <v>0</v>
      </c>
      <c r="I220" s="33">
        <f ca="1">+I212*'Assumptions and Sensis'!$O$185</f>
        <v>385930.85568527732</v>
      </c>
      <c r="J220" s="33">
        <f>+J212*'Assumptions and Sensis'!$O$185</f>
        <v>0</v>
      </c>
      <c r="K220" s="33">
        <f>+K212*'Assumptions and Sensis'!$O$185</f>
        <v>0</v>
      </c>
      <c r="L220" s="33">
        <f>+L212*'Assumptions and Sensis'!$O$185</f>
        <v>0</v>
      </c>
      <c r="M220" s="33">
        <f>+M212*'Assumptions and Sensis'!$O$185</f>
        <v>0</v>
      </c>
      <c r="N220" s="33">
        <f>+N212*'Assumptions and Sensis'!$O$185</f>
        <v>0</v>
      </c>
      <c r="O220" s="33">
        <f>+O212*'Assumptions and Sensis'!$O$185</f>
        <v>0</v>
      </c>
      <c r="P220" s="33">
        <f>+P212*'Assumptions and Sensis'!$O$185</f>
        <v>0</v>
      </c>
      <c r="Q220" s="33">
        <f>+Q212*'Assumptions and Sensis'!$O$185</f>
        <v>0</v>
      </c>
      <c r="R220" s="33">
        <f>+R212*'Assumptions and Sensis'!$O$185</f>
        <v>0</v>
      </c>
      <c r="S220" s="33">
        <f>+S212*'Assumptions and Sensis'!$O$185</f>
        <v>0</v>
      </c>
      <c r="T220" s="33">
        <f>+T212*'Assumptions and Sensis'!$O$185</f>
        <v>0</v>
      </c>
      <c r="U220" s="33">
        <f>+U212*'Assumptions and Sensis'!$O$185</f>
        <v>0</v>
      </c>
      <c r="V220" s="33">
        <f>+V212*'Assumptions and Sensis'!$O$185</f>
        <v>0</v>
      </c>
      <c r="W220" s="33">
        <f>+W212*'Assumptions and Sensis'!$O$185</f>
        <v>0</v>
      </c>
      <c r="X220" s="33">
        <f>+X212*'Assumptions and Sensis'!$O$185</f>
        <v>0</v>
      </c>
      <c r="Y220" s="33">
        <f>+Y212*'Assumptions and Sensis'!$O$185</f>
        <v>0</v>
      </c>
      <c r="Z220" s="33">
        <f>+Z212*'Assumptions and Sensis'!$O$185</f>
        <v>0</v>
      </c>
    </row>
    <row r="222" spans="2:26" x14ac:dyDescent="0.2">
      <c r="B222" s="136" t="s">
        <v>334</v>
      </c>
      <c r="C222" s="136"/>
      <c r="D222" s="136"/>
      <c r="E222" s="136"/>
      <c r="F222" s="128">
        <f ca="1">+F206-F217-F220</f>
        <v>0</v>
      </c>
      <c r="G222" s="128">
        <f t="shared" ref="G222:Z222" ca="1" si="128">+G206-G217-G220</f>
        <v>0</v>
      </c>
      <c r="H222" s="128">
        <f t="shared" ca="1" si="128"/>
        <v>0</v>
      </c>
      <c r="I222" s="128">
        <f t="shared" ca="1" si="128"/>
        <v>-1280238.3512806555</v>
      </c>
      <c r="J222" s="128">
        <f t="shared" ca="1" si="128"/>
        <v>968176.0130321132</v>
      </c>
      <c r="K222" s="128">
        <f t="shared" ca="1" si="128"/>
        <v>1200086.5750352801</v>
      </c>
      <c r="L222" s="128">
        <f t="shared" ca="1" si="128"/>
        <v>1295902.3729434507</v>
      </c>
      <c r="M222" s="128">
        <f t="shared" ca="1" si="128"/>
        <v>1368132.1230845544</v>
      </c>
      <c r="N222" s="128">
        <f t="shared" ca="1" si="128"/>
        <v>1467818.8792282157</v>
      </c>
      <c r="O222" s="128">
        <f t="shared" ca="1" si="128"/>
        <v>1569499.3704947503</v>
      </c>
      <c r="P222" s="128">
        <f t="shared" ca="1" si="128"/>
        <v>1647201.0605868744</v>
      </c>
      <c r="Q222" s="128">
        <f t="shared" ca="1" si="128"/>
        <v>1752989.4437005776</v>
      </c>
      <c r="R222" s="128">
        <f t="shared" ca="1" si="128"/>
        <v>1860893.5944765527</v>
      </c>
      <c r="S222" s="128">
        <f t="shared" ca="1" si="128"/>
        <v>1944423.1690483172</v>
      </c>
      <c r="T222" s="128">
        <f t="shared" ca="1" si="128"/>
        <v>2056686.6475156411</v>
      </c>
      <c r="U222" s="128">
        <f t="shared" ca="1" si="128"/>
        <v>2171195.3955523125</v>
      </c>
      <c r="V222" s="128">
        <f t="shared" ca="1" si="128"/>
        <v>2260931.0061455942</v>
      </c>
      <c r="W222" s="128">
        <f t="shared" ca="1" si="128"/>
        <v>2380065.9076029486</v>
      </c>
      <c r="X222" s="128">
        <f t="shared" ca="1" si="128"/>
        <v>2501583.5070894449</v>
      </c>
      <c r="Y222" s="128">
        <f t="shared" ca="1" si="128"/>
        <v>2597926.8799134712</v>
      </c>
      <c r="Z222" s="128">
        <f t="shared" ca="1" si="128"/>
        <v>2724353.7904192251</v>
      </c>
    </row>
    <row r="224" spans="2:26" x14ac:dyDescent="0.2">
      <c r="B224" s="147" t="s">
        <v>335</v>
      </c>
    </row>
    <row r="225" spans="2:26" x14ac:dyDescent="0.2">
      <c r="B225" s="32" t="s">
        <v>336</v>
      </c>
      <c r="F225" s="33">
        <f>+IF(YEAR(F$140)=YEAR('Assumptions and Sensis'!$G$51),F208,0)</f>
        <v>0</v>
      </c>
      <c r="G225" s="33">
        <f>+IF(YEAR(G$140)=YEAR('Assumptions and Sensis'!$G$51),G208,0)</f>
        <v>0</v>
      </c>
      <c r="H225" s="33">
        <f>+IF(YEAR(H$140)=YEAR('Assumptions and Sensis'!$G$51),H208,0)</f>
        <v>0</v>
      </c>
      <c r="I225" s="33">
        <f>+IF(YEAR(I$140)=YEAR('Assumptions and Sensis'!$G$51),I208,0)</f>
        <v>0</v>
      </c>
      <c r="J225" s="33">
        <f>+IF(YEAR(J$140)=YEAR('Assumptions and Sensis'!$G$51),J208,0)</f>
        <v>0</v>
      </c>
      <c r="K225" s="33">
        <f>+IF(YEAR(K$140)=YEAR('Assumptions and Sensis'!$G$51),K208,0)</f>
        <v>0</v>
      </c>
      <c r="L225" s="33">
        <f>+IF(YEAR(L$140)=YEAR('Assumptions and Sensis'!$G$51),L208,0)</f>
        <v>0</v>
      </c>
      <c r="M225" s="33">
        <f>+IF(YEAR(M$140)=YEAR('Assumptions and Sensis'!$G$51),M208,0)</f>
        <v>0</v>
      </c>
      <c r="N225" s="33">
        <f ca="1">+IF(YEAR(N$140)=YEAR('Assumptions and Sensis'!$G$51),N208,0)</f>
        <v>51850927.315251082</v>
      </c>
      <c r="O225" s="33">
        <f>+IF(YEAR(O$140)=YEAR('Assumptions and Sensis'!$G$51),O208,0)</f>
        <v>0</v>
      </c>
      <c r="P225" s="33">
        <f>+IF(YEAR(P$140)=YEAR('Assumptions and Sensis'!$G$51),P208,0)</f>
        <v>0</v>
      </c>
      <c r="Q225" s="33">
        <f>+IF(YEAR(Q$140)=YEAR('Assumptions and Sensis'!$G$51),Q208,0)</f>
        <v>0</v>
      </c>
      <c r="R225" s="33">
        <f>+IF(YEAR(R$140)=YEAR('Assumptions and Sensis'!$G$51),R208,0)</f>
        <v>0</v>
      </c>
      <c r="S225" s="33">
        <f>+IF(YEAR(S$140)=YEAR('Assumptions and Sensis'!$G$51),S208,0)</f>
        <v>0</v>
      </c>
      <c r="T225" s="33">
        <f>+IF(YEAR(T$140)=YEAR('Assumptions and Sensis'!$G$51),T208,0)</f>
        <v>0</v>
      </c>
      <c r="U225" s="33">
        <f>+IF(YEAR(U$140)=YEAR('Assumptions and Sensis'!$G$51),U208,0)</f>
        <v>0</v>
      </c>
      <c r="V225" s="33">
        <f>+IF(YEAR(V$140)=YEAR('Assumptions and Sensis'!$G$51),V208,0)</f>
        <v>0</v>
      </c>
      <c r="W225" s="33">
        <f>+IF(YEAR(W$140)=YEAR('Assumptions and Sensis'!$G$51),W208,0)</f>
        <v>0</v>
      </c>
      <c r="X225" s="33">
        <f>+IF(YEAR(X$140)=YEAR('Assumptions and Sensis'!$G$51),X208,0)</f>
        <v>0</v>
      </c>
      <c r="Y225" s="33">
        <f>+IF(YEAR(Y$140)=YEAR('Assumptions and Sensis'!$G$51),Y208,0)</f>
        <v>0</v>
      </c>
      <c r="Z225" s="33">
        <f>+IF(YEAR(Z$140)=YEAR('Assumptions and Sensis'!$G$51),Z208,0)</f>
        <v>0</v>
      </c>
    </row>
    <row r="226" spans="2:26" x14ac:dyDescent="0.2">
      <c r="B226" s="32" t="s">
        <v>337</v>
      </c>
      <c r="F226" s="150">
        <f>-F225*'Assumptions and Sensis'!$O$161</f>
        <v>0</v>
      </c>
      <c r="G226" s="150">
        <f>-G225*'Assumptions and Sensis'!$O$161</f>
        <v>0</v>
      </c>
      <c r="H226" s="150">
        <f>-H225*'Assumptions and Sensis'!$O$161</f>
        <v>0</v>
      </c>
      <c r="I226" s="150">
        <f>-I225*'Assumptions and Sensis'!$O$161</f>
        <v>0</v>
      </c>
      <c r="J226" s="150">
        <f>-J225*'Assumptions and Sensis'!$O$161</f>
        <v>0</v>
      </c>
      <c r="K226" s="150">
        <f>-K225*'Assumptions and Sensis'!$O$161</f>
        <v>0</v>
      </c>
      <c r="L226" s="150">
        <f>-L225*'Assumptions and Sensis'!$O$161</f>
        <v>0</v>
      </c>
      <c r="M226" s="150">
        <f>-M225*'Assumptions and Sensis'!$O$161</f>
        <v>0</v>
      </c>
      <c r="N226" s="150">
        <f ca="1">-N225*'Assumptions and Sensis'!$O$161</f>
        <v>-1037018.5463050216</v>
      </c>
      <c r="O226" s="150">
        <f>-O225*'Assumptions and Sensis'!$O$161</f>
        <v>0</v>
      </c>
      <c r="P226" s="150">
        <f>-P225*'Assumptions and Sensis'!$O$161</f>
        <v>0</v>
      </c>
      <c r="Q226" s="150">
        <f>-Q225*'Assumptions and Sensis'!$O$161</f>
        <v>0</v>
      </c>
      <c r="R226" s="150">
        <f>-R225*'Assumptions and Sensis'!$O$161</f>
        <v>0</v>
      </c>
      <c r="S226" s="150">
        <f>-S225*'Assumptions and Sensis'!$O$161</f>
        <v>0</v>
      </c>
      <c r="T226" s="150">
        <f>-T225*'Assumptions and Sensis'!$O$161</f>
        <v>0</v>
      </c>
      <c r="U226" s="150">
        <f>-U225*'Assumptions and Sensis'!$O$161</f>
        <v>0</v>
      </c>
      <c r="V226" s="150">
        <f>-V225*'Assumptions and Sensis'!$O$161</f>
        <v>0</v>
      </c>
      <c r="W226" s="150">
        <f>-W225*'Assumptions and Sensis'!$O$161</f>
        <v>0</v>
      </c>
      <c r="X226" s="150">
        <f>-X225*'Assumptions and Sensis'!$O$161</f>
        <v>0</v>
      </c>
      <c r="Y226" s="150">
        <f>-Y225*'Assumptions and Sensis'!$O$161</f>
        <v>0</v>
      </c>
      <c r="Z226" s="150">
        <f>-Z225*'Assumptions and Sensis'!$O$161</f>
        <v>0</v>
      </c>
    </row>
    <row r="227" spans="2:26" x14ac:dyDescent="0.2">
      <c r="B227" s="32" t="s">
        <v>338</v>
      </c>
      <c r="F227" s="150">
        <f>+IF(YEAR(F$140)=YEAR('Assumptions and Sensis'!$G$51),-F214,0)</f>
        <v>0</v>
      </c>
      <c r="G227" s="150">
        <f>+IF(YEAR(G$140)=YEAR('Assumptions and Sensis'!$G$51),-G214,0)</f>
        <v>0</v>
      </c>
      <c r="H227" s="150">
        <f>+IF(YEAR(H$140)=YEAR('Assumptions and Sensis'!$G$51),-H214,0)</f>
        <v>0</v>
      </c>
      <c r="I227" s="150">
        <f>+IF(YEAR(I$140)=YEAR('Assumptions and Sensis'!$G$51),-I214,0)</f>
        <v>0</v>
      </c>
      <c r="J227" s="150">
        <f>+IF(YEAR(J$140)=YEAR('Assumptions and Sensis'!$G$51),-J214,0)</f>
        <v>0</v>
      </c>
      <c r="K227" s="150">
        <f>+IF(YEAR(K$140)=YEAR('Assumptions and Sensis'!$G$51),-K214,0)</f>
        <v>0</v>
      </c>
      <c r="L227" s="150">
        <f>+IF(YEAR(L$140)=YEAR('Assumptions and Sensis'!$G$51),-L214,0)</f>
        <v>0</v>
      </c>
      <c r="M227" s="150">
        <f>+IF(YEAR(M$140)=YEAR('Assumptions and Sensis'!$G$51),-M214,0)</f>
        <v>0</v>
      </c>
      <c r="N227" s="150">
        <f ca="1">+IF(YEAR(N$140)=YEAR('Assumptions and Sensis'!$G$51),-N214,0)</f>
        <v>-38593085.568527728</v>
      </c>
      <c r="O227" s="150">
        <f>+IF(YEAR(O$140)=YEAR('Assumptions and Sensis'!$G$51),-O214,0)</f>
        <v>0</v>
      </c>
      <c r="P227" s="150">
        <f>+IF(YEAR(P$140)=YEAR('Assumptions and Sensis'!$G$51),-P214,0)</f>
        <v>0</v>
      </c>
      <c r="Q227" s="150">
        <f>+IF(YEAR(Q$140)=YEAR('Assumptions and Sensis'!$G$51),-Q214,0)</f>
        <v>0</v>
      </c>
      <c r="R227" s="150">
        <f>+IF(YEAR(R$140)=YEAR('Assumptions and Sensis'!$G$51),-R214,0)</f>
        <v>0</v>
      </c>
      <c r="S227" s="150">
        <f>+IF(YEAR(S$140)=YEAR('Assumptions and Sensis'!$G$51),-S214,0)</f>
        <v>0</v>
      </c>
      <c r="T227" s="150">
        <f>+IF(YEAR(T$140)=YEAR('Assumptions and Sensis'!$G$51),-T214,0)</f>
        <v>0</v>
      </c>
      <c r="U227" s="150">
        <f>+IF(YEAR(U$140)=YEAR('Assumptions and Sensis'!$G$51),-U214,0)</f>
        <v>0</v>
      </c>
      <c r="V227" s="150">
        <f>+IF(YEAR(V$140)=YEAR('Assumptions and Sensis'!$G$51),-V214,0)</f>
        <v>0</v>
      </c>
      <c r="W227" s="150">
        <f>+IF(YEAR(W$140)=YEAR('Assumptions and Sensis'!$G$51),-W214,0)</f>
        <v>0</v>
      </c>
      <c r="X227" s="150">
        <f>+IF(YEAR(X$140)=YEAR('Assumptions and Sensis'!$G$51),-X214,0)</f>
        <v>0</v>
      </c>
      <c r="Y227" s="150">
        <f>+IF(YEAR(Y$140)=YEAR('Assumptions and Sensis'!$G$51),-Y214,0)</f>
        <v>0</v>
      </c>
      <c r="Z227" s="150">
        <f>+IF(YEAR(Z$140)=YEAR('Assumptions and Sensis'!$G$51),-Z214,0)</f>
        <v>0</v>
      </c>
    </row>
    <row r="228" spans="2:26" x14ac:dyDescent="0.2">
      <c r="B228" s="136" t="s">
        <v>339</v>
      </c>
      <c r="C228" s="136"/>
      <c r="D228" s="136"/>
      <c r="E228" s="136"/>
      <c r="F228" s="128">
        <f t="shared" ref="F228:Z228" si="129">+SUM(F225:F227)</f>
        <v>0</v>
      </c>
      <c r="G228" s="128">
        <f t="shared" si="129"/>
        <v>0</v>
      </c>
      <c r="H228" s="128">
        <f t="shared" si="129"/>
        <v>0</v>
      </c>
      <c r="I228" s="128">
        <f t="shared" si="129"/>
        <v>0</v>
      </c>
      <c r="J228" s="128">
        <f t="shared" si="129"/>
        <v>0</v>
      </c>
      <c r="K228" s="128">
        <f t="shared" si="129"/>
        <v>0</v>
      </c>
      <c r="L228" s="128">
        <f t="shared" si="129"/>
        <v>0</v>
      </c>
      <c r="M228" s="128">
        <f t="shared" si="129"/>
        <v>0</v>
      </c>
      <c r="N228" s="128">
        <f t="shared" ca="1" si="129"/>
        <v>12220823.200418331</v>
      </c>
      <c r="O228" s="128">
        <f t="shared" si="129"/>
        <v>0</v>
      </c>
      <c r="P228" s="128">
        <f t="shared" si="129"/>
        <v>0</v>
      </c>
      <c r="Q228" s="128">
        <f t="shared" si="129"/>
        <v>0</v>
      </c>
      <c r="R228" s="128">
        <f t="shared" si="129"/>
        <v>0</v>
      </c>
      <c r="S228" s="128">
        <f t="shared" si="129"/>
        <v>0</v>
      </c>
      <c r="T228" s="128">
        <f t="shared" si="129"/>
        <v>0</v>
      </c>
      <c r="U228" s="128">
        <f t="shared" si="129"/>
        <v>0</v>
      </c>
      <c r="V228" s="128">
        <f t="shared" si="129"/>
        <v>0</v>
      </c>
      <c r="W228" s="128">
        <f t="shared" si="129"/>
        <v>0</v>
      </c>
      <c r="X228" s="128">
        <f t="shared" si="129"/>
        <v>0</v>
      </c>
      <c r="Y228" s="128">
        <f t="shared" si="129"/>
        <v>0</v>
      </c>
      <c r="Z228" s="128">
        <f t="shared" si="129"/>
        <v>0</v>
      </c>
    </row>
    <row r="230" spans="2:26" x14ac:dyDescent="0.2">
      <c r="B230" s="137" t="s">
        <v>340</v>
      </c>
      <c r="C230" s="137"/>
      <c r="D230" s="137"/>
      <c r="E230" s="137"/>
      <c r="F230" s="138">
        <f ca="1">+IF(YEAR(F$140)&lt;=YEAR('Assumptions and Sensis'!$G$51),'Phase II Pro Forma'!F228+'Phase II Pro Forma'!F222,0)</f>
        <v>0</v>
      </c>
      <c r="G230" s="138">
        <f ca="1">+IF(YEAR(G$140)&lt;=YEAR('Assumptions and Sensis'!$G$51),'Phase II Pro Forma'!G228+'Phase II Pro Forma'!G222,0)</f>
        <v>0</v>
      </c>
      <c r="H230" s="138">
        <f ca="1">+IF(YEAR(H$140)&lt;=YEAR('Assumptions and Sensis'!$G$51),'Phase II Pro Forma'!H228+'Phase II Pro Forma'!H222,0)</f>
        <v>0</v>
      </c>
      <c r="I230" s="138">
        <f ca="1">+IF(YEAR(I$140)&lt;=YEAR('Assumptions and Sensis'!$G$51),'Phase II Pro Forma'!I228+'Phase II Pro Forma'!I222,0)</f>
        <v>-1280238.3512806555</v>
      </c>
      <c r="J230" s="138">
        <f ca="1">+IF(YEAR(J$140)&lt;=YEAR('Assumptions and Sensis'!$G$51),'Phase II Pro Forma'!J228+'Phase II Pro Forma'!J222,0)</f>
        <v>968176.0130321132</v>
      </c>
      <c r="K230" s="138">
        <f ca="1">+IF(YEAR(K$140)&lt;=YEAR('Assumptions and Sensis'!$G$51),'Phase II Pro Forma'!K228+'Phase II Pro Forma'!K222,0)</f>
        <v>1200086.5750352801</v>
      </c>
      <c r="L230" s="138">
        <f ca="1">+IF(YEAR(L$140)&lt;=YEAR('Assumptions and Sensis'!$G$51),'Phase II Pro Forma'!L228+'Phase II Pro Forma'!L222,0)</f>
        <v>1295902.3729434507</v>
      </c>
      <c r="M230" s="138">
        <f ca="1">+IF(YEAR(M$140)&lt;=YEAR('Assumptions and Sensis'!$G$51),'Phase II Pro Forma'!M228+'Phase II Pro Forma'!M222,0)</f>
        <v>1368132.1230845544</v>
      </c>
      <c r="N230" s="138">
        <f ca="1">+IF(YEAR(N$140)&lt;=YEAR('Assumptions and Sensis'!$G$51),'Phase II Pro Forma'!N228+'Phase II Pro Forma'!N222,0)</f>
        <v>13688642.079646546</v>
      </c>
      <c r="O230" s="138">
        <f>+IF(YEAR(O$140)&lt;=YEAR('Assumptions and Sensis'!$G$51),'Phase II Pro Forma'!O228+'Phase II Pro Forma'!O222,0)</f>
        <v>0</v>
      </c>
      <c r="P230" s="138">
        <f>+IF(YEAR(P$140)&lt;=YEAR('Assumptions and Sensis'!$G$51),'Phase II Pro Forma'!P228+'Phase II Pro Forma'!P222,0)</f>
        <v>0</v>
      </c>
      <c r="Q230" s="138">
        <f>+IF(YEAR(Q$140)&lt;=YEAR('Assumptions and Sensis'!$G$51),'Phase II Pro Forma'!Q228+'Phase II Pro Forma'!Q222,0)</f>
        <v>0</v>
      </c>
      <c r="R230" s="138">
        <f>+IF(YEAR(R$140)&lt;=YEAR('Assumptions and Sensis'!$G$51),'Phase II Pro Forma'!R228+'Phase II Pro Forma'!R222,0)</f>
        <v>0</v>
      </c>
      <c r="S230" s="138">
        <f>+IF(YEAR(S$140)&lt;=YEAR('Assumptions and Sensis'!$G$51),'Phase II Pro Forma'!S228+'Phase II Pro Forma'!S222,0)</f>
        <v>0</v>
      </c>
      <c r="T230" s="138">
        <f>+IF(YEAR(T$140)&lt;=YEAR('Assumptions and Sensis'!$G$51),'Phase II Pro Forma'!T228+'Phase II Pro Forma'!T222,0)</f>
        <v>0</v>
      </c>
      <c r="U230" s="138">
        <f>+IF(YEAR(U$140)&lt;=YEAR('Assumptions and Sensis'!$G$51),'Phase II Pro Forma'!U228+'Phase II Pro Forma'!U222,0)</f>
        <v>0</v>
      </c>
      <c r="V230" s="138">
        <f>+IF(YEAR(V$140)&lt;=YEAR('Assumptions and Sensis'!$G$51),'Phase II Pro Forma'!V228+'Phase II Pro Forma'!V222,0)</f>
        <v>0</v>
      </c>
      <c r="W230" s="138">
        <f>+IF(YEAR(W$140)&lt;=YEAR('Assumptions and Sensis'!$G$51),'Phase II Pro Forma'!W228+'Phase II Pro Forma'!W222,0)</f>
        <v>0</v>
      </c>
      <c r="X230" s="138">
        <f>+IF(YEAR(X$140)&lt;=YEAR('Assumptions and Sensis'!$G$51),'Phase II Pro Forma'!X228+'Phase II Pro Forma'!X222,0)</f>
        <v>0</v>
      </c>
      <c r="Y230" s="138">
        <f>+IF(YEAR(Y$140)&lt;=YEAR('Assumptions and Sensis'!$G$51),'Phase II Pro Forma'!Y228+'Phase II Pro Forma'!Y222,0)</f>
        <v>0</v>
      </c>
      <c r="Z230" s="138">
        <f>+IF(YEAR(Z$140)&lt;=YEAR('Assumptions and Sensis'!$G$51),'Phase II Pro Forma'!Z228+'Phase II Pro Forma'!Z222,0)</f>
        <v>0</v>
      </c>
    </row>
    <row r="232" spans="2:26" x14ac:dyDescent="0.2">
      <c r="B232" s="36" t="s">
        <v>769</v>
      </c>
      <c r="C232" s="37"/>
      <c r="D232" s="37"/>
      <c r="E232" s="37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4" spans="2:26" x14ac:dyDescent="0.2">
      <c r="B234" s="147" t="s">
        <v>235</v>
      </c>
      <c r="C234" s="148"/>
      <c r="D234" s="148"/>
      <c r="E234" s="148"/>
      <c r="F234" s="149">
        <f>+'Assumptions and Sensis'!$G$43</f>
        <v>44926</v>
      </c>
      <c r="G234" s="149">
        <f>+EOMONTH(F234,12)</f>
        <v>45291</v>
      </c>
      <c r="H234" s="149">
        <f t="shared" ref="H234:Z234" si="130">+EOMONTH(G234,12)</f>
        <v>45657</v>
      </c>
      <c r="I234" s="149">
        <f t="shared" si="130"/>
        <v>46022</v>
      </c>
      <c r="J234" s="149">
        <f t="shared" si="130"/>
        <v>46387</v>
      </c>
      <c r="K234" s="149">
        <f t="shared" si="130"/>
        <v>46752</v>
      </c>
      <c r="L234" s="149">
        <f t="shared" si="130"/>
        <v>47118</v>
      </c>
      <c r="M234" s="149">
        <f t="shared" si="130"/>
        <v>47483</v>
      </c>
      <c r="N234" s="149">
        <f t="shared" si="130"/>
        <v>47848</v>
      </c>
      <c r="O234" s="149">
        <f t="shared" si="130"/>
        <v>48213</v>
      </c>
      <c r="P234" s="149">
        <f t="shared" si="130"/>
        <v>48579</v>
      </c>
      <c r="Q234" s="149">
        <f t="shared" si="130"/>
        <v>48944</v>
      </c>
      <c r="R234" s="149">
        <f t="shared" si="130"/>
        <v>49309</v>
      </c>
      <c r="S234" s="149">
        <f t="shared" si="130"/>
        <v>49674</v>
      </c>
      <c r="T234" s="149">
        <f t="shared" si="130"/>
        <v>50040</v>
      </c>
      <c r="U234" s="149">
        <f t="shared" si="130"/>
        <v>50405</v>
      </c>
      <c r="V234" s="149">
        <f t="shared" si="130"/>
        <v>50770</v>
      </c>
      <c r="W234" s="149">
        <f t="shared" si="130"/>
        <v>51135</v>
      </c>
      <c r="X234" s="149">
        <f t="shared" si="130"/>
        <v>51501</v>
      </c>
      <c r="Y234" s="149">
        <f t="shared" si="130"/>
        <v>51866</v>
      </c>
      <c r="Z234" s="149">
        <f t="shared" si="130"/>
        <v>52231</v>
      </c>
    </row>
    <row r="235" spans="2:26" x14ac:dyDescent="0.2">
      <c r="B235" s="32" t="s">
        <v>756</v>
      </c>
      <c r="C235" s="32"/>
      <c r="D235" s="39"/>
      <c r="E235" s="39"/>
      <c r="F235" s="41">
        <f>+IF(AND(F234&gt;='Assumptions and Sensis'!$G$47,F234&lt;'Assumptions and Sensis'!$G$49),'Assumptions and Sensis'!$O$241/ROUNDUP(('Assumptions and Sensis'!$G$48/12),0),0)</f>
        <v>0</v>
      </c>
      <c r="G235" s="41">
        <f>+IF(AND(G234&gt;='Assumptions and Sensis'!$G$47,G234&lt;'Assumptions and Sensis'!$G$49),'Assumptions and Sensis'!$O$241/ROUNDUP(('Assumptions and Sensis'!$G$48/12),0),0)</f>
        <v>0</v>
      </c>
      <c r="H235" s="41">
        <f>+IF(AND(H234&gt;='Assumptions and Sensis'!$G$47,H234&lt;'Assumptions and Sensis'!$G$49),'Assumptions and Sensis'!$O$241/ROUNDUP(('Assumptions and Sensis'!$G$48/12),0),0)</f>
        <v>0</v>
      </c>
      <c r="I235" s="41">
        <f>+IF(AND(I234&gt;='Assumptions and Sensis'!$G$47,I234&lt;'Assumptions and Sensis'!$G$49),'Assumptions and Sensis'!$O$241/ROUNDUP(('Assumptions and Sensis'!$G$48/12),0),0)</f>
        <v>4.9999999999999998E-7</v>
      </c>
      <c r="J235" s="41">
        <f>+IF(AND(J234&gt;='Assumptions and Sensis'!$G$47,J234&lt;'Assumptions and Sensis'!$G$49),'Assumptions and Sensis'!$O$241/ROUNDUP(('Assumptions and Sensis'!$G$48/12),0),0)</f>
        <v>4.9999999999999998E-7</v>
      </c>
      <c r="K235" s="41">
        <f>+IF(AND(K234&gt;='Assumptions and Sensis'!$G$47,K234&lt;'Assumptions and Sensis'!$G$49),'Assumptions and Sensis'!$O$241/ROUNDUP(('Assumptions and Sensis'!$G$48/12),0),0)</f>
        <v>0</v>
      </c>
      <c r="L235" s="41">
        <f>+IF(AND(L234&gt;='Assumptions and Sensis'!$G$47,L234&lt;'Assumptions and Sensis'!$G$49),'Assumptions and Sensis'!$O$241/ROUNDUP(('Assumptions and Sensis'!$G$48/12),0),0)</f>
        <v>0</v>
      </c>
      <c r="M235" s="41">
        <f>+IF(AND(M234&gt;='Assumptions and Sensis'!$G$47,M234&lt;'Assumptions and Sensis'!$G$49),'Assumptions and Sensis'!$O$241/ROUNDUP(('Assumptions and Sensis'!$G$48/12),0),0)</f>
        <v>0</v>
      </c>
      <c r="N235" s="41">
        <f>+IF(AND(N234&gt;='Assumptions and Sensis'!$G$47,N234&lt;'Assumptions and Sensis'!$G$49),'Assumptions and Sensis'!$O$241/ROUNDUP(('Assumptions and Sensis'!$G$48/12),0),0)</f>
        <v>0</v>
      </c>
      <c r="O235" s="41">
        <f>+IF(AND(O234&gt;='Assumptions and Sensis'!$G$47,O234&lt;'Assumptions and Sensis'!$G$49),'Assumptions and Sensis'!$O$241/ROUNDUP(('Assumptions and Sensis'!$G$48/12),0),0)</f>
        <v>0</v>
      </c>
      <c r="P235" s="41">
        <f>+IF(AND(P234&gt;='Assumptions and Sensis'!$G$47,P234&lt;'Assumptions and Sensis'!$G$49),'Assumptions and Sensis'!$O$241/ROUNDUP(('Assumptions and Sensis'!$G$48/12),0),0)</f>
        <v>0</v>
      </c>
      <c r="Q235" s="41">
        <f>+IF(AND(Q234&gt;='Assumptions and Sensis'!$G$47,Q234&lt;'Assumptions and Sensis'!$G$49),'Assumptions and Sensis'!$O$241/ROUNDUP(('Assumptions and Sensis'!$G$48/12),0),0)</f>
        <v>0</v>
      </c>
      <c r="R235" s="41">
        <f>+IF(AND(R234&gt;='Assumptions and Sensis'!$G$47,R234&lt;'Assumptions and Sensis'!$G$49),'Assumptions and Sensis'!$O$241/ROUNDUP(('Assumptions and Sensis'!$G$48/12),0),0)</f>
        <v>0</v>
      </c>
      <c r="S235" s="41">
        <f>+IF(AND(S234&gt;='Assumptions and Sensis'!$G$47,S234&lt;'Assumptions and Sensis'!$G$49),'Assumptions and Sensis'!$O$241/ROUNDUP(('Assumptions and Sensis'!$G$48/12),0),0)</f>
        <v>0</v>
      </c>
      <c r="T235" s="41">
        <f>+IF(AND(T234&gt;='Assumptions and Sensis'!$G$47,T234&lt;'Assumptions and Sensis'!$G$49),'Assumptions and Sensis'!$O$241/ROUNDUP(('Assumptions and Sensis'!$G$48/12),0),0)</f>
        <v>0</v>
      </c>
      <c r="U235" s="41">
        <f>+IF(AND(U234&gt;='Assumptions and Sensis'!$G$47,U234&lt;'Assumptions and Sensis'!$G$49),'Assumptions and Sensis'!$O$241/ROUNDUP(('Assumptions and Sensis'!$G$48/12),0),0)</f>
        <v>0</v>
      </c>
      <c r="V235" s="41">
        <f>+IF(AND(V234&gt;='Assumptions and Sensis'!$G$47,V234&lt;'Assumptions and Sensis'!$G$49),'Assumptions and Sensis'!$O$241/ROUNDUP(('Assumptions and Sensis'!$G$48/12),0),0)</f>
        <v>0</v>
      </c>
      <c r="W235" s="41">
        <f>+IF(AND(W234&gt;='Assumptions and Sensis'!$G$47,W234&lt;'Assumptions and Sensis'!$G$49),'Assumptions and Sensis'!$O$241/ROUNDUP(('Assumptions and Sensis'!$G$48/12),0),0)</f>
        <v>0</v>
      </c>
      <c r="X235" s="41">
        <f>+IF(AND(X234&gt;='Assumptions and Sensis'!$G$47,X234&lt;'Assumptions and Sensis'!$G$49),'Assumptions and Sensis'!$O$241/ROUNDUP(('Assumptions and Sensis'!$G$48/12),0),0)</f>
        <v>0</v>
      </c>
      <c r="Y235" s="41">
        <f>+IF(AND(Y234&gt;='Assumptions and Sensis'!$G$47,Y234&lt;'Assumptions and Sensis'!$G$49),'Assumptions and Sensis'!$O$241/ROUNDUP(('Assumptions and Sensis'!$G$48/12),0),0)</f>
        <v>0</v>
      </c>
      <c r="Z235" s="41">
        <f>+IF(AND(Z234&gt;='Assumptions and Sensis'!$G$47,Z234&lt;'Assumptions and Sensis'!$G$49),'Assumptions and Sensis'!$O$241/ROUNDUP(('Assumptions and Sensis'!$G$48/12),0),0)</f>
        <v>0</v>
      </c>
    </row>
    <row r="236" spans="2:26" x14ac:dyDescent="0.2">
      <c r="B236" s="32" t="s">
        <v>246</v>
      </c>
      <c r="C236" s="32"/>
      <c r="E236" s="41">
        <v>0</v>
      </c>
      <c r="F236" s="41">
        <f>+E236+F235</f>
        <v>0</v>
      </c>
      <c r="G236" s="41">
        <f t="shared" ref="G236:Z236" si="131">+F236+G235</f>
        <v>0</v>
      </c>
      <c r="H236" s="41">
        <f t="shared" si="131"/>
        <v>0</v>
      </c>
      <c r="I236" s="41">
        <f t="shared" si="131"/>
        <v>4.9999999999999998E-7</v>
      </c>
      <c r="J236" s="41">
        <f t="shared" si="131"/>
        <v>9.9999999999999995E-7</v>
      </c>
      <c r="K236" s="41">
        <f t="shared" si="131"/>
        <v>9.9999999999999995E-7</v>
      </c>
      <c r="L236" s="41">
        <f t="shared" si="131"/>
        <v>9.9999999999999995E-7</v>
      </c>
      <c r="M236" s="41">
        <f t="shared" si="131"/>
        <v>9.9999999999999995E-7</v>
      </c>
      <c r="N236" s="41">
        <f t="shared" si="131"/>
        <v>9.9999999999999995E-7</v>
      </c>
      <c r="O236" s="41">
        <f t="shared" si="131"/>
        <v>9.9999999999999995E-7</v>
      </c>
      <c r="P236" s="41">
        <f t="shared" si="131"/>
        <v>9.9999999999999995E-7</v>
      </c>
      <c r="Q236" s="41">
        <f t="shared" si="131"/>
        <v>9.9999999999999995E-7</v>
      </c>
      <c r="R236" s="41">
        <f t="shared" si="131"/>
        <v>9.9999999999999995E-7</v>
      </c>
      <c r="S236" s="41">
        <f t="shared" si="131"/>
        <v>9.9999999999999995E-7</v>
      </c>
      <c r="T236" s="41">
        <f t="shared" si="131"/>
        <v>9.9999999999999995E-7</v>
      </c>
      <c r="U236" s="41">
        <f t="shared" si="131"/>
        <v>9.9999999999999995E-7</v>
      </c>
      <c r="V236" s="41">
        <f t="shared" si="131"/>
        <v>9.9999999999999995E-7</v>
      </c>
      <c r="W236" s="41">
        <f t="shared" si="131"/>
        <v>9.9999999999999995E-7</v>
      </c>
      <c r="X236" s="41">
        <f t="shared" si="131"/>
        <v>9.9999999999999995E-7</v>
      </c>
      <c r="Y236" s="41">
        <f t="shared" si="131"/>
        <v>9.9999999999999995E-7</v>
      </c>
      <c r="Z236" s="41">
        <f t="shared" si="131"/>
        <v>9.9999999999999995E-7</v>
      </c>
    </row>
    <row r="237" spans="2:26" x14ac:dyDescent="0.2">
      <c r="B237" s="32" t="s">
        <v>301</v>
      </c>
      <c r="C237" s="32"/>
      <c r="D237" s="41"/>
      <c r="E237" s="41"/>
      <c r="F237" s="107">
        <f t="shared" ref="F237:Z237" si="132">+F236/SUM($F235:$Z235)</f>
        <v>0</v>
      </c>
      <c r="G237" s="107">
        <f t="shared" si="132"/>
        <v>0</v>
      </c>
      <c r="H237" s="107">
        <f t="shared" si="132"/>
        <v>0</v>
      </c>
      <c r="I237" s="107">
        <f t="shared" si="132"/>
        <v>0.5</v>
      </c>
      <c r="J237" s="107">
        <f t="shared" si="132"/>
        <v>1</v>
      </c>
      <c r="K237" s="107">
        <f t="shared" si="132"/>
        <v>1</v>
      </c>
      <c r="L237" s="107">
        <f t="shared" si="132"/>
        <v>1</v>
      </c>
      <c r="M237" s="107">
        <f t="shared" si="132"/>
        <v>1</v>
      </c>
      <c r="N237" s="107">
        <f t="shared" si="132"/>
        <v>1</v>
      </c>
      <c r="O237" s="107">
        <f t="shared" si="132"/>
        <v>1</v>
      </c>
      <c r="P237" s="107">
        <f t="shared" si="132"/>
        <v>1</v>
      </c>
      <c r="Q237" s="107">
        <f t="shared" si="132"/>
        <v>1</v>
      </c>
      <c r="R237" s="107">
        <f t="shared" si="132"/>
        <v>1</v>
      </c>
      <c r="S237" s="107">
        <f t="shared" si="132"/>
        <v>1</v>
      </c>
      <c r="T237" s="107">
        <f t="shared" si="132"/>
        <v>1</v>
      </c>
      <c r="U237" s="107">
        <f t="shared" si="132"/>
        <v>1</v>
      </c>
      <c r="V237" s="107">
        <f t="shared" si="132"/>
        <v>1</v>
      </c>
      <c r="W237" s="107">
        <f t="shared" si="132"/>
        <v>1</v>
      </c>
      <c r="X237" s="107">
        <f t="shared" si="132"/>
        <v>1</v>
      </c>
      <c r="Y237" s="107">
        <f t="shared" si="132"/>
        <v>1</v>
      </c>
      <c r="Z237" s="107">
        <f t="shared" si="132"/>
        <v>1</v>
      </c>
    </row>
    <row r="238" spans="2:26" x14ac:dyDescent="0.2">
      <c r="B238" s="32"/>
      <c r="C238" s="32"/>
      <c r="D238" s="39"/>
      <c r="E238" s="39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2:26" x14ac:dyDescent="0.2">
      <c r="B239" s="32" t="s">
        <v>251</v>
      </c>
      <c r="C239" s="32"/>
      <c r="D239" s="41"/>
      <c r="E239" s="41"/>
      <c r="F239" s="107">
        <v>1</v>
      </c>
      <c r="G239" s="107">
        <f>+IF(MOD(G$2,'Assumptions and Sensis'!$O$95)=('Assumptions and Sensis'!$O$95-1),F239*(1+'Assumptions and Sensis'!$O$94),'Phase II Pro Forma'!F239)</f>
        <v>1</v>
      </c>
      <c r="H239" s="107">
        <f>+IF(MOD(H$2,'Assumptions and Sensis'!$O$95)=('Assumptions and Sensis'!$O$95-1),G239*(1+'Assumptions and Sensis'!$O$94),'Phase II Pro Forma'!G239)</f>
        <v>1</v>
      </c>
      <c r="I239" s="107">
        <f>+IF(MOD(I$2,'Assumptions and Sensis'!$O$95)=('Assumptions and Sensis'!$O$95-1),H239*(1+'Assumptions and Sensis'!$O$94),'Phase II Pro Forma'!H239)</f>
        <v>1</v>
      </c>
      <c r="J239" s="107">
        <f>+IF(MOD(J$2,'Assumptions and Sensis'!$O$95)=('Assumptions and Sensis'!$O$95-1),I239*(1+'Assumptions and Sensis'!$O$94),'Phase II Pro Forma'!I239)</f>
        <v>1</v>
      </c>
      <c r="K239" s="107">
        <f>+IF(MOD(K$2,'Assumptions and Sensis'!$O$95)=('Assumptions and Sensis'!$O$95-1),J239*(1+'Assumptions and Sensis'!$O$94),'Phase II Pro Forma'!J239)</f>
        <v>1</v>
      </c>
      <c r="L239" s="107">
        <f>+IF(MOD(L$2,'Assumptions and Sensis'!$O$95)=('Assumptions and Sensis'!$O$95-1),K239*(1+'Assumptions and Sensis'!$O$94),'Phase II Pro Forma'!K239)</f>
        <v>1.1000000000000001</v>
      </c>
      <c r="M239" s="107">
        <f>+IF(MOD(M$2,'Assumptions and Sensis'!$O$95)=('Assumptions and Sensis'!$O$95-1),L239*(1+'Assumptions and Sensis'!$O$94),'Phase II Pro Forma'!L239)</f>
        <v>1.1000000000000001</v>
      </c>
      <c r="N239" s="107">
        <f>+IF(MOD(N$2,'Assumptions and Sensis'!$O$95)=('Assumptions and Sensis'!$O$95-1),M239*(1+'Assumptions and Sensis'!$O$94),'Phase II Pro Forma'!M239)</f>
        <v>1.1000000000000001</v>
      </c>
      <c r="O239" s="107">
        <f>+IF(MOD(O$2,'Assumptions and Sensis'!$O$95)=('Assumptions and Sensis'!$O$95-1),N239*(1+'Assumptions and Sensis'!$O$94),'Phase II Pro Forma'!N239)</f>
        <v>1.1000000000000001</v>
      </c>
      <c r="P239" s="107">
        <f>+IF(MOD(P$2,'Assumptions and Sensis'!$O$95)=('Assumptions and Sensis'!$O$95-1),O239*(1+'Assumptions and Sensis'!$O$94),'Phase II Pro Forma'!O239)</f>
        <v>1.1000000000000001</v>
      </c>
      <c r="Q239" s="107">
        <f>+IF(MOD(Q$2,'Assumptions and Sensis'!$O$95)=('Assumptions and Sensis'!$O$95-1),P239*(1+'Assumptions and Sensis'!$O$94),'Phase II Pro Forma'!P239)</f>
        <v>1.2100000000000002</v>
      </c>
      <c r="R239" s="107">
        <f>+IF(MOD(R$2,'Assumptions and Sensis'!$O$95)=('Assumptions and Sensis'!$O$95-1),Q239*(1+'Assumptions and Sensis'!$O$94),'Phase II Pro Forma'!Q239)</f>
        <v>1.2100000000000002</v>
      </c>
      <c r="S239" s="107">
        <f>+IF(MOD(S$2,'Assumptions and Sensis'!$O$95)=('Assumptions and Sensis'!$O$95-1),R239*(1+'Assumptions and Sensis'!$O$94),'Phase II Pro Forma'!R239)</f>
        <v>1.2100000000000002</v>
      </c>
      <c r="T239" s="107">
        <f>+IF(MOD(T$2,'Assumptions and Sensis'!$O$95)=('Assumptions and Sensis'!$O$95-1),S239*(1+'Assumptions and Sensis'!$O$94),'Phase II Pro Forma'!S239)</f>
        <v>1.2100000000000002</v>
      </c>
      <c r="U239" s="107">
        <f>+IF(MOD(U$2,'Assumptions and Sensis'!$O$95)=('Assumptions and Sensis'!$O$95-1),T239*(1+'Assumptions and Sensis'!$O$94),'Phase II Pro Forma'!T239)</f>
        <v>1.2100000000000002</v>
      </c>
      <c r="V239" s="107">
        <f>+IF(MOD(V$2,'Assumptions and Sensis'!$O$95)=('Assumptions and Sensis'!$O$95-1),U239*(1+'Assumptions and Sensis'!$O$94),'Phase II Pro Forma'!U239)</f>
        <v>1.3310000000000004</v>
      </c>
      <c r="W239" s="107">
        <f>+IF(MOD(W$2,'Assumptions and Sensis'!$O$95)=('Assumptions and Sensis'!$O$95-1),V239*(1+'Assumptions and Sensis'!$O$94),'Phase II Pro Forma'!V239)</f>
        <v>1.3310000000000004</v>
      </c>
      <c r="X239" s="107">
        <f>+IF(MOD(X$2,'Assumptions and Sensis'!$O$95)=('Assumptions and Sensis'!$O$95-1),W239*(1+'Assumptions and Sensis'!$O$94),'Phase II Pro Forma'!W239)</f>
        <v>1.3310000000000004</v>
      </c>
      <c r="Y239" s="107">
        <f>+IF(MOD(Y$2,'Assumptions and Sensis'!$O$95)=('Assumptions and Sensis'!$O$95-1),X239*(1+'Assumptions and Sensis'!$O$94),'Phase II Pro Forma'!X239)</f>
        <v>1.3310000000000004</v>
      </c>
      <c r="Z239" s="107">
        <f>+IF(MOD(Z$2,'Assumptions and Sensis'!$O$95)=('Assumptions and Sensis'!$O$95-1),Y239*(1+'Assumptions and Sensis'!$O$94),'Phase II Pro Forma'!Y239)</f>
        <v>1.3310000000000004</v>
      </c>
    </row>
    <row r="240" spans="2:26" x14ac:dyDescent="0.2">
      <c r="B240" s="32" t="s">
        <v>252</v>
      </c>
      <c r="C240" s="32"/>
      <c r="D240" s="41"/>
      <c r="E240" s="41"/>
      <c r="F240" s="107">
        <v>1</v>
      </c>
      <c r="G240" s="107">
        <f>+F240*(1+'Assumptions and Sensis'!$O$103)</f>
        <v>1.03</v>
      </c>
      <c r="H240" s="107">
        <f>+G240*(1+'Assumptions and Sensis'!$O$103)</f>
        <v>1.0609</v>
      </c>
      <c r="I240" s="107">
        <f>+H240*(1+'Assumptions and Sensis'!$O$103)</f>
        <v>1.092727</v>
      </c>
      <c r="J240" s="107">
        <f>+I240*(1+'Assumptions and Sensis'!$O$103)</f>
        <v>1.1255088100000001</v>
      </c>
      <c r="K240" s="107">
        <f>+J240*(1+'Assumptions and Sensis'!$O$103)</f>
        <v>1.1592740743000001</v>
      </c>
      <c r="L240" s="107">
        <f>+K240*(1+'Assumptions and Sensis'!$O$103)</f>
        <v>1.1940522965290001</v>
      </c>
      <c r="M240" s="107">
        <f>+L240*(1+'Assumptions and Sensis'!$O$103)</f>
        <v>1.2298738654248702</v>
      </c>
      <c r="N240" s="107">
        <f>+M240*(1+'Assumptions and Sensis'!$O$103)</f>
        <v>1.2667700813876164</v>
      </c>
      <c r="O240" s="107">
        <f>+N240*(1+'Assumptions and Sensis'!$O$103)</f>
        <v>1.3047731838292449</v>
      </c>
      <c r="P240" s="107">
        <f>+O240*(1+'Assumptions and Sensis'!$O$103)</f>
        <v>1.3439163793441222</v>
      </c>
      <c r="Q240" s="107">
        <f>+P240*(1+'Assumptions and Sensis'!$O$103)</f>
        <v>1.3842338707244459</v>
      </c>
      <c r="R240" s="107">
        <f>+Q240*(1+'Assumptions and Sensis'!$O$103)</f>
        <v>1.4257608868461793</v>
      </c>
      <c r="S240" s="107">
        <f>+R240*(1+'Assumptions and Sensis'!$O$103)</f>
        <v>1.4685337134515648</v>
      </c>
      <c r="T240" s="107">
        <f>+S240*(1+'Assumptions and Sensis'!$O$103)</f>
        <v>1.5125897248551119</v>
      </c>
      <c r="U240" s="107">
        <f>+T240*(1+'Assumptions and Sensis'!$O$103)</f>
        <v>1.5579674166007653</v>
      </c>
      <c r="V240" s="107">
        <f>+U240*(1+'Assumptions and Sensis'!$O$103)</f>
        <v>1.6047064390987884</v>
      </c>
      <c r="W240" s="107">
        <f>+V240*(1+'Assumptions and Sensis'!$O$103)</f>
        <v>1.652847632271752</v>
      </c>
      <c r="X240" s="107">
        <f>+W240*(1+'Assumptions and Sensis'!$O$103)</f>
        <v>1.7024330612399046</v>
      </c>
      <c r="Y240" s="107">
        <f>+X240*(1+'Assumptions and Sensis'!$O$103)</f>
        <v>1.7535060530771018</v>
      </c>
      <c r="Z240" s="107">
        <f>+Y240*(1+'Assumptions and Sensis'!$O$103)</f>
        <v>1.806111234669415</v>
      </c>
    </row>
    <row r="241" spans="2:26" x14ac:dyDescent="0.2">
      <c r="B241" s="32"/>
      <c r="C241" s="32"/>
      <c r="D241" s="39"/>
      <c r="E241" s="39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2:26" x14ac:dyDescent="0.2">
      <c r="B242" s="32" t="s">
        <v>243</v>
      </c>
      <c r="C242" s="32"/>
      <c r="D242" s="39"/>
      <c r="E242" s="39"/>
      <c r="F242" s="33">
        <f>+F237*'Assumptions and Sensis'!$O$240*F239</f>
        <v>0</v>
      </c>
      <c r="G242" s="33">
        <f>+G237*'Assumptions and Sensis'!$O$240*G239</f>
        <v>0</v>
      </c>
      <c r="H242" s="33">
        <f>+H237*'Assumptions and Sensis'!$O$240*H239</f>
        <v>0</v>
      </c>
      <c r="I242" s="33">
        <f>+I237*'Assumptions and Sensis'!$O$240*I239</f>
        <v>6.2423999999999997E-6</v>
      </c>
      <c r="J242" s="33">
        <f>+J237*'Assumptions and Sensis'!$O$240*J239</f>
        <v>1.2484799999999999E-5</v>
      </c>
      <c r="K242" s="33">
        <f>+K237*'Assumptions and Sensis'!$O$240*K239</f>
        <v>1.2484799999999999E-5</v>
      </c>
      <c r="L242" s="33">
        <f>+L237*'Assumptions and Sensis'!$O$240*L239</f>
        <v>1.373328E-5</v>
      </c>
      <c r="M242" s="33">
        <f>+M237*'Assumptions and Sensis'!$O$240*M239</f>
        <v>1.373328E-5</v>
      </c>
      <c r="N242" s="33">
        <f>+N237*'Assumptions and Sensis'!$O$240*N239</f>
        <v>1.373328E-5</v>
      </c>
      <c r="O242" s="33">
        <f>+O237*'Assumptions and Sensis'!$O$240*O239</f>
        <v>1.373328E-5</v>
      </c>
      <c r="P242" s="33">
        <f>+P237*'Assumptions and Sensis'!$O$240*P239</f>
        <v>1.373328E-5</v>
      </c>
      <c r="Q242" s="33">
        <f>+Q237*'Assumptions and Sensis'!$O$240*Q239</f>
        <v>1.5106608000000002E-5</v>
      </c>
      <c r="R242" s="33">
        <f>+R237*'Assumptions and Sensis'!$O$240*R239</f>
        <v>1.5106608000000002E-5</v>
      </c>
      <c r="S242" s="33">
        <f>+S237*'Assumptions and Sensis'!$O$240*S239</f>
        <v>1.5106608000000002E-5</v>
      </c>
      <c r="T242" s="33">
        <f>+T237*'Assumptions and Sensis'!$O$240*T239</f>
        <v>1.5106608000000002E-5</v>
      </c>
      <c r="U242" s="33">
        <f>+U237*'Assumptions and Sensis'!$O$240*U239</f>
        <v>1.5106608000000002E-5</v>
      </c>
      <c r="V242" s="33">
        <f>+V237*'Assumptions and Sensis'!$O$240*V239</f>
        <v>1.6617268800000003E-5</v>
      </c>
      <c r="W242" s="33">
        <f>+W237*'Assumptions and Sensis'!$O$240*W239</f>
        <v>1.6617268800000003E-5</v>
      </c>
      <c r="X242" s="33">
        <f>+X237*'Assumptions and Sensis'!$O$240*X239</f>
        <v>1.6617268800000003E-5</v>
      </c>
      <c r="Y242" s="33">
        <f>+Y237*'Assumptions and Sensis'!$O$240*Y239</f>
        <v>1.6617268800000003E-5</v>
      </c>
      <c r="Z242" s="33">
        <f>+Z237*'Assumptions and Sensis'!$O$240*Z239</f>
        <v>1.6617268800000003E-5</v>
      </c>
    </row>
    <row r="243" spans="2:26" x14ac:dyDescent="0.2">
      <c r="B243" s="32" t="s">
        <v>244</v>
      </c>
      <c r="C243" s="32"/>
      <c r="D243" s="39"/>
      <c r="E243" s="39"/>
      <c r="F243" s="41">
        <f>-F242*'Assumptions and Sensis'!$O$80</f>
        <v>0</v>
      </c>
      <c r="G243" s="41">
        <f>-G242*'Assumptions and Sensis'!$O$80</f>
        <v>0</v>
      </c>
      <c r="H243" s="41">
        <f>-H242*'Assumptions and Sensis'!$O$80</f>
        <v>0</v>
      </c>
      <c r="I243" s="41">
        <f>-I242*'Assumptions and Sensis'!$O$80</f>
        <v>-3.7454399999999997E-7</v>
      </c>
      <c r="J243" s="41">
        <f>-J242*'Assumptions and Sensis'!$O$80</f>
        <v>-7.4908799999999994E-7</v>
      </c>
      <c r="K243" s="41">
        <f>-K242*'Assumptions and Sensis'!$O$80</f>
        <v>-7.4908799999999994E-7</v>
      </c>
      <c r="L243" s="41">
        <f>-L242*'Assumptions and Sensis'!$O$80</f>
        <v>-8.2399680000000001E-7</v>
      </c>
      <c r="M243" s="41">
        <f>-M242*'Assumptions and Sensis'!$O$80</f>
        <v>-8.2399680000000001E-7</v>
      </c>
      <c r="N243" s="41">
        <f>-N242*'Assumptions and Sensis'!$O$80</f>
        <v>-8.2399680000000001E-7</v>
      </c>
      <c r="O243" s="41">
        <f>-O242*'Assumptions and Sensis'!$O$80</f>
        <v>-8.2399680000000001E-7</v>
      </c>
      <c r="P243" s="41">
        <f>-P242*'Assumptions and Sensis'!$O$80</f>
        <v>-8.2399680000000001E-7</v>
      </c>
      <c r="Q243" s="41">
        <f>-Q242*'Assumptions and Sensis'!$O$80</f>
        <v>-9.0639648000000006E-7</v>
      </c>
      <c r="R243" s="41">
        <f>-R242*'Assumptions and Sensis'!$O$80</f>
        <v>-9.0639648000000006E-7</v>
      </c>
      <c r="S243" s="41">
        <f>-S242*'Assumptions and Sensis'!$O$80</f>
        <v>-9.0639648000000006E-7</v>
      </c>
      <c r="T243" s="41">
        <f>-T242*'Assumptions and Sensis'!$O$80</f>
        <v>-9.0639648000000006E-7</v>
      </c>
      <c r="U243" s="41">
        <f>-U242*'Assumptions and Sensis'!$O$80</f>
        <v>-9.0639648000000006E-7</v>
      </c>
      <c r="V243" s="41">
        <f>-V242*'Assumptions and Sensis'!$O$80</f>
        <v>-9.9703612800000013E-7</v>
      </c>
      <c r="W243" s="41">
        <f>-W242*'Assumptions and Sensis'!$O$80</f>
        <v>-9.9703612800000013E-7</v>
      </c>
      <c r="X243" s="41">
        <f>-X242*'Assumptions and Sensis'!$O$80</f>
        <v>-9.9703612800000013E-7</v>
      </c>
      <c r="Y243" s="41">
        <f>-Y242*'Assumptions and Sensis'!$O$80</f>
        <v>-9.9703612800000013E-7</v>
      </c>
      <c r="Z243" s="41">
        <f>-Z242*'Assumptions and Sensis'!$O$80</f>
        <v>-9.9703612800000013E-7</v>
      </c>
    </row>
    <row r="244" spans="2:26" x14ac:dyDescent="0.2">
      <c r="B244" s="32" t="s">
        <v>259</v>
      </c>
      <c r="C244" s="32"/>
      <c r="D244" s="39"/>
      <c r="E244" s="39"/>
      <c r="F244" s="150">
        <f ca="1">+F249*'Assumptions and Sensis'!$O$114</f>
        <v>0</v>
      </c>
      <c r="G244" s="150">
        <f ca="1">+G249*'Assumptions and Sensis'!$O$114</f>
        <v>0</v>
      </c>
      <c r="H244" s="150">
        <f ca="1">+H249*'Assumptions and Sensis'!$O$114</f>
        <v>0</v>
      </c>
      <c r="I244" s="150">
        <f ca="1">+I249*'Assumptions and Sensis'!$O$114</f>
        <v>3.2233876433658946E-6</v>
      </c>
      <c r="J244" s="150">
        <f ca="1">+J249*'Assumptions and Sensis'!$O$114</f>
        <v>6.598448255882425E-6</v>
      </c>
      <c r="K244" s="150">
        <f ca="1">+K249*'Assumptions and Sensis'!$O$114</f>
        <v>6.6687070178378652E-6</v>
      </c>
      <c r="L244" s="150">
        <f ca="1">+L249*'Assumptions and Sensis'!$O$114</f>
        <v>6.7410735426519677E-6</v>
      </c>
      <c r="M244" s="150">
        <f ca="1">+M249*'Assumptions and Sensis'!$O$114</f>
        <v>6.9007408536911828E-6</v>
      </c>
      <c r="N244" s="150">
        <f ca="1">+N249*'Assumptions and Sensis'!$O$114</f>
        <v>6.9775144998664654E-6</v>
      </c>
      <c r="O244" s="150">
        <f ca="1">+O249*'Assumptions and Sensis'!$O$114</f>
        <v>7.0565913554270067E-6</v>
      </c>
      <c r="P244" s="150">
        <f ca="1">+P249*'Assumptions and Sensis'!$O$114</f>
        <v>7.2248729029446647E-6</v>
      </c>
      <c r="Q244" s="150">
        <f ca="1">+Q249*'Assumptions and Sensis'!$O$114</f>
        <v>7.3087655390088429E-6</v>
      </c>
      <c r="R244" s="150">
        <f ca="1">+R249*'Assumptions and Sensis'!$O$114</f>
        <v>7.3951749541549455E-6</v>
      </c>
      <c r="S244" s="150">
        <f ca="1">+S249*'Assumptions and Sensis'!$O$114</f>
        <v>7.5727456857715394E-6</v>
      </c>
      <c r="T244" s="150">
        <f ca="1">+T249*'Assumptions and Sensis'!$O$114</f>
        <v>7.6644174343000404E-6</v>
      </c>
      <c r="U244" s="150">
        <f ca="1">+U249*'Assumptions and Sensis'!$O$114</f>
        <v>7.7588393352843966E-6</v>
      </c>
      <c r="V244" s="150">
        <f ca="1">+V249*'Assumptions and Sensis'!$O$114</f>
        <v>7.9464343079947139E-6</v>
      </c>
      <c r="W244" s="150">
        <f ca="1">+W249*'Assumptions and Sensis'!$O$114</f>
        <v>8.0466065027490179E-6</v>
      </c>
      <c r="X244" s="150">
        <f ca="1">+X249*'Assumptions and Sensis'!$O$114</f>
        <v>8.1497838633459493E-6</v>
      </c>
      <c r="Y244" s="150">
        <f ca="1">+Y249*'Assumptions and Sensis'!$O$114</f>
        <v>8.3482037677511469E-6</v>
      </c>
      <c r="Z244" s="150">
        <f ca="1">+Z249*'Assumptions and Sensis'!$O$114</f>
        <v>8.4576646296084329E-6</v>
      </c>
    </row>
    <row r="245" spans="2:26" x14ac:dyDescent="0.2">
      <c r="B245" s="136" t="s">
        <v>253</v>
      </c>
      <c r="C245" s="136"/>
      <c r="D245" s="136"/>
      <c r="E245" s="136"/>
      <c r="F245" s="128">
        <f t="shared" ref="F245:Z245" ca="1" si="133">+SUM(F242:F244)</f>
        <v>0</v>
      </c>
      <c r="G245" s="128">
        <f t="shared" ca="1" si="133"/>
        <v>0</v>
      </c>
      <c r="H245" s="128">
        <f t="shared" ca="1" si="133"/>
        <v>0</v>
      </c>
      <c r="I245" s="128">
        <f t="shared" ca="1" si="133"/>
        <v>9.091243643365894E-6</v>
      </c>
      <c r="J245" s="128">
        <f t="shared" ca="1" si="133"/>
        <v>1.8334160255882425E-5</v>
      </c>
      <c r="K245" s="128">
        <f t="shared" ca="1" si="133"/>
        <v>1.8404419017837865E-5</v>
      </c>
      <c r="L245" s="128">
        <f t="shared" ca="1" si="133"/>
        <v>1.965035674265197E-5</v>
      </c>
      <c r="M245" s="128">
        <f t="shared" ca="1" si="133"/>
        <v>1.9810024053691183E-5</v>
      </c>
      <c r="N245" s="128">
        <f t="shared" ca="1" si="133"/>
        <v>1.9886797699866467E-5</v>
      </c>
      <c r="O245" s="128">
        <f t="shared" ca="1" si="133"/>
        <v>1.9965874555427009E-5</v>
      </c>
      <c r="P245" s="128">
        <f t="shared" ca="1" si="133"/>
        <v>2.0134156102944665E-5</v>
      </c>
      <c r="Q245" s="128">
        <f t="shared" ca="1" si="133"/>
        <v>2.1508977059008846E-5</v>
      </c>
      <c r="R245" s="128">
        <f t="shared" ca="1" si="133"/>
        <v>2.1595386474154948E-5</v>
      </c>
      <c r="S245" s="128">
        <f t="shared" ca="1" si="133"/>
        <v>2.1772957205771542E-5</v>
      </c>
      <c r="T245" s="128">
        <f t="shared" ca="1" si="133"/>
        <v>2.1864628954300045E-5</v>
      </c>
      <c r="U245" s="128">
        <f t="shared" ca="1" si="133"/>
        <v>2.1959050855284398E-5</v>
      </c>
      <c r="V245" s="128">
        <f t="shared" ca="1" si="133"/>
        <v>2.3566666979994717E-5</v>
      </c>
      <c r="W245" s="128">
        <f t="shared" ca="1" si="133"/>
        <v>2.3666839174749021E-5</v>
      </c>
      <c r="X245" s="128">
        <f t="shared" ca="1" si="133"/>
        <v>2.3770016535345953E-5</v>
      </c>
      <c r="Y245" s="128">
        <f t="shared" ca="1" si="133"/>
        <v>2.3968436439751152E-5</v>
      </c>
      <c r="Z245" s="128">
        <f t="shared" ca="1" si="133"/>
        <v>2.4077897301608436E-5</v>
      </c>
    </row>
    <row r="247" spans="2:26" x14ac:dyDescent="0.2">
      <c r="B247" s="32" t="s">
        <v>389</v>
      </c>
      <c r="F247" s="33">
        <f>+F236*'Assumptions and Sensis'!$O$148*'Phase II Pro Forma'!F240</f>
        <v>0</v>
      </c>
      <c r="G247" s="33">
        <f>+G236*'Assumptions and Sensis'!$O$148*'Phase II Pro Forma'!G240</f>
        <v>0</v>
      </c>
      <c r="H247" s="33">
        <f>+H236*'Assumptions and Sensis'!$O$148*'Phase II Pro Forma'!H240</f>
        <v>0</v>
      </c>
      <c r="I247" s="33">
        <f>+I236*'Assumptions and Sensis'!$O$148*'Phase II Pro Forma'!I240</f>
        <v>1.1368731708000001E-6</v>
      </c>
      <c r="J247" s="33">
        <f>+J236*'Assumptions and Sensis'!$O$148*'Phase II Pro Forma'!J240</f>
        <v>2.3419587318480004E-6</v>
      </c>
      <c r="K247" s="33">
        <f>+K236*'Assumptions and Sensis'!$O$148*'Phase II Pro Forma'!K240</f>
        <v>2.4122174938034402E-6</v>
      </c>
      <c r="L247" s="33">
        <f>+L236*'Assumptions and Sensis'!$O$148*'Phase II Pro Forma'!L240</f>
        <v>2.4845840186175435E-6</v>
      </c>
      <c r="M247" s="33">
        <f>+M236*'Assumptions and Sensis'!$O$148*'Phase II Pro Forma'!M240</f>
        <v>2.5591215391760699E-6</v>
      </c>
      <c r="N247" s="33">
        <f>+N236*'Assumptions and Sensis'!$O$148*'Phase II Pro Forma'!N240</f>
        <v>2.6358951853513521E-6</v>
      </c>
      <c r="O247" s="33">
        <f>+O236*'Assumptions and Sensis'!$O$148*'Phase II Pro Forma'!O240</f>
        <v>2.7149720409118929E-6</v>
      </c>
      <c r="P247" s="33">
        <f>+P236*'Assumptions and Sensis'!$O$148*'Phase II Pro Forma'!P240</f>
        <v>2.7964212021392497E-6</v>
      </c>
      <c r="Q247" s="33">
        <f>+Q236*'Assumptions and Sensis'!$O$148*'Phase II Pro Forma'!Q240</f>
        <v>2.880313838203427E-6</v>
      </c>
      <c r="R247" s="33">
        <f>+R236*'Assumptions and Sensis'!$O$148*'Phase II Pro Forma'!R240</f>
        <v>2.9667232533495301E-6</v>
      </c>
      <c r="S247" s="33">
        <f>+S236*'Assumptions and Sensis'!$O$148*'Phase II Pro Forma'!S240</f>
        <v>3.055724950950016E-6</v>
      </c>
      <c r="T247" s="33">
        <f>+T236*'Assumptions and Sensis'!$O$148*'Phase II Pro Forma'!T240</f>
        <v>3.147396699478517E-6</v>
      </c>
      <c r="U247" s="33">
        <f>+U236*'Assumptions and Sensis'!$O$148*'Phase II Pro Forma'!U240</f>
        <v>3.2418186004628728E-6</v>
      </c>
      <c r="V247" s="33">
        <f>+V236*'Assumptions and Sensis'!$O$148*'Phase II Pro Forma'!V240</f>
        <v>3.339073158476759E-6</v>
      </c>
      <c r="W247" s="33">
        <f>+W236*'Assumptions and Sensis'!$O$148*'Phase II Pro Forma'!W240</f>
        <v>3.4392453532310618E-6</v>
      </c>
      <c r="X247" s="33">
        <f>+X236*'Assumptions and Sensis'!$O$148*'Phase II Pro Forma'!X240</f>
        <v>3.5424227138279936E-6</v>
      </c>
      <c r="Y247" s="33">
        <f>+Y236*'Assumptions and Sensis'!$O$148*'Phase II Pro Forma'!Y240</f>
        <v>3.6486953952428336E-6</v>
      </c>
      <c r="Z247" s="33">
        <f>+Z236*'Assumptions and Sensis'!$O$148*'Phase II Pro Forma'!Z240</f>
        <v>3.7581562571001188E-6</v>
      </c>
    </row>
    <row r="248" spans="2:26" x14ac:dyDescent="0.2">
      <c r="B248" s="32" t="s">
        <v>325</v>
      </c>
      <c r="F248" s="150">
        <f ca="1">+IFERROR(INDEX('Taxes and TIF'!$AC$11:$AC$45,MATCH('Phase II Pro Forma'!F$7,'Taxes and TIF'!$R$11:$R$45,0)),0)*'Loan Sizing'!$K$54*F237</f>
        <v>0</v>
      </c>
      <c r="G248" s="150">
        <f ca="1">+IFERROR(INDEX('Taxes and TIF'!$AC$11:$AC$45,MATCH('Phase II Pro Forma'!G$7,'Taxes and TIF'!$R$11:$R$45,0)),0)*'Loan Sizing'!$K$54*G237</f>
        <v>0</v>
      </c>
      <c r="H248" s="150">
        <f ca="1">+IFERROR(INDEX('Taxes and TIF'!$AC$11:$AC$45,MATCH('Phase II Pro Forma'!H$7,'Taxes and TIF'!$R$11:$R$45,0)),0)*'Loan Sizing'!$K$54*H237</f>
        <v>0</v>
      </c>
      <c r="I248" s="150">
        <f ca="1">+IFERROR(INDEX('Taxes and TIF'!$AC$11:$AC$45,MATCH('Phase II Pro Forma'!I$7,'Taxes and TIF'!$R$11:$R$45,0)),0)*'Loan Sizing'!$K$54*I237</f>
        <v>2.0865144725658945E-6</v>
      </c>
      <c r="J248" s="150">
        <f ca="1">+IFERROR(INDEX('Taxes and TIF'!$AC$11:$AC$45,MATCH('Phase II Pro Forma'!J$7,'Taxes and TIF'!$R$11:$R$45,0)),0)*'Loan Sizing'!$K$54*J237</f>
        <v>4.2564895240344246E-6</v>
      </c>
      <c r="K248" s="150">
        <f ca="1">+IFERROR(INDEX('Taxes and TIF'!$AC$11:$AC$45,MATCH('Phase II Pro Forma'!K$7,'Taxes and TIF'!$R$11:$R$45,0)),0)*'Loan Sizing'!$K$54*K237</f>
        <v>4.2564895240344246E-6</v>
      </c>
      <c r="L248" s="150">
        <f ca="1">+IFERROR(INDEX('Taxes and TIF'!$AC$11:$AC$45,MATCH('Phase II Pro Forma'!L$7,'Taxes and TIF'!$R$11:$R$45,0)),0)*'Loan Sizing'!$K$54*L237</f>
        <v>4.2564895240344246E-6</v>
      </c>
      <c r="M248" s="150">
        <f ca="1">+IFERROR(INDEX('Taxes and TIF'!$AC$11:$AC$45,MATCH('Phase II Pro Forma'!M$7,'Taxes and TIF'!$R$11:$R$45,0)),0)*'Loan Sizing'!$K$54*M237</f>
        <v>4.3416193145151134E-6</v>
      </c>
      <c r="N248" s="150">
        <f ca="1">+IFERROR(INDEX('Taxes and TIF'!$AC$11:$AC$45,MATCH('Phase II Pro Forma'!N$7,'Taxes and TIF'!$R$11:$R$45,0)),0)*'Loan Sizing'!$K$54*N237</f>
        <v>4.3416193145151134E-6</v>
      </c>
      <c r="O248" s="150">
        <f ca="1">+IFERROR(INDEX('Taxes and TIF'!$AC$11:$AC$45,MATCH('Phase II Pro Forma'!O$7,'Taxes and TIF'!$R$11:$R$45,0)),0)*'Loan Sizing'!$K$54*O237</f>
        <v>4.3416193145151134E-6</v>
      </c>
      <c r="P248" s="150">
        <f ca="1">+IFERROR(INDEX('Taxes and TIF'!$AC$11:$AC$45,MATCH('Phase II Pro Forma'!P$7,'Taxes and TIF'!$R$11:$R$45,0)),0)*'Loan Sizing'!$K$54*P237</f>
        <v>4.4284517008054154E-6</v>
      </c>
      <c r="Q248" s="150">
        <f ca="1">+IFERROR(INDEX('Taxes and TIF'!$AC$11:$AC$45,MATCH('Phase II Pro Forma'!Q$7,'Taxes and TIF'!$R$11:$R$45,0)),0)*'Loan Sizing'!$K$54*Q237</f>
        <v>4.4284517008054154E-6</v>
      </c>
      <c r="R248" s="150">
        <f ca="1">+IFERROR(INDEX('Taxes and TIF'!$AC$11:$AC$45,MATCH('Phase II Pro Forma'!R$7,'Taxes and TIF'!$R$11:$R$45,0)),0)*'Loan Sizing'!$K$54*R237</f>
        <v>4.4284517008054154E-6</v>
      </c>
      <c r="S248" s="150">
        <f ca="1">+IFERROR(INDEX('Taxes and TIF'!$AC$11:$AC$45,MATCH('Phase II Pro Forma'!S$7,'Taxes and TIF'!$R$11:$R$45,0)),0)*'Loan Sizing'!$K$54*S237</f>
        <v>4.5170207348215239E-6</v>
      </c>
      <c r="T248" s="150">
        <f ca="1">+IFERROR(INDEX('Taxes and TIF'!$AC$11:$AC$45,MATCH('Phase II Pro Forma'!T$7,'Taxes and TIF'!$R$11:$R$45,0)),0)*'Loan Sizing'!$K$54*T237</f>
        <v>4.5170207348215239E-6</v>
      </c>
      <c r="U248" s="150">
        <f ca="1">+IFERROR(INDEX('Taxes and TIF'!$AC$11:$AC$45,MATCH('Phase II Pro Forma'!U$7,'Taxes and TIF'!$R$11:$R$45,0)),0)*'Loan Sizing'!$K$54*U237</f>
        <v>4.5170207348215239E-6</v>
      </c>
      <c r="V248" s="150">
        <f ca="1">+IFERROR(INDEX('Taxes and TIF'!$AC$11:$AC$45,MATCH('Phase II Pro Forma'!V$7,'Taxes and TIF'!$R$11:$R$45,0)),0)*'Loan Sizing'!$K$54*V237</f>
        <v>4.6073611495179553E-6</v>
      </c>
      <c r="W248" s="150">
        <f ca="1">+IFERROR(INDEX('Taxes and TIF'!$AC$11:$AC$45,MATCH('Phase II Pro Forma'!W$7,'Taxes and TIF'!$R$11:$R$45,0)),0)*'Loan Sizing'!$K$54*W237</f>
        <v>4.6073611495179553E-6</v>
      </c>
      <c r="X248" s="150">
        <f ca="1">+IFERROR(INDEX('Taxes and TIF'!$AC$11:$AC$45,MATCH('Phase II Pro Forma'!X$7,'Taxes and TIF'!$R$11:$R$45,0)),0)*'Loan Sizing'!$K$54*X237</f>
        <v>4.6073611495179553E-6</v>
      </c>
      <c r="Y248" s="150">
        <f ca="1">+IFERROR(INDEX('Taxes and TIF'!$AC$11:$AC$45,MATCH('Phase II Pro Forma'!Y$7,'Taxes and TIF'!$R$11:$R$45,0)),0)*'Loan Sizing'!$K$54*Y237</f>
        <v>4.6995083725083137E-6</v>
      </c>
      <c r="Z248" s="150">
        <f ca="1">+IFERROR(INDEX('Taxes and TIF'!$AC$11:$AC$45,MATCH('Phase II Pro Forma'!Z$7,'Taxes and TIF'!$R$11:$R$45,0)),0)*'Loan Sizing'!$K$54*Z237</f>
        <v>4.6995083725083137E-6</v>
      </c>
    </row>
    <row r="249" spans="2:26" x14ac:dyDescent="0.2">
      <c r="B249" s="136" t="s">
        <v>249</v>
      </c>
      <c r="C249" s="136"/>
      <c r="D249" s="136"/>
      <c r="E249" s="136"/>
      <c r="F249" s="128">
        <f ca="1">+SUM(F247:F248)</f>
        <v>0</v>
      </c>
      <c r="G249" s="128">
        <f t="shared" ref="G249" ca="1" si="134">+SUM(G247:G248)</f>
        <v>0</v>
      </c>
      <c r="H249" s="128">
        <f t="shared" ref="H249:Z249" ca="1" si="135">+SUM(H247:H248)</f>
        <v>0</v>
      </c>
      <c r="I249" s="128">
        <f t="shared" ca="1" si="135"/>
        <v>3.2233876433658946E-6</v>
      </c>
      <c r="J249" s="128">
        <f t="shared" ca="1" si="135"/>
        <v>6.598448255882425E-6</v>
      </c>
      <c r="K249" s="128">
        <f t="shared" ca="1" si="135"/>
        <v>6.6687070178378652E-6</v>
      </c>
      <c r="L249" s="128">
        <f t="shared" ca="1" si="135"/>
        <v>6.7410735426519677E-6</v>
      </c>
      <c r="M249" s="128">
        <f t="shared" ca="1" si="135"/>
        <v>6.9007408536911828E-6</v>
      </c>
      <c r="N249" s="128">
        <f t="shared" ca="1" si="135"/>
        <v>6.9775144998664654E-6</v>
      </c>
      <c r="O249" s="128">
        <f t="shared" ca="1" si="135"/>
        <v>7.0565913554270067E-6</v>
      </c>
      <c r="P249" s="128">
        <f t="shared" ca="1" si="135"/>
        <v>7.2248729029446647E-6</v>
      </c>
      <c r="Q249" s="128">
        <f t="shared" ca="1" si="135"/>
        <v>7.3087655390088429E-6</v>
      </c>
      <c r="R249" s="128">
        <f t="shared" ca="1" si="135"/>
        <v>7.3951749541549455E-6</v>
      </c>
      <c r="S249" s="128">
        <f t="shared" ca="1" si="135"/>
        <v>7.5727456857715394E-6</v>
      </c>
      <c r="T249" s="128">
        <f t="shared" ca="1" si="135"/>
        <v>7.6644174343000404E-6</v>
      </c>
      <c r="U249" s="128">
        <f t="shared" ca="1" si="135"/>
        <v>7.7588393352843966E-6</v>
      </c>
      <c r="V249" s="128">
        <f t="shared" ca="1" si="135"/>
        <v>7.9464343079947139E-6</v>
      </c>
      <c r="W249" s="128">
        <f t="shared" ca="1" si="135"/>
        <v>8.0466065027490179E-6</v>
      </c>
      <c r="X249" s="128">
        <f t="shared" ca="1" si="135"/>
        <v>8.1497838633459493E-6</v>
      </c>
      <c r="Y249" s="128">
        <f t="shared" ca="1" si="135"/>
        <v>8.3482037677511469E-6</v>
      </c>
      <c r="Z249" s="128">
        <f t="shared" ca="1" si="135"/>
        <v>8.4576646296084329E-6</v>
      </c>
    </row>
    <row r="250" spans="2:26" x14ac:dyDescent="0.2">
      <c r="B250" s="32"/>
    </row>
    <row r="251" spans="2:26" x14ac:dyDescent="0.2">
      <c r="B251" s="137" t="s">
        <v>248</v>
      </c>
      <c r="C251" s="137"/>
      <c r="D251" s="137"/>
      <c r="E251" s="137"/>
      <c r="F251" s="138">
        <f ca="1">+F245-F249</f>
        <v>0</v>
      </c>
      <c r="G251" s="138">
        <f t="shared" ref="G251:Z251" ca="1" si="136">+G245-G249</f>
        <v>0</v>
      </c>
      <c r="H251" s="138">
        <f t="shared" ca="1" si="136"/>
        <v>0</v>
      </c>
      <c r="I251" s="138">
        <f t="shared" ca="1" si="136"/>
        <v>5.8678559999999998E-6</v>
      </c>
      <c r="J251" s="138">
        <f t="shared" ca="1" si="136"/>
        <v>1.1735712E-5</v>
      </c>
      <c r="K251" s="138">
        <f t="shared" ca="1" si="136"/>
        <v>1.1735712E-5</v>
      </c>
      <c r="L251" s="138">
        <f t="shared" ca="1" si="136"/>
        <v>1.2909283200000002E-5</v>
      </c>
      <c r="M251" s="138">
        <f t="shared" ca="1" si="136"/>
        <v>1.29092832E-5</v>
      </c>
      <c r="N251" s="138">
        <f t="shared" ca="1" si="136"/>
        <v>1.2909283200000002E-5</v>
      </c>
      <c r="O251" s="138">
        <f t="shared" ca="1" si="136"/>
        <v>1.2909283200000002E-5</v>
      </c>
      <c r="P251" s="138">
        <f t="shared" ca="1" si="136"/>
        <v>1.29092832E-5</v>
      </c>
      <c r="Q251" s="138">
        <f t="shared" ca="1" si="136"/>
        <v>1.4200211520000003E-5</v>
      </c>
      <c r="R251" s="138">
        <f t="shared" ca="1" si="136"/>
        <v>1.4200211520000001E-5</v>
      </c>
      <c r="S251" s="138">
        <f t="shared" ca="1" si="136"/>
        <v>1.4200211520000003E-5</v>
      </c>
      <c r="T251" s="138">
        <f t="shared" ca="1" si="136"/>
        <v>1.4200211520000005E-5</v>
      </c>
      <c r="U251" s="138">
        <f t="shared" ca="1" si="136"/>
        <v>1.4200211520000001E-5</v>
      </c>
      <c r="V251" s="138">
        <f t="shared" ca="1" si="136"/>
        <v>1.5620232672000003E-5</v>
      </c>
      <c r="W251" s="138">
        <f t="shared" ca="1" si="136"/>
        <v>1.5620232672000003E-5</v>
      </c>
      <c r="X251" s="138">
        <f t="shared" ca="1" si="136"/>
        <v>1.5620232672000003E-5</v>
      </c>
      <c r="Y251" s="138">
        <f t="shared" ca="1" si="136"/>
        <v>1.5620232672000003E-5</v>
      </c>
      <c r="Z251" s="138">
        <f t="shared" ca="1" si="136"/>
        <v>1.5620232672000003E-5</v>
      </c>
    </row>
    <row r="252" spans="2:26" x14ac:dyDescent="0.2">
      <c r="B252" s="142" t="s">
        <v>254</v>
      </c>
      <c r="C252" s="140"/>
      <c r="D252" s="140"/>
      <c r="E252" s="140"/>
      <c r="F252" s="143" t="str">
        <f ca="1">+IFERROR(F251/F245,"")</f>
        <v/>
      </c>
      <c r="G252" s="143" t="str">
        <f t="shared" ref="G252:Z252" ca="1" si="137">+IFERROR(G251/G245,"")</f>
        <v/>
      </c>
      <c r="H252" s="143" t="str">
        <f t="shared" ca="1" si="137"/>
        <v/>
      </c>
      <c r="I252" s="144">
        <f t="shared" ca="1" si="137"/>
        <v>0.64544040729586205</v>
      </c>
      <c r="J252" s="144">
        <f t="shared" ca="1" si="137"/>
        <v>0.64010087379020564</v>
      </c>
      <c r="K252" s="144">
        <f t="shared" ca="1" si="137"/>
        <v>0.63765729244838187</v>
      </c>
      <c r="L252" s="144">
        <f t="shared" ca="1" si="137"/>
        <v>0.65694905029280359</v>
      </c>
      <c r="M252" s="144">
        <f t="shared" ca="1" si="137"/>
        <v>0.6516540901218455</v>
      </c>
      <c r="N252" s="144">
        <f t="shared" ca="1" si="137"/>
        <v>0.64913835776016782</v>
      </c>
      <c r="O252" s="144">
        <f t="shared" ca="1" si="137"/>
        <v>0.64656737996438407</v>
      </c>
      <c r="P252" s="144">
        <f t="shared" ca="1" si="137"/>
        <v>0.64116336110615479</v>
      </c>
      <c r="Q252" s="144">
        <f t="shared" ca="1" si="137"/>
        <v>0.66019929637018093</v>
      </c>
      <c r="R252" s="144">
        <f t="shared" ca="1" si="137"/>
        <v>0.65755764718518062</v>
      </c>
      <c r="S252" s="144">
        <f t="shared" ca="1" si="137"/>
        <v>0.65219489414308096</v>
      </c>
      <c r="T252" s="144">
        <f t="shared" ca="1" si="137"/>
        <v>0.64946043903513373</v>
      </c>
      <c r="U252" s="144">
        <f t="shared" ca="1" si="137"/>
        <v>0.64666781882254032</v>
      </c>
      <c r="V252" s="144">
        <f t="shared" ca="1" si="137"/>
        <v>0.66281042988640326</v>
      </c>
      <c r="W252" s="144">
        <f t="shared" ca="1" si="137"/>
        <v>0.66000502038589826</v>
      </c>
      <c r="X252" s="144">
        <f t="shared" ca="1" si="137"/>
        <v>0.65714016853007895</v>
      </c>
      <c r="Y252" s="144">
        <f t="shared" ca="1" si="137"/>
        <v>0.65170011032067876</v>
      </c>
      <c r="Z252" s="144">
        <f t="shared" ca="1" si="137"/>
        <v>0.64873740743783925</v>
      </c>
    </row>
    <row r="253" spans="2:26" x14ac:dyDescent="0.2">
      <c r="B253" s="142" t="s">
        <v>188</v>
      </c>
      <c r="C253" s="140"/>
      <c r="D253" s="140"/>
      <c r="E253" s="140"/>
      <c r="F253" s="141">
        <f ca="1">+F251/'Assumptions and Sensis'!$O$159</f>
        <v>0</v>
      </c>
      <c r="G253" s="141">
        <f ca="1">+G251/'Assumptions and Sensis'!$O$159</f>
        <v>0</v>
      </c>
      <c r="H253" s="141">
        <f ca="1">+H251/'Assumptions and Sensis'!$O$159</f>
        <v>0</v>
      </c>
      <c r="I253" s="141">
        <f ca="1">+I251/'Assumptions and Sensis'!$O$159</f>
        <v>1.066882909090909E-4</v>
      </c>
      <c r="J253" s="141">
        <f ca="1">+J251/'Assumptions and Sensis'!$O$159</f>
        <v>2.1337658181818181E-4</v>
      </c>
      <c r="K253" s="141">
        <f ca="1">+K251/'Assumptions and Sensis'!$O$159</f>
        <v>2.1337658181818181E-4</v>
      </c>
      <c r="L253" s="141">
        <f ca="1">+L251/'Assumptions and Sensis'!$O$159</f>
        <v>2.3471424000000003E-4</v>
      </c>
      <c r="M253" s="141">
        <f ca="1">+M251/'Assumptions and Sensis'!$O$159</f>
        <v>2.3471424000000001E-4</v>
      </c>
      <c r="N253" s="141">
        <f ca="1">+N251/'Assumptions and Sensis'!$O$159</f>
        <v>2.3471424000000003E-4</v>
      </c>
      <c r="O253" s="141">
        <f ca="1">+O251/'Assumptions and Sensis'!$O$159</f>
        <v>2.3471424000000003E-4</v>
      </c>
      <c r="P253" s="141">
        <f ca="1">+P251/'Assumptions and Sensis'!$O$159</f>
        <v>2.3471424000000001E-4</v>
      </c>
      <c r="Q253" s="141">
        <f ca="1">+Q251/'Assumptions and Sensis'!$O$159</f>
        <v>2.5818566400000003E-4</v>
      </c>
      <c r="R253" s="141">
        <f ca="1">+R251/'Assumptions and Sensis'!$O$159</f>
        <v>2.5818566400000003E-4</v>
      </c>
      <c r="S253" s="141">
        <f ca="1">+S251/'Assumptions and Sensis'!$O$159</f>
        <v>2.5818566400000003E-4</v>
      </c>
      <c r="T253" s="141">
        <f ca="1">+T251/'Assumptions and Sensis'!$O$159</f>
        <v>2.5818566400000008E-4</v>
      </c>
      <c r="U253" s="141">
        <f ca="1">+U251/'Assumptions and Sensis'!$O$159</f>
        <v>2.5818566400000003E-4</v>
      </c>
      <c r="V253" s="141">
        <f ca="1">+V251/'Assumptions and Sensis'!$O$159</f>
        <v>2.8400423040000005E-4</v>
      </c>
      <c r="W253" s="141">
        <f ca="1">+W251/'Assumptions and Sensis'!$O$159</f>
        <v>2.8400423040000005E-4</v>
      </c>
      <c r="X253" s="141">
        <f ca="1">+X251/'Assumptions and Sensis'!$O$159</f>
        <v>2.8400423040000005E-4</v>
      </c>
      <c r="Y253" s="141">
        <f ca="1">+Y251/'Assumptions and Sensis'!$O$159</f>
        <v>2.8400423040000005E-4</v>
      </c>
      <c r="Z253" s="141">
        <f ca="1">+Z251/'Assumptions and Sensis'!$O$159</f>
        <v>2.8400423040000005E-4</v>
      </c>
    </row>
    <row r="255" spans="2:26" x14ac:dyDescent="0.2">
      <c r="B255" s="147" t="s">
        <v>31</v>
      </c>
      <c r="F255" s="149">
        <f>+'Assumptions and Sensis'!$G$43</f>
        <v>44926</v>
      </c>
      <c r="G255" s="149">
        <f>+EOMONTH(F255,12)</f>
        <v>45291</v>
      </c>
      <c r="H255" s="149">
        <f t="shared" ref="H255:Z255" si="138">+EOMONTH(G255,12)</f>
        <v>45657</v>
      </c>
      <c r="I255" s="149">
        <f t="shared" si="138"/>
        <v>46022</v>
      </c>
      <c r="J255" s="149">
        <f t="shared" si="138"/>
        <v>46387</v>
      </c>
      <c r="K255" s="149">
        <f t="shared" si="138"/>
        <v>46752</v>
      </c>
      <c r="L255" s="149">
        <f t="shared" si="138"/>
        <v>47118</v>
      </c>
      <c r="M255" s="149">
        <f t="shared" si="138"/>
        <v>47483</v>
      </c>
      <c r="N255" s="149">
        <f t="shared" si="138"/>
        <v>47848</v>
      </c>
      <c r="O255" s="149">
        <f t="shared" si="138"/>
        <v>48213</v>
      </c>
      <c r="P255" s="149">
        <f t="shared" si="138"/>
        <v>48579</v>
      </c>
      <c r="Q255" s="149">
        <f t="shared" si="138"/>
        <v>48944</v>
      </c>
      <c r="R255" s="149">
        <f t="shared" si="138"/>
        <v>49309</v>
      </c>
      <c r="S255" s="149">
        <f t="shared" si="138"/>
        <v>49674</v>
      </c>
      <c r="T255" s="149">
        <f t="shared" si="138"/>
        <v>50040</v>
      </c>
      <c r="U255" s="149">
        <f t="shared" si="138"/>
        <v>50405</v>
      </c>
      <c r="V255" s="149">
        <f t="shared" si="138"/>
        <v>50770</v>
      </c>
      <c r="W255" s="149">
        <f t="shared" si="138"/>
        <v>51135</v>
      </c>
      <c r="X255" s="149">
        <f t="shared" si="138"/>
        <v>51501</v>
      </c>
      <c r="Y255" s="149">
        <f t="shared" si="138"/>
        <v>51866</v>
      </c>
      <c r="Z255" s="149">
        <f t="shared" si="138"/>
        <v>52231</v>
      </c>
    </row>
    <row r="256" spans="2:26" x14ac:dyDescent="0.2">
      <c r="B256" s="32" t="s">
        <v>331</v>
      </c>
      <c r="F256" s="33">
        <v>0</v>
      </c>
      <c r="G256" s="33">
        <f t="shared" ref="G256:Z256" si="139">+F259</f>
        <v>0</v>
      </c>
      <c r="H256" s="33">
        <f t="shared" si="139"/>
        <v>0</v>
      </c>
      <c r="I256" s="33">
        <f t="shared" si="139"/>
        <v>0</v>
      </c>
      <c r="J256" s="33">
        <f t="shared" ca="1" si="139"/>
        <v>1.6003243636363636E-4</v>
      </c>
      <c r="K256" s="33">
        <f t="shared" ca="1" si="139"/>
        <v>1.6003243636363636E-4</v>
      </c>
      <c r="L256" s="33">
        <f t="shared" ca="1" si="139"/>
        <v>1.6003243636363636E-4</v>
      </c>
      <c r="M256" s="33">
        <f t="shared" ca="1" si="139"/>
        <v>1.6003243636363636E-4</v>
      </c>
      <c r="N256" s="33">
        <f t="shared" ca="1" si="139"/>
        <v>1.6003243636363636E-4</v>
      </c>
      <c r="O256" s="33">
        <f t="shared" ca="1" si="139"/>
        <v>1.6003243636363636E-4</v>
      </c>
      <c r="P256" s="33">
        <f t="shared" ca="1" si="139"/>
        <v>1.6003243636363636E-4</v>
      </c>
      <c r="Q256" s="33">
        <f t="shared" ca="1" si="139"/>
        <v>1.6003243636363636E-4</v>
      </c>
      <c r="R256" s="33">
        <f t="shared" ca="1" si="139"/>
        <v>1.6003243636363636E-4</v>
      </c>
      <c r="S256" s="33">
        <f t="shared" ca="1" si="139"/>
        <v>1.6003243636363636E-4</v>
      </c>
      <c r="T256" s="33">
        <f t="shared" ca="1" si="139"/>
        <v>1.6003243636363636E-4</v>
      </c>
      <c r="U256" s="33">
        <f t="shared" ca="1" si="139"/>
        <v>1.6003243636363636E-4</v>
      </c>
      <c r="V256" s="33">
        <f t="shared" ca="1" si="139"/>
        <v>1.6003243636363636E-4</v>
      </c>
      <c r="W256" s="33">
        <f t="shared" ca="1" si="139"/>
        <v>1.6003243636363636E-4</v>
      </c>
      <c r="X256" s="33">
        <f t="shared" ca="1" si="139"/>
        <v>1.6003243636363636E-4</v>
      </c>
      <c r="Y256" s="33">
        <f t="shared" ca="1" si="139"/>
        <v>1.6003243636363636E-4</v>
      </c>
      <c r="Z256" s="33">
        <f t="shared" ca="1" si="139"/>
        <v>1.6003243636363636E-4</v>
      </c>
    </row>
    <row r="257" spans="2:26" x14ac:dyDescent="0.2">
      <c r="B257" s="32" t="s">
        <v>342</v>
      </c>
      <c r="F257" s="150">
        <f>+IF(YEAR(F$140)=YEAR('Assumptions and Sensis'!$G$47),'S&amp;U'!$S$19,0)</f>
        <v>0</v>
      </c>
      <c r="G257" s="150">
        <f>+IF(YEAR(G$140)=YEAR('Assumptions and Sensis'!$G$47),'S&amp;U'!$S$19,0)</f>
        <v>0</v>
      </c>
      <c r="H257" s="150">
        <f>+IF(YEAR(H$140)=YEAR('Assumptions and Sensis'!$G$47),'S&amp;U'!$S$19,0)</f>
        <v>0</v>
      </c>
      <c r="I257" s="150">
        <f ca="1">+IF(YEAR(I$140)=YEAR('Assumptions and Sensis'!$G$47),'S&amp;U'!$S$19,0)</f>
        <v>1.6003243636363636E-4</v>
      </c>
      <c r="J257" s="150">
        <f>+IF(YEAR(J$140)=YEAR('Assumptions and Sensis'!$G$47),'S&amp;U'!$S$19,0)</f>
        <v>0</v>
      </c>
      <c r="K257" s="150">
        <f>+IF(YEAR(K$140)=YEAR('Assumptions and Sensis'!$G$47),'S&amp;U'!$S$19,0)</f>
        <v>0</v>
      </c>
      <c r="L257" s="150">
        <f>+IF(YEAR(L$140)=YEAR('Assumptions and Sensis'!$G$47),'S&amp;U'!$S$19,0)</f>
        <v>0</v>
      </c>
      <c r="M257" s="150">
        <f>+IF(YEAR(M$140)=YEAR('Assumptions and Sensis'!$G$47),'S&amp;U'!$S$19,0)</f>
        <v>0</v>
      </c>
      <c r="N257" s="150">
        <f>+IF(YEAR(N$140)=YEAR('Assumptions and Sensis'!$G$47),'S&amp;U'!$S$19,0)</f>
        <v>0</v>
      </c>
      <c r="O257" s="150">
        <f>+IF(YEAR(O$140)=YEAR('Assumptions and Sensis'!$G$47),'S&amp;U'!$S$19,0)</f>
        <v>0</v>
      </c>
      <c r="P257" s="150">
        <f>+IF(YEAR(P$140)=YEAR('Assumptions and Sensis'!$G$47),'S&amp;U'!$S$19,0)</f>
        <v>0</v>
      </c>
      <c r="Q257" s="150">
        <f>+IF(YEAR(Q$140)=YEAR('Assumptions and Sensis'!$G$47),'S&amp;U'!$S$19,0)</f>
        <v>0</v>
      </c>
      <c r="R257" s="150">
        <f>+IF(YEAR(R$140)=YEAR('Assumptions and Sensis'!$G$47),'S&amp;U'!$S$19,0)</f>
        <v>0</v>
      </c>
      <c r="S257" s="150">
        <f>+IF(YEAR(S$140)=YEAR('Assumptions and Sensis'!$G$47),'S&amp;U'!$S$19,0)</f>
        <v>0</v>
      </c>
      <c r="T257" s="150">
        <f>+IF(YEAR(T$140)=YEAR('Assumptions and Sensis'!$G$47),'S&amp;U'!$S$19,0)</f>
        <v>0</v>
      </c>
      <c r="U257" s="150">
        <f>+IF(YEAR(U$140)=YEAR('Assumptions and Sensis'!$G$47),'S&amp;U'!$S$19,0)</f>
        <v>0</v>
      </c>
      <c r="V257" s="150">
        <f>+IF(YEAR(V$140)=YEAR('Assumptions and Sensis'!$G$47),'S&amp;U'!$S$19,0)</f>
        <v>0</v>
      </c>
      <c r="W257" s="150">
        <f>+IF(YEAR(W$140)=YEAR('Assumptions and Sensis'!$G$47),'S&amp;U'!$S$19,0)</f>
        <v>0</v>
      </c>
      <c r="X257" s="150">
        <f>+IF(YEAR(X$140)=YEAR('Assumptions and Sensis'!$G$47),'S&amp;U'!$S$19,0)</f>
        <v>0</v>
      </c>
      <c r="Y257" s="150">
        <f>+IF(YEAR(Y$140)=YEAR('Assumptions and Sensis'!$G$47),'S&amp;U'!$S$19,0)</f>
        <v>0</v>
      </c>
      <c r="Z257" s="150">
        <f>+IF(YEAR(Z$140)=YEAR('Assumptions and Sensis'!$G$47),'S&amp;U'!$S$19,0)</f>
        <v>0</v>
      </c>
    </row>
    <row r="258" spans="2:26" x14ac:dyDescent="0.2">
      <c r="B258" s="32" t="s">
        <v>162</v>
      </c>
      <c r="F258" s="150">
        <v>0</v>
      </c>
      <c r="G258" s="150">
        <v>0</v>
      </c>
      <c r="H258" s="150">
        <v>0</v>
      </c>
      <c r="I258" s="150">
        <v>0</v>
      </c>
      <c r="J258" s="150">
        <v>0</v>
      </c>
      <c r="K258" s="150">
        <v>0</v>
      </c>
      <c r="L258" s="150">
        <v>0</v>
      </c>
      <c r="M258" s="150">
        <v>0</v>
      </c>
      <c r="N258" s="150">
        <v>0</v>
      </c>
      <c r="O258" s="150">
        <v>0</v>
      </c>
      <c r="P258" s="150">
        <v>0</v>
      </c>
      <c r="Q258" s="150">
        <v>0</v>
      </c>
      <c r="R258" s="150">
        <v>0</v>
      </c>
      <c r="S258" s="150">
        <v>0</v>
      </c>
      <c r="T258" s="150">
        <v>0</v>
      </c>
      <c r="U258" s="150">
        <v>0</v>
      </c>
      <c r="V258" s="150">
        <v>0</v>
      </c>
      <c r="W258" s="150">
        <v>0</v>
      </c>
      <c r="X258" s="150">
        <v>0</v>
      </c>
      <c r="Y258" s="150">
        <v>0</v>
      </c>
      <c r="Z258" s="150">
        <v>0</v>
      </c>
    </row>
    <row r="259" spans="2:26" x14ac:dyDescent="0.2">
      <c r="B259" s="32" t="s">
        <v>333</v>
      </c>
      <c r="F259" s="150">
        <f t="shared" ref="F259:N259" si="140">+SUM(F256:F258)</f>
        <v>0</v>
      </c>
      <c r="G259" s="150">
        <f t="shared" si="140"/>
        <v>0</v>
      </c>
      <c r="H259" s="150">
        <f t="shared" si="140"/>
        <v>0</v>
      </c>
      <c r="I259" s="150">
        <f t="shared" ca="1" si="140"/>
        <v>1.6003243636363636E-4</v>
      </c>
      <c r="J259" s="150">
        <f t="shared" ca="1" si="140"/>
        <v>1.6003243636363636E-4</v>
      </c>
      <c r="K259" s="150">
        <f t="shared" ca="1" si="140"/>
        <v>1.6003243636363636E-4</v>
      </c>
      <c r="L259" s="150">
        <f t="shared" ca="1" si="140"/>
        <v>1.6003243636363636E-4</v>
      </c>
      <c r="M259" s="150">
        <f t="shared" ca="1" si="140"/>
        <v>1.6003243636363636E-4</v>
      </c>
      <c r="N259" s="150">
        <f t="shared" ca="1" si="140"/>
        <v>1.6003243636363636E-4</v>
      </c>
      <c r="O259" s="150">
        <f t="shared" ref="O259" ca="1" si="141">+SUM(O256:O258)</f>
        <v>1.6003243636363636E-4</v>
      </c>
      <c r="P259" s="150">
        <f t="shared" ref="P259:Z259" ca="1" si="142">+SUM(P256:P258)</f>
        <v>1.6003243636363636E-4</v>
      </c>
      <c r="Q259" s="150">
        <f t="shared" ca="1" si="142"/>
        <v>1.6003243636363636E-4</v>
      </c>
      <c r="R259" s="150">
        <f t="shared" ca="1" si="142"/>
        <v>1.6003243636363636E-4</v>
      </c>
      <c r="S259" s="150">
        <f t="shared" ca="1" si="142"/>
        <v>1.6003243636363636E-4</v>
      </c>
      <c r="T259" s="150">
        <f t="shared" ca="1" si="142"/>
        <v>1.6003243636363636E-4</v>
      </c>
      <c r="U259" s="150">
        <f t="shared" ca="1" si="142"/>
        <v>1.6003243636363636E-4</v>
      </c>
      <c r="V259" s="150">
        <f t="shared" ca="1" si="142"/>
        <v>1.6003243636363636E-4</v>
      </c>
      <c r="W259" s="150">
        <f t="shared" ca="1" si="142"/>
        <v>1.6003243636363636E-4</v>
      </c>
      <c r="X259" s="150">
        <f t="shared" ca="1" si="142"/>
        <v>1.6003243636363636E-4</v>
      </c>
      <c r="Y259" s="150">
        <f t="shared" ca="1" si="142"/>
        <v>1.6003243636363636E-4</v>
      </c>
      <c r="Z259" s="150">
        <f t="shared" ca="1" si="142"/>
        <v>1.6003243636363636E-4</v>
      </c>
    </row>
    <row r="261" spans="2:26" x14ac:dyDescent="0.2">
      <c r="B261" s="40" t="s">
        <v>332</v>
      </c>
      <c r="F261" s="33">
        <f>+F259*'Assumptions and Sensis'!$O$191</f>
        <v>0</v>
      </c>
      <c r="G261" s="33">
        <f>+G259*'Assumptions and Sensis'!$O$191</f>
        <v>0</v>
      </c>
      <c r="H261" s="33">
        <f>+H259*'Assumptions and Sensis'!$O$191</f>
        <v>0</v>
      </c>
      <c r="I261" s="33">
        <f ca="1">+I259*'Assumptions and Sensis'!$O$191</f>
        <v>8.8017840000000006E-6</v>
      </c>
      <c r="J261" s="33">
        <f ca="1">+J259*'Assumptions and Sensis'!$O$191</f>
        <v>8.8017840000000006E-6</v>
      </c>
      <c r="K261" s="33">
        <f ca="1">+K259*'Assumptions and Sensis'!$O$191</f>
        <v>8.8017840000000006E-6</v>
      </c>
      <c r="L261" s="33">
        <f ca="1">+L259*'Assumptions and Sensis'!$O$191</f>
        <v>8.8017840000000006E-6</v>
      </c>
      <c r="M261" s="33">
        <f ca="1">+M259*'Assumptions and Sensis'!$O$191</f>
        <v>8.8017840000000006E-6</v>
      </c>
      <c r="N261" s="33">
        <f ca="1">+N259*'Assumptions and Sensis'!$O$191</f>
        <v>8.8017840000000006E-6</v>
      </c>
      <c r="O261" s="33">
        <f ca="1">+O259*'Assumptions and Sensis'!$O$191</f>
        <v>8.8017840000000006E-6</v>
      </c>
      <c r="P261" s="33">
        <f ca="1">+P259*'Assumptions and Sensis'!$O$191</f>
        <v>8.8017840000000006E-6</v>
      </c>
      <c r="Q261" s="33">
        <f ca="1">+Q259*'Assumptions and Sensis'!$O$191</f>
        <v>8.8017840000000006E-6</v>
      </c>
      <c r="R261" s="33">
        <f ca="1">+R259*'Assumptions and Sensis'!$O$191</f>
        <v>8.8017840000000006E-6</v>
      </c>
      <c r="S261" s="33">
        <f ca="1">+S259*'Assumptions and Sensis'!$O$191</f>
        <v>8.8017840000000006E-6</v>
      </c>
      <c r="T261" s="33">
        <f ca="1">+T259*'Assumptions and Sensis'!$O$191</f>
        <v>8.8017840000000006E-6</v>
      </c>
      <c r="U261" s="33">
        <f ca="1">+U259*'Assumptions and Sensis'!$O$191</f>
        <v>8.8017840000000006E-6</v>
      </c>
      <c r="V261" s="33">
        <f ca="1">+V259*'Assumptions and Sensis'!$O$191</f>
        <v>8.8017840000000006E-6</v>
      </c>
      <c r="W261" s="33">
        <f ca="1">+W259*'Assumptions and Sensis'!$O$191</f>
        <v>8.8017840000000006E-6</v>
      </c>
      <c r="X261" s="33">
        <f ca="1">+X259*'Assumptions and Sensis'!$O$191</f>
        <v>8.8017840000000006E-6</v>
      </c>
      <c r="Y261" s="33">
        <f ca="1">+Y259*'Assumptions and Sensis'!$O$191</f>
        <v>8.8017840000000006E-6</v>
      </c>
      <c r="Z261" s="33">
        <f ca="1">+Z259*'Assumptions and Sensis'!$O$191</f>
        <v>8.8017840000000006E-6</v>
      </c>
    </row>
    <row r="262" spans="2:26" x14ac:dyDescent="0.2">
      <c r="B262" s="136" t="s">
        <v>341</v>
      </c>
      <c r="C262" s="136"/>
      <c r="D262" s="136"/>
      <c r="E262" s="136"/>
      <c r="F262" s="128">
        <f t="shared" ref="F262:K262" si="143">+F261-F258</f>
        <v>0</v>
      </c>
      <c r="G262" s="128">
        <f t="shared" si="143"/>
        <v>0</v>
      </c>
      <c r="H262" s="128">
        <f t="shared" si="143"/>
        <v>0</v>
      </c>
      <c r="I262" s="128">
        <f t="shared" ca="1" si="143"/>
        <v>8.8017840000000006E-6</v>
      </c>
      <c r="J262" s="128">
        <f t="shared" ca="1" si="143"/>
        <v>8.8017840000000006E-6</v>
      </c>
      <c r="K262" s="128">
        <f t="shared" ca="1" si="143"/>
        <v>8.8017840000000006E-6</v>
      </c>
      <c r="L262" s="128">
        <f ca="1">+L261-L258</f>
        <v>8.8017840000000006E-6</v>
      </c>
      <c r="M262" s="128">
        <f t="shared" ref="M262:Z262" ca="1" si="144">+M261-M258</f>
        <v>8.8017840000000006E-6</v>
      </c>
      <c r="N262" s="128">
        <f t="shared" ca="1" si="144"/>
        <v>8.8017840000000006E-6</v>
      </c>
      <c r="O262" s="128">
        <f t="shared" ca="1" si="144"/>
        <v>8.8017840000000006E-6</v>
      </c>
      <c r="P262" s="128">
        <f t="shared" ca="1" si="144"/>
        <v>8.8017840000000006E-6</v>
      </c>
      <c r="Q262" s="128">
        <f t="shared" ca="1" si="144"/>
        <v>8.8017840000000006E-6</v>
      </c>
      <c r="R262" s="128">
        <f t="shared" ca="1" si="144"/>
        <v>8.8017840000000006E-6</v>
      </c>
      <c r="S262" s="128">
        <f t="shared" ca="1" si="144"/>
        <v>8.8017840000000006E-6</v>
      </c>
      <c r="T262" s="128">
        <f t="shared" ca="1" si="144"/>
        <v>8.8017840000000006E-6</v>
      </c>
      <c r="U262" s="128">
        <f t="shared" ca="1" si="144"/>
        <v>8.8017840000000006E-6</v>
      </c>
      <c r="V262" s="128">
        <f t="shared" ca="1" si="144"/>
        <v>8.8017840000000006E-6</v>
      </c>
      <c r="W262" s="128">
        <f t="shared" ca="1" si="144"/>
        <v>8.8017840000000006E-6</v>
      </c>
      <c r="X262" s="128">
        <f t="shared" ca="1" si="144"/>
        <v>8.8017840000000006E-6</v>
      </c>
      <c r="Y262" s="128">
        <f t="shared" ca="1" si="144"/>
        <v>8.8017840000000006E-6</v>
      </c>
      <c r="Z262" s="128">
        <f t="shared" ca="1" si="144"/>
        <v>8.8017840000000006E-6</v>
      </c>
    </row>
    <row r="263" spans="2:26" x14ac:dyDescent="0.2">
      <c r="B263" s="145" t="s">
        <v>181</v>
      </c>
      <c r="F263" s="178" t="str">
        <f t="shared" ref="F263:J263" ca="1" si="145">+IFERROR(F251/F262,"")</f>
        <v/>
      </c>
      <c r="G263" s="178" t="str">
        <f t="shared" ca="1" si="145"/>
        <v/>
      </c>
      <c r="H263" s="178" t="str">
        <f t="shared" ca="1" si="145"/>
        <v/>
      </c>
      <c r="I263" s="178">
        <f t="shared" ca="1" si="145"/>
        <v>0.66666666666666663</v>
      </c>
      <c r="J263" s="178">
        <f t="shared" ca="1" si="145"/>
        <v>1.3333333333333333</v>
      </c>
      <c r="K263" s="178">
        <f ca="1">+IFERROR(K251/K262,"")</f>
        <v>1.3333333333333333</v>
      </c>
      <c r="L263" s="178">
        <f t="shared" ref="L263:Z263" ca="1" si="146">+IFERROR(L251/L262,"")</f>
        <v>1.4666666666666668</v>
      </c>
      <c r="M263" s="178">
        <f t="shared" ca="1" si="146"/>
        <v>1.4666666666666666</v>
      </c>
      <c r="N263" s="178">
        <f t="shared" ca="1" si="146"/>
        <v>1.4666666666666668</v>
      </c>
      <c r="O263" s="178">
        <f t="shared" ca="1" si="146"/>
        <v>1.4666666666666668</v>
      </c>
      <c r="P263" s="178">
        <f t="shared" ca="1" si="146"/>
        <v>1.4666666666666666</v>
      </c>
      <c r="Q263" s="178">
        <f t="shared" ca="1" si="146"/>
        <v>1.6133333333333335</v>
      </c>
      <c r="R263" s="178">
        <f t="shared" ca="1" si="146"/>
        <v>1.6133333333333333</v>
      </c>
      <c r="S263" s="178">
        <f t="shared" ca="1" si="146"/>
        <v>1.6133333333333335</v>
      </c>
      <c r="T263" s="178">
        <f t="shared" ca="1" si="146"/>
        <v>1.6133333333333337</v>
      </c>
      <c r="U263" s="178">
        <f t="shared" ca="1" si="146"/>
        <v>1.6133333333333333</v>
      </c>
      <c r="V263" s="178">
        <f t="shared" ca="1" si="146"/>
        <v>1.7746666666666668</v>
      </c>
      <c r="W263" s="178">
        <f t="shared" ca="1" si="146"/>
        <v>1.7746666666666668</v>
      </c>
      <c r="X263" s="178">
        <f t="shared" ca="1" si="146"/>
        <v>1.7746666666666668</v>
      </c>
      <c r="Y263" s="178">
        <f t="shared" ca="1" si="146"/>
        <v>1.7746666666666668</v>
      </c>
      <c r="Z263" s="178">
        <f t="shared" ca="1" si="146"/>
        <v>1.7746666666666668</v>
      </c>
    </row>
    <row r="265" spans="2:26" x14ac:dyDescent="0.2">
      <c r="B265" s="40" t="s">
        <v>156</v>
      </c>
      <c r="F265" s="33">
        <f>+F257*'Assumptions and Sensis'!$O$192</f>
        <v>0</v>
      </c>
      <c r="G265" s="33">
        <f>+G257*'Assumptions and Sensis'!$O$192</f>
        <v>0</v>
      </c>
      <c r="H265" s="33">
        <f>+H257*'Assumptions and Sensis'!$O$192</f>
        <v>0</v>
      </c>
      <c r="I265" s="33">
        <f ca="1">+I257*'Assumptions and Sensis'!$O$192</f>
        <v>1.2002432727272727E-6</v>
      </c>
      <c r="J265" s="33">
        <f>+J257*'Assumptions and Sensis'!$O$192</f>
        <v>0</v>
      </c>
      <c r="K265" s="33">
        <f>+K257*'Assumptions and Sensis'!$O$192</f>
        <v>0</v>
      </c>
      <c r="L265" s="33">
        <f>+L257*'Assumptions and Sensis'!$O$192</f>
        <v>0</v>
      </c>
      <c r="M265" s="33">
        <f>+M257*'Assumptions and Sensis'!$O$192</f>
        <v>0</v>
      </c>
      <c r="N265" s="33">
        <f>+N257*'Assumptions and Sensis'!$O$192</f>
        <v>0</v>
      </c>
      <c r="O265" s="33">
        <f>+O257*'Assumptions and Sensis'!$O$192</f>
        <v>0</v>
      </c>
      <c r="P265" s="33">
        <f>+P257*'Assumptions and Sensis'!$O$192</f>
        <v>0</v>
      </c>
      <c r="Q265" s="33">
        <f>+Q257*'Assumptions and Sensis'!$O$192</f>
        <v>0</v>
      </c>
      <c r="R265" s="33">
        <f>+R257*'Assumptions and Sensis'!$O$192</f>
        <v>0</v>
      </c>
      <c r="S265" s="33">
        <f>+S257*'Assumptions and Sensis'!$O$192</f>
        <v>0</v>
      </c>
      <c r="T265" s="33">
        <f>+T257*'Assumptions and Sensis'!$O$192</f>
        <v>0</v>
      </c>
      <c r="U265" s="33">
        <f>+U257*'Assumptions and Sensis'!$O$192</f>
        <v>0</v>
      </c>
      <c r="V265" s="33">
        <f>+V257*'Assumptions and Sensis'!$O$192</f>
        <v>0</v>
      </c>
      <c r="W265" s="33">
        <f>+W257*'Assumptions and Sensis'!$O$192</f>
        <v>0</v>
      </c>
      <c r="X265" s="33">
        <f>+X257*'Assumptions and Sensis'!$O$192</f>
        <v>0</v>
      </c>
      <c r="Y265" s="33">
        <f>+Y257*'Assumptions and Sensis'!$O$192</f>
        <v>0</v>
      </c>
      <c r="Z265" s="33">
        <f>+Z257*'Assumptions and Sensis'!$O$192</f>
        <v>0</v>
      </c>
    </row>
    <row r="267" spans="2:26" x14ac:dyDescent="0.2">
      <c r="B267" s="136" t="s">
        <v>334</v>
      </c>
      <c r="C267" s="136"/>
      <c r="D267" s="136"/>
      <c r="E267" s="136"/>
      <c r="F267" s="128">
        <f ca="1">+F251-F262-F265</f>
        <v>0</v>
      </c>
      <c r="G267" s="128">
        <f t="shared" ref="G267:Z267" ca="1" si="147">+G251-G262-G265</f>
        <v>0</v>
      </c>
      <c r="H267" s="128">
        <f t="shared" ca="1" si="147"/>
        <v>0</v>
      </c>
      <c r="I267" s="128">
        <f t="shared" ca="1" si="147"/>
        <v>-4.1341712727272736E-6</v>
      </c>
      <c r="J267" s="128">
        <f t="shared" ca="1" si="147"/>
        <v>2.9339279999999991E-6</v>
      </c>
      <c r="K267" s="128">
        <f t="shared" ca="1" si="147"/>
        <v>2.9339279999999991E-6</v>
      </c>
      <c r="L267" s="128">
        <f t="shared" ca="1" si="147"/>
        <v>4.1074992000000014E-6</v>
      </c>
      <c r="M267" s="128">
        <f t="shared" ca="1" si="147"/>
        <v>4.1074991999999997E-6</v>
      </c>
      <c r="N267" s="128">
        <f t="shared" ca="1" si="147"/>
        <v>4.1074992000000014E-6</v>
      </c>
      <c r="O267" s="128">
        <f t="shared" ca="1" si="147"/>
        <v>4.1074992000000014E-6</v>
      </c>
      <c r="P267" s="128">
        <f t="shared" ca="1" si="147"/>
        <v>4.1074991999999997E-6</v>
      </c>
      <c r="Q267" s="128">
        <f t="shared" ca="1" si="147"/>
        <v>5.3984275200000023E-6</v>
      </c>
      <c r="R267" s="128">
        <f t="shared" ca="1" si="147"/>
        <v>5.3984275200000006E-6</v>
      </c>
      <c r="S267" s="128">
        <f t="shared" ca="1" si="147"/>
        <v>5.3984275200000023E-6</v>
      </c>
      <c r="T267" s="128">
        <f t="shared" ca="1" si="147"/>
        <v>5.398427520000004E-6</v>
      </c>
      <c r="U267" s="128">
        <f t="shared" ca="1" si="147"/>
        <v>5.3984275200000006E-6</v>
      </c>
      <c r="V267" s="128">
        <f t="shared" ca="1" si="147"/>
        <v>6.8184486720000027E-6</v>
      </c>
      <c r="W267" s="128">
        <f t="shared" ca="1" si="147"/>
        <v>6.8184486720000027E-6</v>
      </c>
      <c r="X267" s="128">
        <f t="shared" ca="1" si="147"/>
        <v>6.8184486720000027E-6</v>
      </c>
      <c r="Y267" s="128">
        <f t="shared" ca="1" si="147"/>
        <v>6.8184486720000027E-6</v>
      </c>
      <c r="Z267" s="128">
        <f t="shared" ca="1" si="147"/>
        <v>6.8184486720000027E-6</v>
      </c>
    </row>
    <row r="269" spans="2:26" x14ac:dyDescent="0.2">
      <c r="B269" s="147" t="s">
        <v>343</v>
      </c>
    </row>
    <row r="270" spans="2:26" x14ac:dyDescent="0.2">
      <c r="B270" s="32" t="s">
        <v>336</v>
      </c>
      <c r="F270" s="33">
        <f>+IF(YEAR(F$140)=YEAR('Assumptions and Sensis'!$G$51),F253,0)</f>
        <v>0</v>
      </c>
      <c r="G270" s="33">
        <f>+IF(YEAR(G$140)=YEAR('Assumptions and Sensis'!$G$51),G253,0)</f>
        <v>0</v>
      </c>
      <c r="H270" s="33">
        <f>+IF(YEAR(H$140)=YEAR('Assumptions and Sensis'!$G$51),H253,0)</f>
        <v>0</v>
      </c>
      <c r="I270" s="33">
        <f>+IF(YEAR(I$140)=YEAR('Assumptions and Sensis'!$G$51),I253,0)</f>
        <v>0</v>
      </c>
      <c r="J270" s="33">
        <f>+IF(YEAR(J$140)=YEAR('Assumptions and Sensis'!$G$51),J253,0)</f>
        <v>0</v>
      </c>
      <c r="K270" s="33">
        <f>+IF(YEAR(K$140)=YEAR('Assumptions and Sensis'!$G$51),K253,0)</f>
        <v>0</v>
      </c>
      <c r="L270" s="33">
        <f>+IF(YEAR(L$140)=YEAR('Assumptions and Sensis'!$G$51),L253,0)</f>
        <v>0</v>
      </c>
      <c r="M270" s="33">
        <f>+IF(YEAR(M$140)=YEAR('Assumptions and Sensis'!$G$51),M253,0)</f>
        <v>0</v>
      </c>
      <c r="N270" s="33">
        <f ca="1">+IF(YEAR(N$140)=YEAR('Assumptions and Sensis'!$G$51),N253,0)</f>
        <v>2.3471424000000003E-4</v>
      </c>
      <c r="O270" s="33">
        <f>+IF(YEAR(O$140)=YEAR('Assumptions and Sensis'!$G$51),O253,0)</f>
        <v>0</v>
      </c>
      <c r="P270" s="33">
        <f>+IF(YEAR(P$140)=YEAR('Assumptions and Sensis'!$G$51),P253,0)</f>
        <v>0</v>
      </c>
      <c r="Q270" s="33">
        <f>+IF(YEAR(Q$140)=YEAR('Assumptions and Sensis'!$G$51),Q253,0)</f>
        <v>0</v>
      </c>
      <c r="R270" s="33">
        <f>+IF(YEAR(R$140)=YEAR('Assumptions and Sensis'!$G$51),R253,0)</f>
        <v>0</v>
      </c>
      <c r="S270" s="33">
        <f>+IF(YEAR(S$140)=YEAR('Assumptions and Sensis'!$G$51),S253,0)</f>
        <v>0</v>
      </c>
      <c r="T270" s="33">
        <f>+IF(YEAR(T$140)=YEAR('Assumptions and Sensis'!$G$51),T253,0)</f>
        <v>0</v>
      </c>
      <c r="U270" s="33">
        <f>+IF(YEAR(U$140)=YEAR('Assumptions and Sensis'!$G$51),U253,0)</f>
        <v>0</v>
      </c>
      <c r="V270" s="33">
        <f>+IF(YEAR(V$140)=YEAR('Assumptions and Sensis'!$G$51),V253,0)</f>
        <v>0</v>
      </c>
      <c r="W270" s="33">
        <f>+IF(YEAR(W$140)=YEAR('Assumptions and Sensis'!$G$51),W253,0)</f>
        <v>0</v>
      </c>
      <c r="X270" s="33">
        <f>+IF(YEAR(X$140)=YEAR('Assumptions and Sensis'!$G$51),X253,0)</f>
        <v>0</v>
      </c>
      <c r="Y270" s="33">
        <f>+IF(YEAR(Y$140)=YEAR('Assumptions and Sensis'!$G$51),Y253,0)</f>
        <v>0</v>
      </c>
      <c r="Z270" s="33">
        <f>+IF(YEAR(Z$140)=YEAR('Assumptions and Sensis'!$G$51),Z253,0)</f>
        <v>0</v>
      </c>
    </row>
    <row r="271" spans="2:26" x14ac:dyDescent="0.2">
      <c r="B271" s="32" t="s">
        <v>337</v>
      </c>
      <c r="F271" s="150">
        <f>-F270*'Assumptions and Sensis'!$O$161</f>
        <v>0</v>
      </c>
      <c r="G271" s="150">
        <f>-G270*'Assumptions and Sensis'!$O$161</f>
        <v>0</v>
      </c>
      <c r="H271" s="150">
        <f>-H270*'Assumptions and Sensis'!$O$161</f>
        <v>0</v>
      </c>
      <c r="I271" s="150">
        <f>-I270*'Assumptions and Sensis'!$O$161</f>
        <v>0</v>
      </c>
      <c r="J271" s="150">
        <f>-J270*'Assumptions and Sensis'!$O$161</f>
        <v>0</v>
      </c>
      <c r="K271" s="150">
        <f>-K270*'Assumptions and Sensis'!$O$161</f>
        <v>0</v>
      </c>
      <c r="L271" s="150">
        <f>-L270*'Assumptions and Sensis'!$O$161</f>
        <v>0</v>
      </c>
      <c r="M271" s="150">
        <f>-M270*'Assumptions and Sensis'!$O$161</f>
        <v>0</v>
      </c>
      <c r="N271" s="150">
        <f ca="1">-N270*'Assumptions and Sensis'!$O$161</f>
        <v>-4.6942848000000009E-6</v>
      </c>
      <c r="O271" s="150">
        <f>-O270*'Assumptions and Sensis'!$O$161</f>
        <v>0</v>
      </c>
      <c r="P271" s="150">
        <f>-P270*'Assumptions and Sensis'!$O$161</f>
        <v>0</v>
      </c>
      <c r="Q271" s="150">
        <f>-Q270*'Assumptions and Sensis'!$O$161</f>
        <v>0</v>
      </c>
      <c r="R271" s="150">
        <f>-R270*'Assumptions and Sensis'!$O$161</f>
        <v>0</v>
      </c>
      <c r="S271" s="150">
        <f>-S270*'Assumptions and Sensis'!$O$161</f>
        <v>0</v>
      </c>
      <c r="T271" s="150">
        <f>-T270*'Assumptions and Sensis'!$O$161</f>
        <v>0</v>
      </c>
      <c r="U271" s="150">
        <f>-U270*'Assumptions and Sensis'!$O$161</f>
        <v>0</v>
      </c>
      <c r="V271" s="150">
        <f>-V270*'Assumptions and Sensis'!$O$161</f>
        <v>0</v>
      </c>
      <c r="W271" s="150">
        <f>-W270*'Assumptions and Sensis'!$O$161</f>
        <v>0</v>
      </c>
      <c r="X271" s="150">
        <f>-X270*'Assumptions and Sensis'!$O$161</f>
        <v>0</v>
      </c>
      <c r="Y271" s="150">
        <f>-Y270*'Assumptions and Sensis'!$O$161</f>
        <v>0</v>
      </c>
      <c r="Z271" s="150">
        <f>-Z270*'Assumptions and Sensis'!$O$161</f>
        <v>0</v>
      </c>
    </row>
    <row r="272" spans="2:26" x14ac:dyDescent="0.2">
      <c r="B272" s="32" t="s">
        <v>338</v>
      </c>
      <c r="F272" s="150">
        <f>+IF(YEAR(F$140)=YEAR('Assumptions and Sensis'!$G$51),-F259,0)</f>
        <v>0</v>
      </c>
      <c r="G272" s="150">
        <f>+IF(YEAR(G$140)=YEAR('Assumptions and Sensis'!$G$51),-G259,0)</f>
        <v>0</v>
      </c>
      <c r="H272" s="150">
        <f>+IF(YEAR(H$140)=YEAR('Assumptions and Sensis'!$G$51),-H259,0)</f>
        <v>0</v>
      </c>
      <c r="I272" s="150">
        <f>+IF(YEAR(I$140)=YEAR('Assumptions and Sensis'!$G$51),-I259,0)</f>
        <v>0</v>
      </c>
      <c r="J272" s="150">
        <f>+IF(YEAR(J$140)=YEAR('Assumptions and Sensis'!$G$51),-J259,0)</f>
        <v>0</v>
      </c>
      <c r="K272" s="150">
        <f>+IF(YEAR(K$140)=YEAR('Assumptions and Sensis'!$G$51),-K259,0)</f>
        <v>0</v>
      </c>
      <c r="L272" s="150">
        <f>+IF(YEAR(L$140)=YEAR('Assumptions and Sensis'!$G$51),-L259,0)</f>
        <v>0</v>
      </c>
      <c r="M272" s="150">
        <f>+IF(YEAR(M$140)=YEAR('Assumptions and Sensis'!$G$51),-M259,0)</f>
        <v>0</v>
      </c>
      <c r="N272" s="150">
        <f ca="1">+IF(YEAR(N$140)=YEAR('Assumptions and Sensis'!$G$51),-N259,0)</f>
        <v>-1.6003243636363636E-4</v>
      </c>
      <c r="O272" s="150">
        <f>+IF(YEAR(O$140)=YEAR('Assumptions and Sensis'!$G$51),-O259,0)</f>
        <v>0</v>
      </c>
      <c r="P272" s="150">
        <f>+IF(YEAR(P$140)=YEAR('Assumptions and Sensis'!$G$51),-P259,0)</f>
        <v>0</v>
      </c>
      <c r="Q272" s="150">
        <f>+IF(YEAR(Q$140)=YEAR('Assumptions and Sensis'!$G$51),-Q259,0)</f>
        <v>0</v>
      </c>
      <c r="R272" s="150">
        <f>+IF(YEAR(R$140)=YEAR('Assumptions and Sensis'!$G$51),-R259,0)</f>
        <v>0</v>
      </c>
      <c r="S272" s="150">
        <f>+IF(YEAR(S$140)=YEAR('Assumptions and Sensis'!$G$51),-S259,0)</f>
        <v>0</v>
      </c>
      <c r="T272" s="150">
        <f>+IF(YEAR(T$140)=YEAR('Assumptions and Sensis'!$G$51),-T259,0)</f>
        <v>0</v>
      </c>
      <c r="U272" s="150">
        <f>+IF(YEAR(U$140)=YEAR('Assumptions and Sensis'!$G$51),-U259,0)</f>
        <v>0</v>
      </c>
      <c r="V272" s="150">
        <f>+IF(YEAR(V$140)=YEAR('Assumptions and Sensis'!$G$51),-V259,0)</f>
        <v>0</v>
      </c>
      <c r="W272" s="150">
        <f>+IF(YEAR(W$140)=YEAR('Assumptions and Sensis'!$G$51),-W259,0)</f>
        <v>0</v>
      </c>
      <c r="X272" s="150">
        <f>+IF(YEAR(X$140)=YEAR('Assumptions and Sensis'!$G$51),-X259,0)</f>
        <v>0</v>
      </c>
      <c r="Y272" s="150">
        <f>+IF(YEAR(Y$140)=YEAR('Assumptions and Sensis'!$G$51),-Y259,0)</f>
        <v>0</v>
      </c>
      <c r="Z272" s="150">
        <f>+IF(YEAR(Z$140)=YEAR('Assumptions and Sensis'!$G$51),-Z259,0)</f>
        <v>0</v>
      </c>
    </row>
    <row r="273" spans="2:26" x14ac:dyDescent="0.2">
      <c r="B273" s="136" t="s">
        <v>339</v>
      </c>
      <c r="C273" s="136"/>
      <c r="D273" s="136"/>
      <c r="E273" s="136"/>
      <c r="F273" s="128">
        <f t="shared" ref="F273:Z273" si="148">+SUM(F270:F272)</f>
        <v>0</v>
      </c>
      <c r="G273" s="128">
        <f t="shared" si="148"/>
        <v>0</v>
      </c>
      <c r="H273" s="128">
        <f t="shared" si="148"/>
        <v>0</v>
      </c>
      <c r="I273" s="128">
        <f t="shared" si="148"/>
        <v>0</v>
      </c>
      <c r="J273" s="128">
        <f t="shared" si="148"/>
        <v>0</v>
      </c>
      <c r="K273" s="128">
        <f t="shared" si="148"/>
        <v>0</v>
      </c>
      <c r="L273" s="128">
        <f t="shared" si="148"/>
        <v>0</v>
      </c>
      <c r="M273" s="128">
        <f t="shared" si="148"/>
        <v>0</v>
      </c>
      <c r="N273" s="128">
        <f t="shared" ca="1" si="148"/>
        <v>6.9987518836363662E-5</v>
      </c>
      <c r="O273" s="128">
        <f t="shared" si="148"/>
        <v>0</v>
      </c>
      <c r="P273" s="128">
        <f t="shared" si="148"/>
        <v>0</v>
      </c>
      <c r="Q273" s="128">
        <f t="shared" si="148"/>
        <v>0</v>
      </c>
      <c r="R273" s="128">
        <f t="shared" si="148"/>
        <v>0</v>
      </c>
      <c r="S273" s="128">
        <f t="shared" si="148"/>
        <v>0</v>
      </c>
      <c r="T273" s="128">
        <f t="shared" si="148"/>
        <v>0</v>
      </c>
      <c r="U273" s="128">
        <f t="shared" si="148"/>
        <v>0</v>
      </c>
      <c r="V273" s="128">
        <f t="shared" si="148"/>
        <v>0</v>
      </c>
      <c r="W273" s="128">
        <f t="shared" si="148"/>
        <v>0</v>
      </c>
      <c r="X273" s="128">
        <f t="shared" si="148"/>
        <v>0</v>
      </c>
      <c r="Y273" s="128">
        <f t="shared" si="148"/>
        <v>0</v>
      </c>
      <c r="Z273" s="128">
        <f t="shared" si="148"/>
        <v>0</v>
      </c>
    </row>
    <row r="275" spans="2:26" x14ac:dyDescent="0.2">
      <c r="B275" s="137" t="s">
        <v>340</v>
      </c>
      <c r="C275" s="137"/>
      <c r="D275" s="137"/>
      <c r="E275" s="137"/>
      <c r="F275" s="138">
        <f ca="1">+IF(YEAR(F$140)&lt;=YEAR('Assumptions and Sensis'!$G$51),'Phase II Pro Forma'!F273+'Phase II Pro Forma'!F267,0)</f>
        <v>0</v>
      </c>
      <c r="G275" s="138">
        <f ca="1">+IF(YEAR(G$140)&lt;=YEAR('Assumptions and Sensis'!$G$51),'Phase II Pro Forma'!G273+'Phase II Pro Forma'!G267,0)</f>
        <v>0</v>
      </c>
      <c r="H275" s="138">
        <f ca="1">+IF(YEAR(H$140)&lt;=YEAR('Assumptions and Sensis'!$G$51),'Phase II Pro Forma'!H273+'Phase II Pro Forma'!H267,0)</f>
        <v>0</v>
      </c>
      <c r="I275" s="138">
        <f ca="1">+IF(YEAR(I$140)&lt;=YEAR('Assumptions and Sensis'!$G$51),'Phase II Pro Forma'!I273+'Phase II Pro Forma'!I267,0)</f>
        <v>-4.1341712727272736E-6</v>
      </c>
      <c r="J275" s="138">
        <f ca="1">+IF(YEAR(J$140)&lt;=YEAR('Assumptions and Sensis'!$G$51),'Phase II Pro Forma'!J273+'Phase II Pro Forma'!J267,0)</f>
        <v>2.9339279999999991E-6</v>
      </c>
      <c r="K275" s="138">
        <f ca="1">+IF(YEAR(K$140)&lt;=YEAR('Assumptions and Sensis'!$G$51),'Phase II Pro Forma'!K273+'Phase II Pro Forma'!K267,0)</f>
        <v>2.9339279999999991E-6</v>
      </c>
      <c r="L275" s="138">
        <f ca="1">+IF(YEAR(L$140)&lt;=YEAR('Assumptions and Sensis'!$G$51),'Phase II Pro Forma'!L273+'Phase II Pro Forma'!L267,0)</f>
        <v>4.1074992000000014E-6</v>
      </c>
      <c r="M275" s="138">
        <f ca="1">+IF(YEAR(M$140)&lt;=YEAR('Assumptions and Sensis'!$G$51),'Phase II Pro Forma'!M273+'Phase II Pro Forma'!M267,0)</f>
        <v>4.1074991999999997E-6</v>
      </c>
      <c r="N275" s="138">
        <f ca="1">+IF(YEAR(N$140)&lt;=YEAR('Assumptions and Sensis'!$G$51),'Phase II Pro Forma'!N273+'Phase II Pro Forma'!N267,0)</f>
        <v>7.4095018036363664E-5</v>
      </c>
      <c r="O275" s="138">
        <f>+IF(YEAR(O$140)&lt;=YEAR('Assumptions and Sensis'!$G$51),'Phase II Pro Forma'!O273+'Phase II Pro Forma'!O267,0)</f>
        <v>0</v>
      </c>
      <c r="P275" s="138">
        <f>+IF(YEAR(P$140)&lt;=YEAR('Assumptions and Sensis'!$G$51),'Phase II Pro Forma'!P273+'Phase II Pro Forma'!P267,0)</f>
        <v>0</v>
      </c>
      <c r="Q275" s="138">
        <f>+IF(YEAR(Q$140)&lt;=YEAR('Assumptions and Sensis'!$G$51),'Phase II Pro Forma'!Q273+'Phase II Pro Forma'!Q267,0)</f>
        <v>0</v>
      </c>
      <c r="R275" s="138">
        <f>+IF(YEAR(R$140)&lt;=YEAR('Assumptions and Sensis'!$G$51),'Phase II Pro Forma'!R273+'Phase II Pro Forma'!R267,0)</f>
        <v>0</v>
      </c>
      <c r="S275" s="138">
        <f>+IF(YEAR(S$140)&lt;=YEAR('Assumptions and Sensis'!$G$51),'Phase II Pro Forma'!S273+'Phase II Pro Forma'!S267,0)</f>
        <v>0</v>
      </c>
      <c r="T275" s="138">
        <f>+IF(YEAR(T$140)&lt;=YEAR('Assumptions and Sensis'!$G$51),'Phase II Pro Forma'!T273+'Phase II Pro Forma'!T267,0)</f>
        <v>0</v>
      </c>
      <c r="U275" s="138">
        <f>+IF(YEAR(U$140)&lt;=YEAR('Assumptions and Sensis'!$G$51),'Phase II Pro Forma'!U273+'Phase II Pro Forma'!U267,0)</f>
        <v>0</v>
      </c>
      <c r="V275" s="138">
        <f>+IF(YEAR(V$140)&lt;=YEAR('Assumptions and Sensis'!$G$51),'Phase II Pro Forma'!V273+'Phase II Pro Forma'!V267,0)</f>
        <v>0</v>
      </c>
      <c r="W275" s="138">
        <f>+IF(YEAR(W$140)&lt;=YEAR('Assumptions and Sensis'!$G$51),'Phase II Pro Forma'!W273+'Phase II Pro Forma'!W267,0)</f>
        <v>0</v>
      </c>
      <c r="X275" s="138">
        <f>+IF(YEAR(X$140)&lt;=YEAR('Assumptions and Sensis'!$G$51),'Phase II Pro Forma'!X273+'Phase II Pro Forma'!X267,0)</f>
        <v>0</v>
      </c>
      <c r="Y275" s="138">
        <f>+IF(YEAR(Y$140)&lt;=YEAR('Assumptions and Sensis'!$G$51),'Phase II Pro Forma'!Y273+'Phase II Pro Forma'!Y267,0)</f>
        <v>0</v>
      </c>
      <c r="Z275" s="138">
        <f>+IF(YEAR(Z$140)&lt;=YEAR('Assumptions and Sensis'!$G$51),'Phase II Pro Forma'!Z273+'Phase II Pro Forma'!Z267,0)</f>
        <v>0</v>
      </c>
    </row>
    <row r="277" spans="2:26" x14ac:dyDescent="0.2">
      <c r="B277" s="137" t="s">
        <v>356</v>
      </c>
      <c r="C277" s="137"/>
      <c r="D277" s="137"/>
      <c r="E277" s="137"/>
      <c r="F277" s="138">
        <f t="shared" ref="F277:Z277" ca="1" si="149">+F275+F230+F162</f>
        <v>0</v>
      </c>
      <c r="G277" s="138">
        <f t="shared" ca="1" si="149"/>
        <v>0</v>
      </c>
      <c r="H277" s="138">
        <f t="shared" ca="1" si="149"/>
        <v>0</v>
      </c>
      <c r="I277" s="138">
        <f t="shared" ca="1" si="149"/>
        <v>18901765.613567784</v>
      </c>
      <c r="J277" s="138">
        <f t="shared" ca="1" si="149"/>
        <v>3047194.9531564033</v>
      </c>
      <c r="K277" s="138">
        <f t="shared" ca="1" si="149"/>
        <v>3480773.6680041822</v>
      </c>
      <c r="L277" s="138">
        <f t="shared" ca="1" si="149"/>
        <v>4385732.7590233833</v>
      </c>
      <c r="M277" s="138">
        <f t="shared" ca="1" si="149"/>
        <v>4624966.840634143</v>
      </c>
      <c r="N277" s="138">
        <f t="shared" ca="1" si="149"/>
        <v>114506835.95042825</v>
      </c>
      <c r="O277" s="138">
        <f t="shared" si="149"/>
        <v>0</v>
      </c>
      <c r="P277" s="138">
        <f t="shared" si="149"/>
        <v>0</v>
      </c>
      <c r="Q277" s="138">
        <f t="shared" si="149"/>
        <v>0</v>
      </c>
      <c r="R277" s="138">
        <f t="shared" si="149"/>
        <v>0</v>
      </c>
      <c r="S277" s="138">
        <f t="shared" si="149"/>
        <v>0</v>
      </c>
      <c r="T277" s="138">
        <f t="shared" si="149"/>
        <v>0</v>
      </c>
      <c r="U277" s="138">
        <f t="shared" si="149"/>
        <v>0</v>
      </c>
      <c r="V277" s="138">
        <f t="shared" si="149"/>
        <v>0</v>
      </c>
      <c r="W277" s="138">
        <f t="shared" si="149"/>
        <v>0</v>
      </c>
      <c r="X277" s="138">
        <f t="shared" si="149"/>
        <v>0</v>
      </c>
      <c r="Y277" s="138">
        <f t="shared" si="149"/>
        <v>0</v>
      </c>
      <c r="Z277" s="138">
        <f t="shared" si="149"/>
        <v>0</v>
      </c>
    </row>
    <row r="279" spans="2:26" x14ac:dyDescent="0.2">
      <c r="B279" s="40" t="s">
        <v>442</v>
      </c>
      <c r="F279" s="33">
        <f ca="1">+F156+F300</f>
        <v>0</v>
      </c>
      <c r="G279" s="33">
        <f t="shared" ref="G279:Z279" ca="1" si="150">+G156+G300</f>
        <v>73588298.947462529</v>
      </c>
      <c r="H279" s="33">
        <f t="shared" ca="1" si="150"/>
        <v>59463110.661403</v>
      </c>
      <c r="I279" s="33">
        <f t="shared" ca="1" si="150"/>
        <v>24672690.320007652</v>
      </c>
      <c r="J279" s="33">
        <f t="shared" ca="1" si="150"/>
        <v>0</v>
      </c>
      <c r="K279" s="33">
        <f t="shared" ca="1" si="150"/>
        <v>0</v>
      </c>
      <c r="L279" s="33">
        <f t="shared" ca="1" si="150"/>
        <v>0</v>
      </c>
      <c r="M279" s="33">
        <f t="shared" ca="1" si="150"/>
        <v>0</v>
      </c>
      <c r="N279" s="33">
        <f t="shared" ca="1" si="150"/>
        <v>0</v>
      </c>
      <c r="O279" s="33">
        <f t="shared" ca="1" si="150"/>
        <v>0</v>
      </c>
      <c r="P279" s="33">
        <f t="shared" ca="1" si="150"/>
        <v>0</v>
      </c>
      <c r="Q279" s="33">
        <f t="shared" ca="1" si="150"/>
        <v>0</v>
      </c>
      <c r="R279" s="33">
        <f t="shared" ca="1" si="150"/>
        <v>0</v>
      </c>
      <c r="S279" s="33">
        <f t="shared" ca="1" si="150"/>
        <v>0</v>
      </c>
      <c r="T279" s="33">
        <f t="shared" ca="1" si="150"/>
        <v>0</v>
      </c>
      <c r="U279" s="33">
        <f t="shared" ca="1" si="150"/>
        <v>0</v>
      </c>
      <c r="V279" s="33">
        <f t="shared" ca="1" si="150"/>
        <v>0</v>
      </c>
      <c r="W279" s="33">
        <f t="shared" ca="1" si="150"/>
        <v>0</v>
      </c>
      <c r="X279" s="33">
        <f t="shared" ca="1" si="150"/>
        <v>0</v>
      </c>
      <c r="Y279" s="33">
        <f t="shared" ca="1" si="150"/>
        <v>0</v>
      </c>
      <c r="Z279" s="33">
        <f t="shared" ca="1" si="150"/>
        <v>0</v>
      </c>
    </row>
    <row r="280" spans="2:26" x14ac:dyDescent="0.2">
      <c r="B280" s="40" t="s">
        <v>341</v>
      </c>
      <c r="F280" s="33">
        <f t="shared" ref="F280:Z280" ca="1" si="151">-F272+F262-F227+F217-F158+F147+F220+F150+F265</f>
        <v>0</v>
      </c>
      <c r="G280" s="33">
        <f t="shared" ca="1" si="151"/>
        <v>0</v>
      </c>
      <c r="H280" s="33">
        <f t="shared" ca="1" si="151"/>
        <v>0</v>
      </c>
      <c r="I280" s="33">
        <f t="shared" ca="1" si="151"/>
        <v>12717746.969372177</v>
      </c>
      <c r="J280" s="33">
        <f t="shared" ca="1" si="151"/>
        <v>11438333.50598431</v>
      </c>
      <c r="K280" s="33">
        <f t="shared" ca="1" si="151"/>
        <v>11438333.50598431</v>
      </c>
      <c r="L280" s="33">
        <f t="shared" ca="1" si="151"/>
        <v>11438333.50598431</v>
      </c>
      <c r="M280" s="33">
        <f t="shared" ca="1" si="151"/>
        <v>11438333.50598431</v>
      </c>
      <c r="N280" s="33">
        <f t="shared" ca="1" si="151"/>
        <v>159419911.13870415</v>
      </c>
      <c r="O280" s="33">
        <f t="shared" ca="1" si="151"/>
        <v>11438333.50598431</v>
      </c>
      <c r="P280" s="33">
        <f t="shared" ca="1" si="151"/>
        <v>11438333.50598431</v>
      </c>
      <c r="Q280" s="33">
        <f t="shared" ca="1" si="151"/>
        <v>11438333.50598431</v>
      </c>
      <c r="R280" s="33">
        <f t="shared" ca="1" si="151"/>
        <v>11438333.50598431</v>
      </c>
      <c r="S280" s="33">
        <f t="shared" ca="1" si="151"/>
        <v>11438333.505984312</v>
      </c>
      <c r="T280" s="33">
        <f t="shared" ca="1" si="151"/>
        <v>11438333.50598431</v>
      </c>
      <c r="U280" s="33">
        <f t="shared" ca="1" si="151"/>
        <v>11438333.505984308</v>
      </c>
      <c r="V280" s="33">
        <f t="shared" ca="1" si="151"/>
        <v>11438333.50598431</v>
      </c>
      <c r="W280" s="33">
        <f t="shared" ca="1" si="151"/>
        <v>11438333.50598431</v>
      </c>
      <c r="X280" s="33">
        <f t="shared" ca="1" si="151"/>
        <v>11438333.50598431</v>
      </c>
      <c r="Y280" s="33">
        <f t="shared" ca="1" si="151"/>
        <v>11438333.50598431</v>
      </c>
      <c r="Z280" s="33">
        <f t="shared" ca="1" si="151"/>
        <v>11438333.50598431</v>
      </c>
    </row>
    <row r="282" spans="2:26" x14ac:dyDescent="0.2">
      <c r="B282" s="36" t="s">
        <v>346</v>
      </c>
      <c r="C282" s="37"/>
      <c r="D282" s="37"/>
      <c r="E282" s="37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4" spans="2:26" x14ac:dyDescent="0.2">
      <c r="B284" s="147" t="s">
        <v>345</v>
      </c>
      <c r="F284" s="149">
        <f>+'Assumptions and Sensis'!$G$43</f>
        <v>44926</v>
      </c>
      <c r="G284" s="149">
        <f>+EOMONTH(F284,12)</f>
        <v>45291</v>
      </c>
      <c r="H284" s="149">
        <f t="shared" ref="H284:Z284" si="152">+EOMONTH(G284,12)</f>
        <v>45657</v>
      </c>
      <c r="I284" s="149">
        <f t="shared" si="152"/>
        <v>46022</v>
      </c>
      <c r="J284" s="149">
        <f t="shared" si="152"/>
        <v>46387</v>
      </c>
      <c r="K284" s="149">
        <f t="shared" si="152"/>
        <v>46752</v>
      </c>
      <c r="L284" s="149">
        <f t="shared" si="152"/>
        <v>47118</v>
      </c>
      <c r="M284" s="149">
        <f t="shared" si="152"/>
        <v>47483</v>
      </c>
      <c r="N284" s="149">
        <f t="shared" si="152"/>
        <v>47848</v>
      </c>
      <c r="O284" s="149">
        <f t="shared" si="152"/>
        <v>48213</v>
      </c>
      <c r="P284" s="149">
        <f t="shared" si="152"/>
        <v>48579</v>
      </c>
      <c r="Q284" s="149">
        <f t="shared" si="152"/>
        <v>48944</v>
      </c>
      <c r="R284" s="149">
        <f t="shared" si="152"/>
        <v>49309</v>
      </c>
      <c r="S284" s="149">
        <f t="shared" si="152"/>
        <v>49674</v>
      </c>
      <c r="T284" s="149">
        <f t="shared" si="152"/>
        <v>50040</v>
      </c>
      <c r="U284" s="149">
        <f t="shared" si="152"/>
        <v>50405</v>
      </c>
      <c r="V284" s="149">
        <f t="shared" si="152"/>
        <v>50770</v>
      </c>
      <c r="W284" s="149">
        <f t="shared" si="152"/>
        <v>51135</v>
      </c>
      <c r="X284" s="149">
        <f t="shared" si="152"/>
        <v>51501</v>
      </c>
      <c r="Y284" s="149">
        <f t="shared" si="152"/>
        <v>51866</v>
      </c>
      <c r="Z284" s="149">
        <f t="shared" si="152"/>
        <v>52231</v>
      </c>
    </row>
    <row r="285" spans="2:26" x14ac:dyDescent="0.2">
      <c r="B285" s="32" t="s">
        <v>61</v>
      </c>
      <c r="D285" s="47">
        <f>+SUM(F285:Z285)</f>
        <v>818973.10714285716</v>
      </c>
      <c r="E285" s="47"/>
      <c r="F285" s="33">
        <f>+IF(AND(F$284&gt;='Assumptions and Sensis'!$G$43,F$284&lt;'Assumptions and Sensis'!$G$45),'S&amp;U'!$I7/ROUNDUP('Assumptions and Sensis'!$G$44/12,0),IF(AND(F$284&gt;='Assumptions and Sensis'!$G$45,F$284&lt;'Assumptions and Sensis'!$G$47),'S&amp;U'!$I39/ROUNDUP('Assumptions and Sensis'!$G$46/12,0),0))</f>
        <v>818973.10714285716</v>
      </c>
      <c r="G285" s="33">
        <f>+IF(AND(G$284&gt;='Assumptions and Sensis'!$G$43,G$284&lt;'Assumptions and Sensis'!$G$45),'S&amp;U'!$I7/ROUNDUP('Assumptions and Sensis'!$G$44/12,0),IF(AND(G$284&gt;='Assumptions and Sensis'!$G$45,G$284&lt;'Assumptions and Sensis'!$G$47),'S&amp;U'!$I39/ROUNDUP('Assumptions and Sensis'!$G$46/12,0),0))</f>
        <v>0</v>
      </c>
      <c r="H285" s="33">
        <f>+IF(AND(H$284&gt;='Assumptions and Sensis'!$G$43,H$284&lt;'Assumptions and Sensis'!$G$45),'S&amp;U'!$I7/ROUNDUP('Assumptions and Sensis'!$G$44/12,0),IF(AND(H$284&gt;='Assumptions and Sensis'!$G$45,H$284&lt;'Assumptions and Sensis'!$G$47),'S&amp;U'!$I39/ROUNDUP('Assumptions and Sensis'!$G$46/12,0),0))</f>
        <v>0</v>
      </c>
      <c r="I285" s="33">
        <f>+IF(AND(I$284&gt;='Assumptions and Sensis'!$G$43,I$284&lt;'Assumptions and Sensis'!$G$45),'S&amp;U'!$I7/ROUNDUP('Assumptions and Sensis'!$G$44/12,0),IF(AND(I$284&gt;='Assumptions and Sensis'!$G$45,I$284&lt;'Assumptions and Sensis'!$G$47),'S&amp;U'!$I39/ROUNDUP('Assumptions and Sensis'!$G$46/12,0),0))</f>
        <v>0</v>
      </c>
      <c r="J285" s="33">
        <f>+IF(AND(J$284&gt;='Assumptions and Sensis'!$G$43,J$284&lt;'Assumptions and Sensis'!$G$45),'S&amp;U'!$I7/ROUNDUP('Assumptions and Sensis'!$G$44/12,0),IF(AND(J$284&gt;='Assumptions and Sensis'!$G$45,J$284&lt;'Assumptions and Sensis'!$G$47),'S&amp;U'!$I39/ROUNDUP('Assumptions and Sensis'!$G$46/12,0),0))</f>
        <v>0</v>
      </c>
      <c r="K285" s="33">
        <f>+IF(AND(K$284&gt;='Assumptions and Sensis'!$G$43,K$284&lt;'Assumptions and Sensis'!$G$45),'S&amp;U'!$I7/ROUNDUP('Assumptions and Sensis'!$G$44/12,0),IF(AND(K$284&gt;='Assumptions and Sensis'!$G$45,K$284&lt;'Assumptions and Sensis'!$G$47),'S&amp;U'!$I39/ROUNDUP('Assumptions and Sensis'!$G$46/12,0),0))</f>
        <v>0</v>
      </c>
      <c r="L285" s="33">
        <f>+IF(AND(L$284&gt;='Assumptions and Sensis'!$G$43,L$284&lt;'Assumptions and Sensis'!$G$45),'S&amp;U'!$I7/ROUNDUP('Assumptions and Sensis'!$G$44/12,0),IF(AND(L$284&gt;='Assumptions and Sensis'!$G$45,L$284&lt;'Assumptions and Sensis'!$G$47),'S&amp;U'!$I39/ROUNDUP('Assumptions and Sensis'!$G$46/12,0),0))</f>
        <v>0</v>
      </c>
      <c r="M285" s="33">
        <f>+IF(AND(M$284&gt;='Assumptions and Sensis'!$G$43,M$284&lt;'Assumptions and Sensis'!$G$45),'S&amp;U'!$I7/ROUNDUP('Assumptions and Sensis'!$G$44/12,0),IF(AND(M$284&gt;='Assumptions and Sensis'!$G$45,M$284&lt;'Assumptions and Sensis'!$G$47),'S&amp;U'!$I39/ROUNDUP('Assumptions and Sensis'!$G$46/12,0),0))</f>
        <v>0</v>
      </c>
      <c r="N285" s="33">
        <f>+IF(AND(N$284&gt;='Assumptions and Sensis'!$G$43,N$284&lt;'Assumptions and Sensis'!$G$45),'S&amp;U'!$I7/ROUNDUP('Assumptions and Sensis'!$G$44/12,0),IF(AND(N$284&gt;='Assumptions and Sensis'!$G$45,N$284&lt;'Assumptions and Sensis'!$G$47),'S&amp;U'!$I39/ROUNDUP('Assumptions and Sensis'!$G$46/12,0),0))</f>
        <v>0</v>
      </c>
      <c r="O285" s="33">
        <f>+IF(AND(O$284&gt;='Assumptions and Sensis'!$G$43,O$284&lt;'Assumptions and Sensis'!$G$45),'S&amp;U'!$I7/ROUNDUP('Assumptions and Sensis'!$G$44/12,0),IF(AND(O$284&gt;='Assumptions and Sensis'!$G$45,O$284&lt;'Assumptions and Sensis'!$G$47),'S&amp;U'!$I39/ROUNDUP('Assumptions and Sensis'!$G$46/12,0),0))</f>
        <v>0</v>
      </c>
      <c r="P285" s="33">
        <f>+IF(AND(P$284&gt;='Assumptions and Sensis'!$G$43,P$284&lt;'Assumptions and Sensis'!$G$45),'S&amp;U'!$I7/ROUNDUP('Assumptions and Sensis'!$G$44/12,0),IF(AND(P$284&gt;='Assumptions and Sensis'!$G$45,P$284&lt;'Assumptions and Sensis'!$G$47),'S&amp;U'!$I39/ROUNDUP('Assumptions and Sensis'!$G$46/12,0),0))</f>
        <v>0</v>
      </c>
      <c r="Q285" s="33">
        <f>+IF(AND(Q$284&gt;='Assumptions and Sensis'!$G$43,Q$284&lt;'Assumptions and Sensis'!$G$45),'S&amp;U'!$I7/ROUNDUP('Assumptions and Sensis'!$G$44/12,0),IF(AND(Q$284&gt;='Assumptions and Sensis'!$G$45,Q$284&lt;'Assumptions and Sensis'!$G$47),'S&amp;U'!$I39/ROUNDUP('Assumptions and Sensis'!$G$46/12,0),0))</f>
        <v>0</v>
      </c>
      <c r="R285" s="33">
        <f>+IF(AND(R$284&gt;='Assumptions and Sensis'!$G$43,R$284&lt;'Assumptions and Sensis'!$G$45),'S&amp;U'!$I7/ROUNDUP('Assumptions and Sensis'!$G$44/12,0),IF(AND(R$284&gt;='Assumptions and Sensis'!$G$45,R$284&lt;'Assumptions and Sensis'!$G$47),'S&amp;U'!$I39/ROUNDUP('Assumptions and Sensis'!$G$46/12,0),0))</f>
        <v>0</v>
      </c>
      <c r="S285" s="33">
        <f>+IF(AND(S$284&gt;='Assumptions and Sensis'!$G$43,S$284&lt;'Assumptions and Sensis'!$G$45),'S&amp;U'!$I7/ROUNDUP('Assumptions and Sensis'!$G$44/12,0),IF(AND(S$284&gt;='Assumptions and Sensis'!$G$45,S$284&lt;'Assumptions and Sensis'!$G$47),'S&amp;U'!$I39/ROUNDUP('Assumptions and Sensis'!$G$46/12,0),0))</f>
        <v>0</v>
      </c>
      <c r="T285" s="33">
        <f>+IF(AND(T$284&gt;='Assumptions and Sensis'!$G$43,T$284&lt;'Assumptions and Sensis'!$G$45),'S&amp;U'!$I7/ROUNDUP('Assumptions and Sensis'!$G$44/12,0),IF(AND(T$284&gt;='Assumptions and Sensis'!$G$45,T$284&lt;'Assumptions and Sensis'!$G$47),'S&amp;U'!$I39/ROUNDUP('Assumptions and Sensis'!$G$46/12,0),0))</f>
        <v>0</v>
      </c>
      <c r="U285" s="33">
        <f>+IF(AND(U$284&gt;='Assumptions and Sensis'!$G$43,U$284&lt;'Assumptions and Sensis'!$G$45),'S&amp;U'!$I7/ROUNDUP('Assumptions and Sensis'!$G$44/12,0),IF(AND(U$284&gt;='Assumptions and Sensis'!$G$45,U$284&lt;'Assumptions and Sensis'!$G$47),'S&amp;U'!$I39/ROUNDUP('Assumptions and Sensis'!$G$46/12,0),0))</f>
        <v>0</v>
      </c>
      <c r="V285" s="33">
        <f>+IF(AND(V$284&gt;='Assumptions and Sensis'!$G$43,V$284&lt;'Assumptions and Sensis'!$G$45),'S&amp;U'!$I7/ROUNDUP('Assumptions and Sensis'!$G$44/12,0),IF(AND(V$284&gt;='Assumptions and Sensis'!$G$45,V$284&lt;'Assumptions and Sensis'!$G$47),'S&amp;U'!$I39/ROUNDUP('Assumptions and Sensis'!$G$46/12,0),0))</f>
        <v>0</v>
      </c>
      <c r="W285" s="33">
        <f>+IF(AND(W$284&gt;='Assumptions and Sensis'!$G$43,W$284&lt;'Assumptions and Sensis'!$G$45),'S&amp;U'!$I7/ROUNDUP('Assumptions and Sensis'!$G$44/12,0),IF(AND(W$284&gt;='Assumptions and Sensis'!$G$45,W$284&lt;'Assumptions and Sensis'!$G$47),'S&amp;U'!$I39/ROUNDUP('Assumptions and Sensis'!$G$46/12,0),0))</f>
        <v>0</v>
      </c>
      <c r="X285" s="33">
        <f>+IF(AND(X$284&gt;='Assumptions and Sensis'!$G$43,X$284&lt;'Assumptions and Sensis'!$G$45),'S&amp;U'!$I7/ROUNDUP('Assumptions and Sensis'!$G$44/12,0),IF(AND(X$284&gt;='Assumptions and Sensis'!$G$45,X$284&lt;'Assumptions and Sensis'!$G$47),'S&amp;U'!$I39/ROUNDUP('Assumptions and Sensis'!$G$46/12,0),0))</f>
        <v>0</v>
      </c>
      <c r="Y285" s="33">
        <f>+IF(AND(Y$284&gt;='Assumptions and Sensis'!$G$43,Y$284&lt;'Assumptions and Sensis'!$G$45),'S&amp;U'!$I7/ROUNDUP('Assumptions and Sensis'!$G$44/12,0),IF(AND(Y$284&gt;='Assumptions and Sensis'!$G$45,Y$284&lt;'Assumptions and Sensis'!$G$47),'S&amp;U'!$I39/ROUNDUP('Assumptions and Sensis'!$G$46/12,0),0))</f>
        <v>0</v>
      </c>
      <c r="Z285" s="33">
        <f>+IF(AND(Z$284&gt;='Assumptions and Sensis'!$G$43,Z$284&lt;'Assumptions and Sensis'!$G$45),'S&amp;U'!$I7/ROUNDUP('Assumptions and Sensis'!$G$44/12,0),IF(AND(Z$284&gt;='Assumptions and Sensis'!$G$45,Z$284&lt;'Assumptions and Sensis'!$G$47),'S&amp;U'!$I39/ROUNDUP('Assumptions and Sensis'!$G$46/12,0),0))</f>
        <v>0</v>
      </c>
    </row>
    <row r="286" spans="2:26" x14ac:dyDescent="0.2">
      <c r="B286" s="32" t="s">
        <v>8</v>
      </c>
      <c r="D286" s="47">
        <f t="shared" ref="D286:D291" si="153">+SUM(F286:Z286)</f>
        <v>10461100</v>
      </c>
      <c r="E286" s="47"/>
      <c r="F286" s="150">
        <f>+IF(AND(F$284&gt;='Assumptions and Sensis'!$G$43,F$284&lt;'Assumptions and Sensis'!$G$45),'S&amp;U'!$I8/ROUNDUP('Assumptions and Sensis'!$G$44/12,0),IF(AND(F$284&gt;='Assumptions and Sensis'!$G$45,F$284&lt;'Assumptions and Sensis'!$G$47),'S&amp;U'!$I40/ROUNDUP('Assumptions and Sensis'!$G$46/12,0),0))</f>
        <v>10461100</v>
      </c>
      <c r="G286" s="150">
        <f>+IF(AND(G$284&gt;='Assumptions and Sensis'!$G$43,G$284&lt;'Assumptions and Sensis'!$G$45),'S&amp;U'!$I8/ROUNDUP('Assumptions and Sensis'!$G$44/12,0),IF(AND(G$284&gt;='Assumptions and Sensis'!$G$45,G$284&lt;'Assumptions and Sensis'!$G$47),'S&amp;U'!$I40/ROUNDUP('Assumptions and Sensis'!$G$46/12,0),0))</f>
        <v>0</v>
      </c>
      <c r="H286" s="150">
        <f>+IF(AND(H$284&gt;='Assumptions and Sensis'!$G$43,H$284&lt;'Assumptions and Sensis'!$G$45),'S&amp;U'!$I8/ROUNDUP('Assumptions and Sensis'!$G$44/12,0),IF(AND(H$284&gt;='Assumptions and Sensis'!$G$45,H$284&lt;'Assumptions and Sensis'!$G$47),'S&amp;U'!$I40/ROUNDUP('Assumptions and Sensis'!$G$46/12,0),0))</f>
        <v>0</v>
      </c>
      <c r="I286" s="150">
        <f>+IF(AND(I$284&gt;='Assumptions and Sensis'!$G$43,I$284&lt;'Assumptions and Sensis'!$G$45),'S&amp;U'!$I8/ROUNDUP('Assumptions and Sensis'!$G$44/12,0),IF(AND(I$284&gt;='Assumptions and Sensis'!$G$45,I$284&lt;'Assumptions and Sensis'!$G$47),'S&amp;U'!$I40/ROUNDUP('Assumptions and Sensis'!$G$46/12,0),0))</f>
        <v>0</v>
      </c>
      <c r="J286" s="150">
        <f>+IF(AND(J$284&gt;='Assumptions and Sensis'!$G$43,J$284&lt;'Assumptions and Sensis'!$G$45),'S&amp;U'!$I8/ROUNDUP('Assumptions and Sensis'!$G$44/12,0),IF(AND(J$284&gt;='Assumptions and Sensis'!$G$45,J$284&lt;'Assumptions and Sensis'!$G$47),'S&amp;U'!$I40/ROUNDUP('Assumptions and Sensis'!$G$46/12,0),0))</f>
        <v>0</v>
      </c>
      <c r="K286" s="150">
        <f>+IF(AND(K$284&gt;='Assumptions and Sensis'!$G$43,K$284&lt;'Assumptions and Sensis'!$G$45),'S&amp;U'!$I8/ROUNDUP('Assumptions and Sensis'!$G$44/12,0),IF(AND(K$284&gt;='Assumptions and Sensis'!$G$45,K$284&lt;'Assumptions and Sensis'!$G$47),'S&amp;U'!$I40/ROUNDUP('Assumptions and Sensis'!$G$46/12,0),0))</f>
        <v>0</v>
      </c>
      <c r="L286" s="150">
        <f>+IF(AND(L$284&gt;='Assumptions and Sensis'!$G$43,L$284&lt;'Assumptions and Sensis'!$G$45),'S&amp;U'!$I8/ROUNDUP('Assumptions and Sensis'!$G$44/12,0),IF(AND(L$284&gt;='Assumptions and Sensis'!$G$45,L$284&lt;'Assumptions and Sensis'!$G$47),'S&amp;U'!$I40/ROUNDUP('Assumptions and Sensis'!$G$46/12,0),0))</f>
        <v>0</v>
      </c>
      <c r="M286" s="150">
        <f>+IF(AND(M$284&gt;='Assumptions and Sensis'!$G$43,M$284&lt;'Assumptions and Sensis'!$G$45),'S&amp;U'!$I8/ROUNDUP('Assumptions and Sensis'!$G$44/12,0),IF(AND(M$284&gt;='Assumptions and Sensis'!$G$45,M$284&lt;'Assumptions and Sensis'!$G$47),'S&amp;U'!$I40/ROUNDUP('Assumptions and Sensis'!$G$46/12,0),0))</f>
        <v>0</v>
      </c>
      <c r="N286" s="150">
        <f>+IF(AND(N$284&gt;='Assumptions and Sensis'!$G$43,N$284&lt;'Assumptions and Sensis'!$G$45),'S&amp;U'!$I8/ROUNDUP('Assumptions and Sensis'!$G$44/12,0),IF(AND(N$284&gt;='Assumptions and Sensis'!$G$45,N$284&lt;'Assumptions and Sensis'!$G$47),'S&amp;U'!$I40/ROUNDUP('Assumptions and Sensis'!$G$46/12,0),0))</f>
        <v>0</v>
      </c>
      <c r="O286" s="150">
        <f>+IF(AND(O$284&gt;='Assumptions and Sensis'!$G$43,O$284&lt;'Assumptions and Sensis'!$G$45),'S&amp;U'!$I8/ROUNDUP('Assumptions and Sensis'!$G$44/12,0),IF(AND(O$284&gt;='Assumptions and Sensis'!$G$45,O$284&lt;'Assumptions and Sensis'!$G$47),'S&amp;U'!$I40/ROUNDUP('Assumptions and Sensis'!$G$46/12,0),0))</f>
        <v>0</v>
      </c>
      <c r="P286" s="150">
        <f>+IF(AND(P$284&gt;='Assumptions and Sensis'!$G$43,P$284&lt;'Assumptions and Sensis'!$G$45),'S&amp;U'!$I8/ROUNDUP('Assumptions and Sensis'!$G$44/12,0),IF(AND(P$284&gt;='Assumptions and Sensis'!$G$45,P$284&lt;'Assumptions and Sensis'!$G$47),'S&amp;U'!$I40/ROUNDUP('Assumptions and Sensis'!$G$46/12,0),0))</f>
        <v>0</v>
      </c>
      <c r="Q286" s="150">
        <f>+IF(AND(Q$284&gt;='Assumptions and Sensis'!$G$43,Q$284&lt;'Assumptions and Sensis'!$G$45),'S&amp;U'!$I8/ROUNDUP('Assumptions and Sensis'!$G$44/12,0),IF(AND(Q$284&gt;='Assumptions and Sensis'!$G$45,Q$284&lt;'Assumptions and Sensis'!$G$47),'S&amp;U'!$I40/ROUNDUP('Assumptions and Sensis'!$G$46/12,0),0))</f>
        <v>0</v>
      </c>
      <c r="R286" s="150">
        <f>+IF(AND(R$284&gt;='Assumptions and Sensis'!$G$43,R$284&lt;'Assumptions and Sensis'!$G$45),'S&amp;U'!$I8/ROUNDUP('Assumptions and Sensis'!$G$44/12,0),IF(AND(R$284&gt;='Assumptions and Sensis'!$G$45,R$284&lt;'Assumptions and Sensis'!$G$47),'S&amp;U'!$I40/ROUNDUP('Assumptions and Sensis'!$G$46/12,0),0))</f>
        <v>0</v>
      </c>
      <c r="S286" s="150">
        <f>+IF(AND(S$284&gt;='Assumptions and Sensis'!$G$43,S$284&lt;'Assumptions and Sensis'!$G$45),'S&amp;U'!$I8/ROUNDUP('Assumptions and Sensis'!$G$44/12,0),IF(AND(S$284&gt;='Assumptions and Sensis'!$G$45,S$284&lt;'Assumptions and Sensis'!$G$47),'S&amp;U'!$I40/ROUNDUP('Assumptions and Sensis'!$G$46/12,0),0))</f>
        <v>0</v>
      </c>
      <c r="T286" s="150">
        <f>+IF(AND(T$284&gt;='Assumptions and Sensis'!$G$43,T$284&lt;'Assumptions and Sensis'!$G$45),'S&amp;U'!$I8/ROUNDUP('Assumptions and Sensis'!$G$44/12,0),IF(AND(T$284&gt;='Assumptions and Sensis'!$G$45,T$284&lt;'Assumptions and Sensis'!$G$47),'S&amp;U'!$I40/ROUNDUP('Assumptions and Sensis'!$G$46/12,0),0))</f>
        <v>0</v>
      </c>
      <c r="U286" s="150">
        <f>+IF(AND(U$284&gt;='Assumptions and Sensis'!$G$43,U$284&lt;'Assumptions and Sensis'!$G$45),'S&amp;U'!$I8/ROUNDUP('Assumptions and Sensis'!$G$44/12,0),IF(AND(U$284&gt;='Assumptions and Sensis'!$G$45,U$284&lt;'Assumptions and Sensis'!$G$47),'S&amp;U'!$I40/ROUNDUP('Assumptions and Sensis'!$G$46/12,0),0))</f>
        <v>0</v>
      </c>
      <c r="V286" s="150">
        <f>+IF(AND(V$284&gt;='Assumptions and Sensis'!$G$43,V$284&lt;'Assumptions and Sensis'!$G$45),'S&amp;U'!$I8/ROUNDUP('Assumptions and Sensis'!$G$44/12,0),IF(AND(V$284&gt;='Assumptions and Sensis'!$G$45,V$284&lt;'Assumptions and Sensis'!$G$47),'S&amp;U'!$I40/ROUNDUP('Assumptions and Sensis'!$G$46/12,0),0))</f>
        <v>0</v>
      </c>
      <c r="W286" s="150">
        <f>+IF(AND(W$284&gt;='Assumptions and Sensis'!$G$43,W$284&lt;'Assumptions and Sensis'!$G$45),'S&amp;U'!$I8/ROUNDUP('Assumptions and Sensis'!$G$44/12,0),IF(AND(W$284&gt;='Assumptions and Sensis'!$G$45,W$284&lt;'Assumptions and Sensis'!$G$47),'S&amp;U'!$I40/ROUNDUP('Assumptions and Sensis'!$G$46/12,0),0))</f>
        <v>0</v>
      </c>
      <c r="X286" s="150">
        <f>+IF(AND(X$284&gt;='Assumptions and Sensis'!$G$43,X$284&lt;'Assumptions and Sensis'!$G$45),'S&amp;U'!$I8/ROUNDUP('Assumptions and Sensis'!$G$44/12,0),IF(AND(X$284&gt;='Assumptions and Sensis'!$G$45,X$284&lt;'Assumptions and Sensis'!$G$47),'S&amp;U'!$I40/ROUNDUP('Assumptions and Sensis'!$G$46/12,0),0))</f>
        <v>0</v>
      </c>
      <c r="Y286" s="150">
        <f>+IF(AND(Y$284&gt;='Assumptions and Sensis'!$G$43,Y$284&lt;'Assumptions and Sensis'!$G$45),'S&amp;U'!$I8/ROUNDUP('Assumptions and Sensis'!$G$44/12,0),IF(AND(Y$284&gt;='Assumptions and Sensis'!$G$45,Y$284&lt;'Assumptions and Sensis'!$G$47),'S&amp;U'!$I40/ROUNDUP('Assumptions and Sensis'!$G$46/12,0),0))</f>
        <v>0</v>
      </c>
      <c r="Z286" s="150">
        <f>+IF(AND(Z$284&gt;='Assumptions and Sensis'!$G$43,Z$284&lt;'Assumptions and Sensis'!$G$45),'S&amp;U'!$I8/ROUNDUP('Assumptions and Sensis'!$G$44/12,0),IF(AND(Z$284&gt;='Assumptions and Sensis'!$G$45,Z$284&lt;'Assumptions and Sensis'!$G$47),'S&amp;U'!$I40/ROUNDUP('Assumptions and Sensis'!$G$46/12,0),0))</f>
        <v>0</v>
      </c>
    </row>
    <row r="287" spans="2:26" x14ac:dyDescent="0.2">
      <c r="B287" s="32" t="s">
        <v>57</v>
      </c>
      <c r="D287" s="47">
        <f t="shared" ca="1" si="153"/>
        <v>174155529.98339999</v>
      </c>
      <c r="E287" s="47"/>
      <c r="F287" s="150">
        <f>+IF(AND(F$284&gt;='Assumptions and Sensis'!$G$43,F$284&lt;'Assumptions and Sensis'!$G$45),'S&amp;U'!$I9/ROUNDUP('Assumptions and Sensis'!$G$44/12,0),IF(AND(F$284&gt;='Assumptions and Sensis'!$G$45,F$284&lt;'Assumptions and Sensis'!$G$47),'S&amp;U'!$I41/ROUNDUP('Assumptions and Sensis'!$G$46/12,0),0))</f>
        <v>0</v>
      </c>
      <c r="G287" s="150">
        <f ca="1">+IF(AND(G$284&gt;='Assumptions and Sensis'!$G$43,G$284&lt;'Assumptions and Sensis'!$G$45),'S&amp;U'!$I9/ROUNDUP('Assumptions and Sensis'!$G$44/12,0),IF(AND(G$284&gt;='Assumptions and Sensis'!$G$45,G$284&lt;'Assumptions and Sensis'!$G$47),'S&amp;U'!$I41/ROUNDUP('Assumptions and Sensis'!$G$46/12,0),0))</f>
        <v>87077764.991699994</v>
      </c>
      <c r="H287" s="150">
        <f ca="1">+IF(AND(H$284&gt;='Assumptions and Sensis'!$G$43,H$284&lt;'Assumptions and Sensis'!$G$45),'S&amp;U'!$I9/ROUNDUP('Assumptions and Sensis'!$G$44/12,0),IF(AND(H$284&gt;='Assumptions and Sensis'!$G$45,H$284&lt;'Assumptions and Sensis'!$G$47),'S&amp;U'!$I41/ROUNDUP('Assumptions and Sensis'!$G$46/12,0),0))</f>
        <v>87077764.991699994</v>
      </c>
      <c r="I287" s="150">
        <f>+IF(AND(I$284&gt;='Assumptions and Sensis'!$G$43,I$284&lt;'Assumptions and Sensis'!$G$45),'S&amp;U'!$I9/ROUNDUP('Assumptions and Sensis'!$G$44/12,0),IF(AND(I$284&gt;='Assumptions and Sensis'!$G$45,I$284&lt;'Assumptions and Sensis'!$G$47),'S&amp;U'!$I41/ROUNDUP('Assumptions and Sensis'!$G$46/12,0),0))</f>
        <v>0</v>
      </c>
      <c r="J287" s="150">
        <f>+IF(AND(J$284&gt;='Assumptions and Sensis'!$G$43,J$284&lt;'Assumptions and Sensis'!$G$45),'S&amp;U'!$I9/ROUNDUP('Assumptions and Sensis'!$G$44/12,0),IF(AND(J$284&gt;='Assumptions and Sensis'!$G$45,J$284&lt;'Assumptions and Sensis'!$G$47),'S&amp;U'!$I41/ROUNDUP('Assumptions and Sensis'!$G$46/12,0),0))</f>
        <v>0</v>
      </c>
      <c r="K287" s="150">
        <f>+IF(AND(K$284&gt;='Assumptions and Sensis'!$G$43,K$284&lt;'Assumptions and Sensis'!$G$45),'S&amp;U'!$I9/ROUNDUP('Assumptions and Sensis'!$G$44/12,0),IF(AND(K$284&gt;='Assumptions and Sensis'!$G$45,K$284&lt;'Assumptions and Sensis'!$G$47),'S&amp;U'!$I41/ROUNDUP('Assumptions and Sensis'!$G$46/12,0),0))</f>
        <v>0</v>
      </c>
      <c r="L287" s="150">
        <f>+IF(AND(L$284&gt;='Assumptions and Sensis'!$G$43,L$284&lt;'Assumptions and Sensis'!$G$45),'S&amp;U'!$I9/ROUNDUP('Assumptions and Sensis'!$G$44/12,0),IF(AND(L$284&gt;='Assumptions and Sensis'!$G$45,L$284&lt;'Assumptions and Sensis'!$G$47),'S&amp;U'!$I41/ROUNDUP('Assumptions and Sensis'!$G$46/12,0),0))</f>
        <v>0</v>
      </c>
      <c r="M287" s="150">
        <f>+IF(AND(M$284&gt;='Assumptions and Sensis'!$G$43,M$284&lt;'Assumptions and Sensis'!$G$45),'S&amp;U'!$I9/ROUNDUP('Assumptions and Sensis'!$G$44/12,0),IF(AND(M$284&gt;='Assumptions and Sensis'!$G$45,M$284&lt;'Assumptions and Sensis'!$G$47),'S&amp;U'!$I41/ROUNDUP('Assumptions and Sensis'!$G$46/12,0),0))</f>
        <v>0</v>
      </c>
      <c r="N287" s="150">
        <f>+IF(AND(N$284&gt;='Assumptions and Sensis'!$G$43,N$284&lt;'Assumptions and Sensis'!$G$45),'S&amp;U'!$I9/ROUNDUP('Assumptions and Sensis'!$G$44/12,0),IF(AND(N$284&gt;='Assumptions and Sensis'!$G$45,N$284&lt;'Assumptions and Sensis'!$G$47),'S&amp;U'!$I41/ROUNDUP('Assumptions and Sensis'!$G$46/12,0),0))</f>
        <v>0</v>
      </c>
      <c r="O287" s="150">
        <f>+IF(AND(O$284&gt;='Assumptions and Sensis'!$G$43,O$284&lt;'Assumptions and Sensis'!$G$45),'S&amp;U'!$I9/ROUNDUP('Assumptions and Sensis'!$G$44/12,0),IF(AND(O$284&gt;='Assumptions and Sensis'!$G$45,O$284&lt;'Assumptions and Sensis'!$G$47),'S&amp;U'!$I41/ROUNDUP('Assumptions and Sensis'!$G$46/12,0),0))</f>
        <v>0</v>
      </c>
      <c r="P287" s="150">
        <f>+IF(AND(P$284&gt;='Assumptions and Sensis'!$G$43,P$284&lt;'Assumptions and Sensis'!$G$45),'S&amp;U'!$I9/ROUNDUP('Assumptions and Sensis'!$G$44/12,0),IF(AND(P$284&gt;='Assumptions and Sensis'!$G$45,P$284&lt;'Assumptions and Sensis'!$G$47),'S&amp;U'!$I41/ROUNDUP('Assumptions and Sensis'!$G$46/12,0),0))</f>
        <v>0</v>
      </c>
      <c r="Q287" s="150">
        <f>+IF(AND(Q$284&gt;='Assumptions and Sensis'!$G$43,Q$284&lt;'Assumptions and Sensis'!$G$45),'S&amp;U'!$I9/ROUNDUP('Assumptions and Sensis'!$G$44/12,0),IF(AND(Q$284&gt;='Assumptions and Sensis'!$G$45,Q$284&lt;'Assumptions and Sensis'!$G$47),'S&amp;U'!$I41/ROUNDUP('Assumptions and Sensis'!$G$46/12,0),0))</f>
        <v>0</v>
      </c>
      <c r="R287" s="150">
        <f>+IF(AND(R$284&gt;='Assumptions and Sensis'!$G$43,R$284&lt;'Assumptions and Sensis'!$G$45),'S&amp;U'!$I9/ROUNDUP('Assumptions and Sensis'!$G$44/12,0),IF(AND(R$284&gt;='Assumptions and Sensis'!$G$45,R$284&lt;'Assumptions and Sensis'!$G$47),'S&amp;U'!$I41/ROUNDUP('Assumptions and Sensis'!$G$46/12,0),0))</f>
        <v>0</v>
      </c>
      <c r="S287" s="150">
        <f>+IF(AND(S$284&gt;='Assumptions and Sensis'!$G$43,S$284&lt;'Assumptions and Sensis'!$G$45),'S&amp;U'!$I9/ROUNDUP('Assumptions and Sensis'!$G$44/12,0),IF(AND(S$284&gt;='Assumptions and Sensis'!$G$45,S$284&lt;'Assumptions and Sensis'!$G$47),'S&amp;U'!$I41/ROUNDUP('Assumptions and Sensis'!$G$46/12,0),0))</f>
        <v>0</v>
      </c>
      <c r="T287" s="150">
        <f>+IF(AND(T$284&gt;='Assumptions and Sensis'!$G$43,T$284&lt;'Assumptions and Sensis'!$G$45),'S&amp;U'!$I9/ROUNDUP('Assumptions and Sensis'!$G$44/12,0),IF(AND(T$284&gt;='Assumptions and Sensis'!$G$45,T$284&lt;'Assumptions and Sensis'!$G$47),'S&amp;U'!$I41/ROUNDUP('Assumptions and Sensis'!$G$46/12,0),0))</f>
        <v>0</v>
      </c>
      <c r="U287" s="150">
        <f>+IF(AND(U$284&gt;='Assumptions and Sensis'!$G$43,U$284&lt;'Assumptions and Sensis'!$G$45),'S&amp;U'!$I9/ROUNDUP('Assumptions and Sensis'!$G$44/12,0),IF(AND(U$284&gt;='Assumptions and Sensis'!$G$45,U$284&lt;'Assumptions and Sensis'!$G$47),'S&amp;U'!$I41/ROUNDUP('Assumptions and Sensis'!$G$46/12,0),0))</f>
        <v>0</v>
      </c>
      <c r="V287" s="150">
        <f>+IF(AND(V$284&gt;='Assumptions and Sensis'!$G$43,V$284&lt;'Assumptions and Sensis'!$G$45),'S&amp;U'!$I9/ROUNDUP('Assumptions and Sensis'!$G$44/12,0),IF(AND(V$284&gt;='Assumptions and Sensis'!$G$45,V$284&lt;'Assumptions and Sensis'!$G$47),'S&amp;U'!$I41/ROUNDUP('Assumptions and Sensis'!$G$46/12,0),0))</f>
        <v>0</v>
      </c>
      <c r="W287" s="150">
        <f>+IF(AND(W$284&gt;='Assumptions and Sensis'!$G$43,W$284&lt;'Assumptions and Sensis'!$G$45),'S&amp;U'!$I9/ROUNDUP('Assumptions and Sensis'!$G$44/12,0),IF(AND(W$284&gt;='Assumptions and Sensis'!$G$45,W$284&lt;'Assumptions and Sensis'!$G$47),'S&amp;U'!$I41/ROUNDUP('Assumptions and Sensis'!$G$46/12,0),0))</f>
        <v>0</v>
      </c>
      <c r="X287" s="150">
        <f>+IF(AND(X$284&gt;='Assumptions and Sensis'!$G$43,X$284&lt;'Assumptions and Sensis'!$G$45),'S&amp;U'!$I9/ROUNDUP('Assumptions and Sensis'!$G$44/12,0),IF(AND(X$284&gt;='Assumptions and Sensis'!$G$45,X$284&lt;'Assumptions and Sensis'!$G$47),'S&amp;U'!$I41/ROUNDUP('Assumptions and Sensis'!$G$46/12,0),0))</f>
        <v>0</v>
      </c>
      <c r="Y287" s="150">
        <f>+IF(AND(Y$284&gt;='Assumptions and Sensis'!$G$43,Y$284&lt;'Assumptions and Sensis'!$G$45),'S&amp;U'!$I9/ROUNDUP('Assumptions and Sensis'!$G$44/12,0),IF(AND(Y$284&gt;='Assumptions and Sensis'!$G$45,Y$284&lt;'Assumptions and Sensis'!$G$47),'S&amp;U'!$I41/ROUNDUP('Assumptions and Sensis'!$G$46/12,0),0))</f>
        <v>0</v>
      </c>
      <c r="Z287" s="150">
        <f>+IF(AND(Z$284&gt;='Assumptions and Sensis'!$G$43,Z$284&lt;'Assumptions and Sensis'!$G$45),'S&amp;U'!$I9/ROUNDUP('Assumptions and Sensis'!$G$44/12,0),IF(AND(Z$284&gt;='Assumptions and Sensis'!$G$45,Z$284&lt;'Assumptions and Sensis'!$G$47),'S&amp;U'!$I41/ROUNDUP('Assumptions and Sensis'!$G$46/12,0),0))</f>
        <v>0</v>
      </c>
    </row>
    <row r="288" spans="2:26" x14ac:dyDescent="0.2">
      <c r="B288" s="32" t="s">
        <v>58</v>
      </c>
      <c r="D288" s="47">
        <f t="shared" ca="1" si="153"/>
        <v>13380466.778895907</v>
      </c>
      <c r="E288" s="47"/>
      <c r="F288" s="150">
        <f ca="1">+IF(AND(F$284&gt;='Assumptions and Sensis'!$G$43,F$284&lt;'Assumptions and Sensis'!$G$45),'S&amp;U'!$I10/ROUNDUP('Assumptions and Sensis'!$G$44/12,0),IF(AND(F$284&gt;='Assumptions and Sensis'!$G$45,F$284&lt;'Assumptions and Sensis'!$G$47),'S&amp;U'!$I42/ROUNDUP('Assumptions and Sensis'!$G$46/12,0),0))</f>
        <v>7593706.953688167</v>
      </c>
      <c r="G288" s="150">
        <f ca="1">+IF(AND(G$284&gt;='Assumptions and Sensis'!$G$43,G$284&lt;'Assumptions and Sensis'!$G$45),'S&amp;U'!$I10/ROUNDUP('Assumptions and Sensis'!$G$44/12,0),IF(AND(G$284&gt;='Assumptions and Sensis'!$G$45,G$284&lt;'Assumptions and Sensis'!$G$47),'S&amp;U'!$I42/ROUNDUP('Assumptions and Sensis'!$G$46/12,0),0))</f>
        <v>2893379.91260387</v>
      </c>
      <c r="H288" s="150">
        <f ca="1">+IF(AND(H$284&gt;='Assumptions and Sensis'!$G$43,H$284&lt;'Assumptions and Sensis'!$G$45),'S&amp;U'!$I10/ROUNDUP('Assumptions and Sensis'!$G$44/12,0),IF(AND(H$284&gt;='Assumptions and Sensis'!$G$45,H$284&lt;'Assumptions and Sensis'!$G$47),'S&amp;U'!$I42/ROUNDUP('Assumptions and Sensis'!$G$46/12,0),0))</f>
        <v>2893379.91260387</v>
      </c>
      <c r="I288" s="150">
        <f>+IF(AND(I$284&gt;='Assumptions and Sensis'!$G$43,I$284&lt;'Assumptions and Sensis'!$G$45),'S&amp;U'!$I10/ROUNDUP('Assumptions and Sensis'!$G$44/12,0),IF(AND(I$284&gt;='Assumptions and Sensis'!$G$45,I$284&lt;'Assumptions and Sensis'!$G$47),'S&amp;U'!$I42/ROUNDUP('Assumptions and Sensis'!$G$46/12,0),0))</f>
        <v>0</v>
      </c>
      <c r="J288" s="150">
        <f>+IF(AND(J$284&gt;='Assumptions and Sensis'!$G$43,J$284&lt;'Assumptions and Sensis'!$G$45),'S&amp;U'!$I10/ROUNDUP('Assumptions and Sensis'!$G$44/12,0),IF(AND(J$284&gt;='Assumptions and Sensis'!$G$45,J$284&lt;'Assumptions and Sensis'!$G$47),'S&amp;U'!$I42/ROUNDUP('Assumptions and Sensis'!$G$46/12,0),0))</f>
        <v>0</v>
      </c>
      <c r="K288" s="150">
        <f>+IF(AND(K$284&gt;='Assumptions and Sensis'!$G$43,K$284&lt;'Assumptions and Sensis'!$G$45),'S&amp;U'!$I10/ROUNDUP('Assumptions and Sensis'!$G$44/12,0),IF(AND(K$284&gt;='Assumptions and Sensis'!$G$45,K$284&lt;'Assumptions and Sensis'!$G$47),'S&amp;U'!$I42/ROUNDUP('Assumptions and Sensis'!$G$46/12,0),0))</f>
        <v>0</v>
      </c>
      <c r="L288" s="150">
        <f>+IF(AND(L$284&gt;='Assumptions and Sensis'!$G$43,L$284&lt;'Assumptions and Sensis'!$G$45),'S&amp;U'!$I10/ROUNDUP('Assumptions and Sensis'!$G$44/12,0),IF(AND(L$284&gt;='Assumptions and Sensis'!$G$45,L$284&lt;'Assumptions and Sensis'!$G$47),'S&amp;U'!$I42/ROUNDUP('Assumptions and Sensis'!$G$46/12,0),0))</f>
        <v>0</v>
      </c>
      <c r="M288" s="150">
        <f>+IF(AND(M$284&gt;='Assumptions and Sensis'!$G$43,M$284&lt;'Assumptions and Sensis'!$G$45),'S&amp;U'!$I10/ROUNDUP('Assumptions and Sensis'!$G$44/12,0),IF(AND(M$284&gt;='Assumptions and Sensis'!$G$45,M$284&lt;'Assumptions and Sensis'!$G$47),'S&amp;U'!$I42/ROUNDUP('Assumptions and Sensis'!$G$46/12,0),0))</f>
        <v>0</v>
      </c>
      <c r="N288" s="150">
        <f>+IF(AND(N$284&gt;='Assumptions and Sensis'!$G$43,N$284&lt;'Assumptions and Sensis'!$G$45),'S&amp;U'!$I10/ROUNDUP('Assumptions and Sensis'!$G$44/12,0),IF(AND(N$284&gt;='Assumptions and Sensis'!$G$45,N$284&lt;'Assumptions and Sensis'!$G$47),'S&amp;U'!$I42/ROUNDUP('Assumptions and Sensis'!$G$46/12,0),0))</f>
        <v>0</v>
      </c>
      <c r="O288" s="150">
        <f>+IF(AND(O$284&gt;='Assumptions and Sensis'!$G$43,O$284&lt;'Assumptions and Sensis'!$G$45),'S&amp;U'!$I10/ROUNDUP('Assumptions and Sensis'!$G$44/12,0),IF(AND(O$284&gt;='Assumptions and Sensis'!$G$45,O$284&lt;'Assumptions and Sensis'!$G$47),'S&amp;U'!$I42/ROUNDUP('Assumptions and Sensis'!$G$46/12,0),0))</f>
        <v>0</v>
      </c>
      <c r="P288" s="150">
        <f>+IF(AND(P$284&gt;='Assumptions and Sensis'!$G$43,P$284&lt;'Assumptions and Sensis'!$G$45),'S&amp;U'!$I10/ROUNDUP('Assumptions and Sensis'!$G$44/12,0),IF(AND(P$284&gt;='Assumptions and Sensis'!$G$45,P$284&lt;'Assumptions and Sensis'!$G$47),'S&amp;U'!$I42/ROUNDUP('Assumptions and Sensis'!$G$46/12,0),0))</f>
        <v>0</v>
      </c>
      <c r="Q288" s="150">
        <f>+IF(AND(Q$284&gt;='Assumptions and Sensis'!$G$43,Q$284&lt;'Assumptions and Sensis'!$G$45),'S&amp;U'!$I10/ROUNDUP('Assumptions and Sensis'!$G$44/12,0),IF(AND(Q$284&gt;='Assumptions and Sensis'!$G$45,Q$284&lt;'Assumptions and Sensis'!$G$47),'S&amp;U'!$I42/ROUNDUP('Assumptions and Sensis'!$G$46/12,0),0))</f>
        <v>0</v>
      </c>
      <c r="R288" s="150">
        <f>+IF(AND(R$284&gt;='Assumptions and Sensis'!$G$43,R$284&lt;'Assumptions and Sensis'!$G$45),'S&amp;U'!$I10/ROUNDUP('Assumptions and Sensis'!$G$44/12,0),IF(AND(R$284&gt;='Assumptions and Sensis'!$G$45,R$284&lt;'Assumptions and Sensis'!$G$47),'S&amp;U'!$I42/ROUNDUP('Assumptions and Sensis'!$G$46/12,0),0))</f>
        <v>0</v>
      </c>
      <c r="S288" s="150">
        <f>+IF(AND(S$284&gt;='Assumptions and Sensis'!$G$43,S$284&lt;'Assumptions and Sensis'!$G$45),'S&amp;U'!$I10/ROUNDUP('Assumptions and Sensis'!$G$44/12,0),IF(AND(S$284&gt;='Assumptions and Sensis'!$G$45,S$284&lt;'Assumptions and Sensis'!$G$47),'S&amp;U'!$I42/ROUNDUP('Assumptions and Sensis'!$G$46/12,0),0))</f>
        <v>0</v>
      </c>
      <c r="T288" s="150">
        <f>+IF(AND(T$284&gt;='Assumptions and Sensis'!$G$43,T$284&lt;'Assumptions and Sensis'!$G$45),'S&amp;U'!$I10/ROUNDUP('Assumptions and Sensis'!$G$44/12,0),IF(AND(T$284&gt;='Assumptions and Sensis'!$G$45,T$284&lt;'Assumptions and Sensis'!$G$47),'S&amp;U'!$I42/ROUNDUP('Assumptions and Sensis'!$G$46/12,0),0))</f>
        <v>0</v>
      </c>
      <c r="U288" s="150">
        <f>+IF(AND(U$284&gt;='Assumptions and Sensis'!$G$43,U$284&lt;'Assumptions and Sensis'!$G$45),'S&amp;U'!$I10/ROUNDUP('Assumptions and Sensis'!$G$44/12,0),IF(AND(U$284&gt;='Assumptions and Sensis'!$G$45,U$284&lt;'Assumptions and Sensis'!$G$47),'S&amp;U'!$I42/ROUNDUP('Assumptions and Sensis'!$G$46/12,0),0))</f>
        <v>0</v>
      </c>
      <c r="V288" s="150">
        <f>+IF(AND(V$284&gt;='Assumptions and Sensis'!$G$43,V$284&lt;'Assumptions and Sensis'!$G$45),'S&amp;U'!$I10/ROUNDUP('Assumptions and Sensis'!$G$44/12,0),IF(AND(V$284&gt;='Assumptions and Sensis'!$G$45,V$284&lt;'Assumptions and Sensis'!$G$47),'S&amp;U'!$I42/ROUNDUP('Assumptions and Sensis'!$G$46/12,0),0))</f>
        <v>0</v>
      </c>
      <c r="W288" s="150">
        <f>+IF(AND(W$284&gt;='Assumptions and Sensis'!$G$43,W$284&lt;'Assumptions and Sensis'!$G$45),'S&amp;U'!$I10/ROUNDUP('Assumptions and Sensis'!$G$44/12,0),IF(AND(W$284&gt;='Assumptions and Sensis'!$G$45,W$284&lt;'Assumptions and Sensis'!$G$47),'S&amp;U'!$I42/ROUNDUP('Assumptions and Sensis'!$G$46/12,0),0))</f>
        <v>0</v>
      </c>
      <c r="X288" s="150">
        <f>+IF(AND(X$284&gt;='Assumptions and Sensis'!$G$43,X$284&lt;'Assumptions and Sensis'!$G$45),'S&amp;U'!$I10/ROUNDUP('Assumptions and Sensis'!$G$44/12,0),IF(AND(X$284&gt;='Assumptions and Sensis'!$G$45,X$284&lt;'Assumptions and Sensis'!$G$47),'S&amp;U'!$I42/ROUNDUP('Assumptions and Sensis'!$G$46/12,0),0))</f>
        <v>0</v>
      </c>
      <c r="Y288" s="150">
        <f>+IF(AND(Y$284&gt;='Assumptions and Sensis'!$G$43,Y$284&lt;'Assumptions and Sensis'!$G$45),'S&amp;U'!$I10/ROUNDUP('Assumptions and Sensis'!$G$44/12,0),IF(AND(Y$284&gt;='Assumptions and Sensis'!$G$45,Y$284&lt;'Assumptions and Sensis'!$G$47),'S&amp;U'!$I42/ROUNDUP('Assumptions and Sensis'!$G$46/12,0),0))</f>
        <v>0</v>
      </c>
      <c r="Z288" s="150">
        <f>+IF(AND(Z$284&gt;='Assumptions and Sensis'!$G$43,Z$284&lt;'Assumptions and Sensis'!$G$45),'S&amp;U'!$I10/ROUNDUP('Assumptions and Sensis'!$G$44/12,0),IF(AND(Z$284&gt;='Assumptions and Sensis'!$G$45,Z$284&lt;'Assumptions and Sensis'!$G$47),'S&amp;U'!$I42/ROUNDUP('Assumptions and Sensis'!$G$46/12,0),0))</f>
        <v>0</v>
      </c>
    </row>
    <row r="289" spans="1:26" x14ac:dyDescent="0.2">
      <c r="B289" s="32" t="s">
        <v>80</v>
      </c>
      <c r="D289" s="47">
        <f t="shared" ca="1" si="153"/>
        <v>16056719.140378967</v>
      </c>
      <c r="E289" s="47"/>
      <c r="F289" s="150">
        <f>+IF(AND(F$284&gt;='Assumptions and Sensis'!$G$43,F$284&lt;'Assumptions and Sensis'!$G$45),'S&amp;U'!$I11/ROUNDUP('Assumptions and Sensis'!$G$44/12,0),IF(AND(F$284&gt;='Assumptions and Sensis'!$G$45,F$284&lt;'Assumptions and Sensis'!$G$47),'S&amp;U'!$I43/ROUNDUP('Assumptions and Sensis'!$G$46/12,0),0))</f>
        <v>0</v>
      </c>
      <c r="G289" s="150">
        <f ca="1">+IF(AND(G$284&gt;='Assumptions and Sensis'!$G$43,G$284&lt;'Assumptions and Sensis'!$G$45),'S&amp;U'!$I11/ROUNDUP('Assumptions and Sensis'!$G$44/12,0),IF(AND(G$284&gt;='Assumptions and Sensis'!$G$45,G$284&lt;'Assumptions and Sensis'!$G$47),'S&amp;U'!$I43/ROUNDUP('Assumptions and Sensis'!$G$46/12,0),0))</f>
        <v>8028359.5701894835</v>
      </c>
      <c r="H289" s="150">
        <f ca="1">+IF(AND(H$284&gt;='Assumptions and Sensis'!$G$43,H$284&lt;'Assumptions and Sensis'!$G$45),'S&amp;U'!$I11/ROUNDUP('Assumptions and Sensis'!$G$44/12,0),IF(AND(H$284&gt;='Assumptions and Sensis'!$G$45,H$284&lt;'Assumptions and Sensis'!$G$47),'S&amp;U'!$I43/ROUNDUP('Assumptions and Sensis'!$G$46/12,0),0))</f>
        <v>8028359.5701894835</v>
      </c>
      <c r="I289" s="150">
        <f>+IF(AND(I$284&gt;='Assumptions and Sensis'!$G$43,I$284&lt;'Assumptions and Sensis'!$G$45),'S&amp;U'!$I11/ROUNDUP('Assumptions and Sensis'!$G$44/12,0),IF(AND(I$284&gt;='Assumptions and Sensis'!$G$45,I$284&lt;'Assumptions and Sensis'!$G$47),'S&amp;U'!$I43/ROUNDUP('Assumptions and Sensis'!$G$46/12,0),0))</f>
        <v>0</v>
      </c>
      <c r="J289" s="150">
        <f>+IF(AND(J$284&gt;='Assumptions and Sensis'!$G$43,J$284&lt;'Assumptions and Sensis'!$G$45),'S&amp;U'!$I11/ROUNDUP('Assumptions and Sensis'!$G$44/12,0),IF(AND(J$284&gt;='Assumptions and Sensis'!$G$45,J$284&lt;'Assumptions and Sensis'!$G$47),'S&amp;U'!$I43/ROUNDUP('Assumptions and Sensis'!$G$46/12,0),0))</f>
        <v>0</v>
      </c>
      <c r="K289" s="150">
        <f>+IF(AND(K$284&gt;='Assumptions and Sensis'!$G$43,K$284&lt;'Assumptions and Sensis'!$G$45),'S&amp;U'!$I11/ROUNDUP('Assumptions and Sensis'!$G$44/12,0),IF(AND(K$284&gt;='Assumptions and Sensis'!$G$45,K$284&lt;'Assumptions and Sensis'!$G$47),'S&amp;U'!$I43/ROUNDUP('Assumptions and Sensis'!$G$46/12,0),0))</f>
        <v>0</v>
      </c>
      <c r="L289" s="150">
        <f>+IF(AND(L$284&gt;='Assumptions and Sensis'!$G$43,L$284&lt;'Assumptions and Sensis'!$G$45),'S&amp;U'!$I11/ROUNDUP('Assumptions and Sensis'!$G$44/12,0),IF(AND(L$284&gt;='Assumptions and Sensis'!$G$45,L$284&lt;'Assumptions and Sensis'!$G$47),'S&amp;U'!$I43/ROUNDUP('Assumptions and Sensis'!$G$46/12,0),0))</f>
        <v>0</v>
      </c>
      <c r="M289" s="150">
        <f>+IF(AND(M$284&gt;='Assumptions and Sensis'!$G$43,M$284&lt;'Assumptions and Sensis'!$G$45),'S&amp;U'!$I11/ROUNDUP('Assumptions and Sensis'!$G$44/12,0),IF(AND(M$284&gt;='Assumptions and Sensis'!$G$45,M$284&lt;'Assumptions and Sensis'!$G$47),'S&amp;U'!$I43/ROUNDUP('Assumptions and Sensis'!$G$46/12,0),0))</f>
        <v>0</v>
      </c>
      <c r="N289" s="150">
        <f>+IF(AND(N$284&gt;='Assumptions and Sensis'!$G$43,N$284&lt;'Assumptions and Sensis'!$G$45),'S&amp;U'!$I11/ROUNDUP('Assumptions and Sensis'!$G$44/12,0),IF(AND(N$284&gt;='Assumptions and Sensis'!$G$45,N$284&lt;'Assumptions and Sensis'!$G$47),'S&amp;U'!$I43/ROUNDUP('Assumptions and Sensis'!$G$46/12,0),0))</f>
        <v>0</v>
      </c>
      <c r="O289" s="150">
        <f>+IF(AND(O$284&gt;='Assumptions and Sensis'!$G$43,O$284&lt;'Assumptions and Sensis'!$G$45),'S&amp;U'!$I11/ROUNDUP('Assumptions and Sensis'!$G$44/12,0),IF(AND(O$284&gt;='Assumptions and Sensis'!$G$45,O$284&lt;'Assumptions and Sensis'!$G$47),'S&amp;U'!$I43/ROUNDUP('Assumptions and Sensis'!$G$46/12,0),0))</f>
        <v>0</v>
      </c>
      <c r="P289" s="150">
        <f>+IF(AND(P$284&gt;='Assumptions and Sensis'!$G$43,P$284&lt;'Assumptions and Sensis'!$G$45),'S&amp;U'!$I11/ROUNDUP('Assumptions and Sensis'!$G$44/12,0),IF(AND(P$284&gt;='Assumptions and Sensis'!$G$45,P$284&lt;'Assumptions and Sensis'!$G$47),'S&amp;U'!$I43/ROUNDUP('Assumptions and Sensis'!$G$46/12,0),0))</f>
        <v>0</v>
      </c>
      <c r="Q289" s="150">
        <f>+IF(AND(Q$284&gt;='Assumptions and Sensis'!$G$43,Q$284&lt;'Assumptions and Sensis'!$G$45),'S&amp;U'!$I11/ROUNDUP('Assumptions and Sensis'!$G$44/12,0),IF(AND(Q$284&gt;='Assumptions and Sensis'!$G$45,Q$284&lt;'Assumptions and Sensis'!$G$47),'S&amp;U'!$I43/ROUNDUP('Assumptions and Sensis'!$G$46/12,0),0))</f>
        <v>0</v>
      </c>
      <c r="R289" s="150">
        <f>+IF(AND(R$284&gt;='Assumptions and Sensis'!$G$43,R$284&lt;'Assumptions and Sensis'!$G$45),'S&amp;U'!$I11/ROUNDUP('Assumptions and Sensis'!$G$44/12,0),IF(AND(R$284&gt;='Assumptions and Sensis'!$G$45,R$284&lt;'Assumptions and Sensis'!$G$47),'S&amp;U'!$I43/ROUNDUP('Assumptions and Sensis'!$G$46/12,0),0))</f>
        <v>0</v>
      </c>
      <c r="S289" s="150">
        <f>+IF(AND(S$284&gt;='Assumptions and Sensis'!$G$43,S$284&lt;'Assumptions and Sensis'!$G$45),'S&amp;U'!$I11/ROUNDUP('Assumptions and Sensis'!$G$44/12,0),IF(AND(S$284&gt;='Assumptions and Sensis'!$G$45,S$284&lt;'Assumptions and Sensis'!$G$47),'S&amp;U'!$I43/ROUNDUP('Assumptions and Sensis'!$G$46/12,0),0))</f>
        <v>0</v>
      </c>
      <c r="T289" s="150">
        <f>+IF(AND(T$284&gt;='Assumptions and Sensis'!$G$43,T$284&lt;'Assumptions and Sensis'!$G$45),'S&amp;U'!$I11/ROUNDUP('Assumptions and Sensis'!$G$44/12,0),IF(AND(T$284&gt;='Assumptions and Sensis'!$G$45,T$284&lt;'Assumptions and Sensis'!$G$47),'S&amp;U'!$I43/ROUNDUP('Assumptions and Sensis'!$G$46/12,0),0))</f>
        <v>0</v>
      </c>
      <c r="U289" s="150">
        <f>+IF(AND(U$284&gt;='Assumptions and Sensis'!$G$43,U$284&lt;'Assumptions and Sensis'!$G$45),'S&amp;U'!$I11/ROUNDUP('Assumptions and Sensis'!$G$44/12,0),IF(AND(U$284&gt;='Assumptions and Sensis'!$G$45,U$284&lt;'Assumptions and Sensis'!$G$47),'S&amp;U'!$I43/ROUNDUP('Assumptions and Sensis'!$G$46/12,0),0))</f>
        <v>0</v>
      </c>
      <c r="V289" s="150">
        <f>+IF(AND(V$284&gt;='Assumptions and Sensis'!$G$43,V$284&lt;'Assumptions and Sensis'!$G$45),'S&amp;U'!$I11/ROUNDUP('Assumptions and Sensis'!$G$44/12,0),IF(AND(V$284&gt;='Assumptions and Sensis'!$G$45,V$284&lt;'Assumptions and Sensis'!$G$47),'S&amp;U'!$I43/ROUNDUP('Assumptions and Sensis'!$G$46/12,0),0))</f>
        <v>0</v>
      </c>
      <c r="W289" s="150">
        <f>+IF(AND(W$284&gt;='Assumptions and Sensis'!$G$43,W$284&lt;'Assumptions and Sensis'!$G$45),'S&amp;U'!$I11/ROUNDUP('Assumptions and Sensis'!$G$44/12,0),IF(AND(W$284&gt;='Assumptions and Sensis'!$G$45,W$284&lt;'Assumptions and Sensis'!$G$47),'S&amp;U'!$I43/ROUNDUP('Assumptions and Sensis'!$G$46/12,0),0))</f>
        <v>0</v>
      </c>
      <c r="X289" s="150">
        <f>+IF(AND(X$284&gt;='Assumptions and Sensis'!$G$43,X$284&lt;'Assumptions and Sensis'!$G$45),'S&amp;U'!$I11/ROUNDUP('Assumptions and Sensis'!$G$44/12,0),IF(AND(X$284&gt;='Assumptions and Sensis'!$G$45,X$284&lt;'Assumptions and Sensis'!$G$47),'S&amp;U'!$I43/ROUNDUP('Assumptions and Sensis'!$G$46/12,0),0))</f>
        <v>0</v>
      </c>
      <c r="Y289" s="150">
        <f>+IF(AND(Y$284&gt;='Assumptions and Sensis'!$G$43,Y$284&lt;'Assumptions and Sensis'!$G$45),'S&amp;U'!$I11/ROUNDUP('Assumptions and Sensis'!$G$44/12,0),IF(AND(Y$284&gt;='Assumptions and Sensis'!$G$45,Y$284&lt;'Assumptions and Sensis'!$G$47),'S&amp;U'!$I43/ROUNDUP('Assumptions and Sensis'!$G$46/12,0),0))</f>
        <v>0</v>
      </c>
      <c r="Z289" s="150">
        <f>+IF(AND(Z$284&gt;='Assumptions and Sensis'!$G$43,Z$284&lt;'Assumptions and Sensis'!$G$45),'S&amp;U'!$I11/ROUNDUP('Assumptions and Sensis'!$G$44/12,0),IF(AND(Z$284&gt;='Assumptions and Sensis'!$G$45,Z$284&lt;'Assumptions and Sensis'!$G$47),'S&amp;U'!$I43/ROUNDUP('Assumptions and Sensis'!$G$46/12,0),0))</f>
        <v>0</v>
      </c>
    </row>
    <row r="290" spans="1:26" x14ac:dyDescent="0.2">
      <c r="B290" s="32" t="s">
        <v>83</v>
      </c>
      <c r="D290" s="47">
        <f t="shared" ca="1" si="153"/>
        <v>444607.63224393112</v>
      </c>
      <c r="E290" s="47"/>
      <c r="F290" s="150">
        <f>+IF(AND(F$284&gt;='Assumptions and Sensis'!$G$43,F$284&lt;'Assumptions and Sensis'!$G$45),'S&amp;U'!$I12/ROUNDUP('Assumptions and Sensis'!$G$44/12,0),IF(AND(F$284&gt;='Assumptions and Sensis'!$G$45,F$284&lt;'Assumptions and Sensis'!$G$47),'S&amp;U'!$I44/ROUNDUP('Assumptions and Sensis'!$G$46/12,0),0))</f>
        <v>0</v>
      </c>
      <c r="G290" s="150">
        <f ca="1">+IF(AND(G$284&gt;='Assumptions and Sensis'!$G$43,G$284&lt;'Assumptions and Sensis'!$G$45),'S&amp;U'!$I12/ROUNDUP('Assumptions and Sensis'!$G$44/12,0),IF(AND(G$284&gt;='Assumptions and Sensis'!$G$45,G$284&lt;'Assumptions and Sensis'!$G$47),'S&amp;U'!$I44/ROUNDUP('Assumptions and Sensis'!$G$46/12,0),0))</f>
        <v>222303.81612196556</v>
      </c>
      <c r="H290" s="150">
        <f ca="1">+IF(AND(H$284&gt;='Assumptions and Sensis'!$G$43,H$284&lt;'Assumptions and Sensis'!$G$45),'S&amp;U'!$I12/ROUNDUP('Assumptions and Sensis'!$G$44/12,0),IF(AND(H$284&gt;='Assumptions and Sensis'!$G$45,H$284&lt;'Assumptions and Sensis'!$G$47),'S&amp;U'!$I44/ROUNDUP('Assumptions and Sensis'!$G$46/12,0),0))</f>
        <v>222303.81612196556</v>
      </c>
      <c r="I290" s="150">
        <f>+IF(AND(I$284&gt;='Assumptions and Sensis'!$G$43,I$284&lt;'Assumptions and Sensis'!$G$45),'S&amp;U'!$I12/ROUNDUP('Assumptions and Sensis'!$G$44/12,0),IF(AND(I$284&gt;='Assumptions and Sensis'!$G$45,I$284&lt;'Assumptions and Sensis'!$G$47),'S&amp;U'!$I44/ROUNDUP('Assumptions and Sensis'!$G$46/12,0),0))</f>
        <v>0</v>
      </c>
      <c r="J290" s="150">
        <f>+IF(AND(J$284&gt;='Assumptions and Sensis'!$G$43,J$284&lt;'Assumptions and Sensis'!$G$45),'S&amp;U'!$I12/ROUNDUP('Assumptions and Sensis'!$G$44/12,0),IF(AND(J$284&gt;='Assumptions and Sensis'!$G$45,J$284&lt;'Assumptions and Sensis'!$G$47),'S&amp;U'!$I44/ROUNDUP('Assumptions and Sensis'!$G$46/12,0),0))</f>
        <v>0</v>
      </c>
      <c r="K290" s="150">
        <f>+IF(AND(K$284&gt;='Assumptions and Sensis'!$G$43,K$284&lt;'Assumptions and Sensis'!$G$45),'S&amp;U'!$I12/ROUNDUP('Assumptions and Sensis'!$G$44/12,0),IF(AND(K$284&gt;='Assumptions and Sensis'!$G$45,K$284&lt;'Assumptions and Sensis'!$G$47),'S&amp;U'!$I44/ROUNDUP('Assumptions and Sensis'!$G$46/12,0),0))</f>
        <v>0</v>
      </c>
      <c r="L290" s="150">
        <f>+IF(AND(L$284&gt;='Assumptions and Sensis'!$G$43,L$284&lt;'Assumptions and Sensis'!$G$45),'S&amp;U'!$I12/ROUNDUP('Assumptions and Sensis'!$G$44/12,0),IF(AND(L$284&gt;='Assumptions and Sensis'!$G$45,L$284&lt;'Assumptions and Sensis'!$G$47),'S&amp;U'!$I44/ROUNDUP('Assumptions and Sensis'!$G$46/12,0),0))</f>
        <v>0</v>
      </c>
      <c r="M290" s="150">
        <f>+IF(AND(M$284&gt;='Assumptions and Sensis'!$G$43,M$284&lt;'Assumptions and Sensis'!$G$45),'S&amp;U'!$I12/ROUNDUP('Assumptions and Sensis'!$G$44/12,0),IF(AND(M$284&gt;='Assumptions and Sensis'!$G$45,M$284&lt;'Assumptions and Sensis'!$G$47),'S&amp;U'!$I44/ROUNDUP('Assumptions and Sensis'!$G$46/12,0),0))</f>
        <v>0</v>
      </c>
      <c r="N290" s="150">
        <f>+IF(AND(N$284&gt;='Assumptions and Sensis'!$G$43,N$284&lt;'Assumptions and Sensis'!$G$45),'S&amp;U'!$I12/ROUNDUP('Assumptions and Sensis'!$G$44/12,0),IF(AND(N$284&gt;='Assumptions and Sensis'!$G$45,N$284&lt;'Assumptions and Sensis'!$G$47),'S&amp;U'!$I44/ROUNDUP('Assumptions and Sensis'!$G$46/12,0),0))</f>
        <v>0</v>
      </c>
      <c r="O290" s="150">
        <f>+IF(AND(O$284&gt;='Assumptions and Sensis'!$G$43,O$284&lt;'Assumptions and Sensis'!$G$45),'S&amp;U'!$I12/ROUNDUP('Assumptions and Sensis'!$G$44/12,0),IF(AND(O$284&gt;='Assumptions and Sensis'!$G$45,O$284&lt;'Assumptions and Sensis'!$G$47),'S&amp;U'!$I44/ROUNDUP('Assumptions and Sensis'!$G$46/12,0),0))</f>
        <v>0</v>
      </c>
      <c r="P290" s="150">
        <f>+IF(AND(P$284&gt;='Assumptions and Sensis'!$G$43,P$284&lt;'Assumptions and Sensis'!$G$45),'S&amp;U'!$I12/ROUNDUP('Assumptions and Sensis'!$G$44/12,0),IF(AND(P$284&gt;='Assumptions and Sensis'!$G$45,P$284&lt;'Assumptions and Sensis'!$G$47),'S&amp;U'!$I44/ROUNDUP('Assumptions and Sensis'!$G$46/12,0),0))</f>
        <v>0</v>
      </c>
      <c r="Q290" s="150">
        <f>+IF(AND(Q$284&gt;='Assumptions and Sensis'!$G$43,Q$284&lt;'Assumptions and Sensis'!$G$45),'S&amp;U'!$I12/ROUNDUP('Assumptions and Sensis'!$G$44/12,0),IF(AND(Q$284&gt;='Assumptions and Sensis'!$G$45,Q$284&lt;'Assumptions and Sensis'!$G$47),'S&amp;U'!$I44/ROUNDUP('Assumptions and Sensis'!$G$46/12,0),0))</f>
        <v>0</v>
      </c>
      <c r="R290" s="150">
        <f>+IF(AND(R$284&gt;='Assumptions and Sensis'!$G$43,R$284&lt;'Assumptions and Sensis'!$G$45),'S&amp;U'!$I12/ROUNDUP('Assumptions and Sensis'!$G$44/12,0),IF(AND(R$284&gt;='Assumptions and Sensis'!$G$45,R$284&lt;'Assumptions and Sensis'!$G$47),'S&amp;U'!$I44/ROUNDUP('Assumptions and Sensis'!$G$46/12,0),0))</f>
        <v>0</v>
      </c>
      <c r="S290" s="150">
        <f>+IF(AND(S$284&gt;='Assumptions and Sensis'!$G$43,S$284&lt;'Assumptions and Sensis'!$G$45),'S&amp;U'!$I12/ROUNDUP('Assumptions and Sensis'!$G$44/12,0),IF(AND(S$284&gt;='Assumptions and Sensis'!$G$45,S$284&lt;'Assumptions and Sensis'!$G$47),'S&amp;U'!$I44/ROUNDUP('Assumptions and Sensis'!$G$46/12,0),0))</f>
        <v>0</v>
      </c>
      <c r="T290" s="150">
        <f>+IF(AND(T$284&gt;='Assumptions and Sensis'!$G$43,T$284&lt;'Assumptions and Sensis'!$G$45),'S&amp;U'!$I12/ROUNDUP('Assumptions and Sensis'!$G$44/12,0),IF(AND(T$284&gt;='Assumptions and Sensis'!$G$45,T$284&lt;'Assumptions and Sensis'!$G$47),'S&amp;U'!$I44/ROUNDUP('Assumptions and Sensis'!$G$46/12,0),0))</f>
        <v>0</v>
      </c>
      <c r="U290" s="150">
        <f>+IF(AND(U$284&gt;='Assumptions and Sensis'!$G$43,U$284&lt;'Assumptions and Sensis'!$G$45),'S&amp;U'!$I12/ROUNDUP('Assumptions and Sensis'!$G$44/12,0),IF(AND(U$284&gt;='Assumptions and Sensis'!$G$45,U$284&lt;'Assumptions and Sensis'!$G$47),'S&amp;U'!$I44/ROUNDUP('Assumptions and Sensis'!$G$46/12,0),0))</f>
        <v>0</v>
      </c>
      <c r="V290" s="150">
        <f>+IF(AND(V$284&gt;='Assumptions and Sensis'!$G$43,V$284&lt;'Assumptions and Sensis'!$G$45),'S&amp;U'!$I12/ROUNDUP('Assumptions and Sensis'!$G$44/12,0),IF(AND(V$284&gt;='Assumptions and Sensis'!$G$45,V$284&lt;'Assumptions and Sensis'!$G$47),'S&amp;U'!$I44/ROUNDUP('Assumptions and Sensis'!$G$46/12,0),0))</f>
        <v>0</v>
      </c>
      <c r="W290" s="150">
        <f>+IF(AND(W$284&gt;='Assumptions and Sensis'!$G$43,W$284&lt;'Assumptions and Sensis'!$G$45),'S&amp;U'!$I12/ROUNDUP('Assumptions and Sensis'!$G$44/12,0),IF(AND(W$284&gt;='Assumptions and Sensis'!$G$45,W$284&lt;'Assumptions and Sensis'!$G$47),'S&amp;U'!$I44/ROUNDUP('Assumptions and Sensis'!$G$46/12,0),0))</f>
        <v>0</v>
      </c>
      <c r="X290" s="150">
        <f>+IF(AND(X$284&gt;='Assumptions and Sensis'!$G$43,X$284&lt;'Assumptions and Sensis'!$G$45),'S&amp;U'!$I12/ROUNDUP('Assumptions and Sensis'!$G$44/12,0),IF(AND(X$284&gt;='Assumptions and Sensis'!$G$45,X$284&lt;'Assumptions and Sensis'!$G$47),'S&amp;U'!$I44/ROUNDUP('Assumptions and Sensis'!$G$46/12,0),0))</f>
        <v>0</v>
      </c>
      <c r="Y290" s="150">
        <f>+IF(AND(Y$284&gt;='Assumptions and Sensis'!$G$43,Y$284&lt;'Assumptions and Sensis'!$G$45),'S&amp;U'!$I12/ROUNDUP('Assumptions and Sensis'!$G$44/12,0),IF(AND(Y$284&gt;='Assumptions and Sensis'!$G$45,Y$284&lt;'Assumptions and Sensis'!$G$47),'S&amp;U'!$I44/ROUNDUP('Assumptions and Sensis'!$G$46/12,0),0))</f>
        <v>0</v>
      </c>
      <c r="Z290" s="150">
        <f>+IF(AND(Z$284&gt;='Assumptions and Sensis'!$G$43,Z$284&lt;'Assumptions and Sensis'!$G$45),'S&amp;U'!$I12/ROUNDUP('Assumptions and Sensis'!$G$44/12,0),IF(AND(Z$284&gt;='Assumptions and Sensis'!$G$45,Z$284&lt;'Assumptions and Sensis'!$G$47),'S&amp;U'!$I44/ROUNDUP('Assumptions and Sensis'!$G$46/12,0),0))</f>
        <v>0</v>
      </c>
    </row>
    <row r="291" spans="1:26" x14ac:dyDescent="0.2">
      <c r="B291" s="32" t="s">
        <v>60</v>
      </c>
      <c r="D291" s="47">
        <f t="shared" ca="1" si="153"/>
        <v>6434952.7060475629</v>
      </c>
      <c r="E291" s="47"/>
      <c r="F291" s="150">
        <f ca="1">+IF(AND(F$284&gt;='Assumptions and Sensis'!$G$43,F$284&lt;'Assumptions and Sensis'!$G$45),'S&amp;U'!$I13/ROUNDUP('Assumptions and Sensis'!$G$44/12,0),IF(AND(F$284&gt;='Assumptions and Sensis'!$G$45,F$284&lt;'Assumptions and Sensis'!$G$49),'S&amp;U'!$I45/ROUNDUP(('Assumptions and Sensis'!$G$46+'Assumptions and Sensis'!$G$48)/12,0),0))</f>
        <v>0</v>
      </c>
      <c r="G291" s="150">
        <f ca="1">+IF(AND(G$284&gt;='Assumptions and Sensis'!$G$43,G$284&lt;'Assumptions and Sensis'!$G$45),'S&amp;U'!$I13/ROUNDUP('Assumptions and Sensis'!$G$44/12,0),IF(AND(G$284&gt;='Assumptions and Sensis'!$G$45,G$284&lt;'Assumptions and Sensis'!$G$49),'S&amp;U'!$I45/ROUNDUP(('Assumptions and Sensis'!$G$46+'Assumptions and Sensis'!$G$48)/12,0),0))</f>
        <v>1608738.1765118907</v>
      </c>
      <c r="H291" s="150">
        <f ca="1">+IF(AND(H$284&gt;='Assumptions and Sensis'!$G$43,H$284&lt;'Assumptions and Sensis'!$G$45),'S&amp;U'!$I13/ROUNDUP('Assumptions and Sensis'!$G$44/12,0),IF(AND(H$284&gt;='Assumptions and Sensis'!$G$45,H$284&lt;'Assumptions and Sensis'!$G$49),'S&amp;U'!$I45/ROUNDUP(('Assumptions and Sensis'!$G$46+'Assumptions and Sensis'!$G$48)/12,0),0))</f>
        <v>1608738.1765118907</v>
      </c>
      <c r="I291" s="150">
        <f ca="1">+IF(AND(I$284&gt;='Assumptions and Sensis'!$G$43,I$284&lt;'Assumptions and Sensis'!$G$45),'S&amp;U'!$I13/ROUNDUP('Assumptions and Sensis'!$G$44/12,0),IF(AND(I$284&gt;='Assumptions and Sensis'!$G$45,I$284&lt;'Assumptions and Sensis'!$G$49),'S&amp;U'!$I45/ROUNDUP(('Assumptions and Sensis'!$G$46+'Assumptions and Sensis'!$G$48)/12,0),0))</f>
        <v>1608738.1765118907</v>
      </c>
      <c r="J291" s="150">
        <f ca="1">+IF(AND(J$284&gt;='Assumptions and Sensis'!$G$43,J$284&lt;'Assumptions and Sensis'!$G$45),'S&amp;U'!$I13/ROUNDUP('Assumptions and Sensis'!$G$44/12,0),IF(AND(J$284&gt;='Assumptions and Sensis'!$G$45,J$284&lt;'Assumptions and Sensis'!$G$49),'S&amp;U'!$I45/ROUNDUP(('Assumptions and Sensis'!$G$46+'Assumptions and Sensis'!$G$48)/12,0),0))</f>
        <v>1608738.1765118907</v>
      </c>
      <c r="K291" s="150">
        <f>+IF(AND(K$284&gt;='Assumptions and Sensis'!$G$43,K$284&lt;'Assumptions and Sensis'!$G$45),'S&amp;U'!$I13/ROUNDUP('Assumptions and Sensis'!$G$44/12,0),IF(AND(K$284&gt;='Assumptions and Sensis'!$G$45,K$284&lt;'Assumptions and Sensis'!$G$49),'S&amp;U'!$I45/ROUNDUP(('Assumptions and Sensis'!$G$46+'Assumptions and Sensis'!$G$48)/12,0),0))</f>
        <v>0</v>
      </c>
      <c r="L291" s="150">
        <f>+IF(AND(L$284&gt;='Assumptions and Sensis'!$G$43,L$284&lt;'Assumptions and Sensis'!$G$45),'S&amp;U'!$I13/ROUNDUP('Assumptions and Sensis'!$G$44/12,0),IF(AND(L$284&gt;='Assumptions and Sensis'!$G$45,L$284&lt;'Assumptions and Sensis'!$G$49),'S&amp;U'!$I45/ROUNDUP(('Assumptions and Sensis'!$G$46+'Assumptions and Sensis'!$G$48)/12,0),0))</f>
        <v>0</v>
      </c>
      <c r="M291" s="150">
        <f>+IF(AND(M$284&gt;='Assumptions and Sensis'!$G$43,M$284&lt;'Assumptions and Sensis'!$G$45),'S&amp;U'!$I13/ROUNDUP('Assumptions and Sensis'!$G$44/12,0),IF(AND(M$284&gt;='Assumptions and Sensis'!$G$45,M$284&lt;'Assumptions and Sensis'!$G$49),'S&amp;U'!$I45/ROUNDUP(('Assumptions and Sensis'!$G$46+'Assumptions and Sensis'!$G$48)/12,0),0))</f>
        <v>0</v>
      </c>
      <c r="N291" s="150">
        <f>+IF(AND(N$284&gt;='Assumptions and Sensis'!$G$43,N$284&lt;'Assumptions and Sensis'!$G$45),'S&amp;U'!$I13/ROUNDUP('Assumptions and Sensis'!$G$44/12,0),IF(AND(N$284&gt;='Assumptions and Sensis'!$G$45,N$284&lt;'Assumptions and Sensis'!$G$49),'S&amp;U'!$I45/ROUNDUP(('Assumptions and Sensis'!$G$46+'Assumptions and Sensis'!$G$48)/12,0),0))</f>
        <v>0</v>
      </c>
      <c r="O291" s="150">
        <f>+IF(AND(O$284&gt;='Assumptions and Sensis'!$G$43,O$284&lt;'Assumptions and Sensis'!$G$45),'S&amp;U'!$I13/ROUNDUP('Assumptions and Sensis'!$G$44/12,0),IF(AND(O$284&gt;='Assumptions and Sensis'!$G$45,O$284&lt;'Assumptions and Sensis'!$G$49),'S&amp;U'!$I45/ROUNDUP(('Assumptions and Sensis'!$G$46+'Assumptions and Sensis'!$G$48)/12,0),0))</f>
        <v>0</v>
      </c>
      <c r="P291" s="150">
        <f>+IF(AND(P$284&gt;='Assumptions and Sensis'!$G$43,P$284&lt;'Assumptions and Sensis'!$G$45),'S&amp;U'!$I13/ROUNDUP('Assumptions and Sensis'!$G$44/12,0),IF(AND(P$284&gt;='Assumptions and Sensis'!$G$45,P$284&lt;'Assumptions and Sensis'!$G$49),'S&amp;U'!$I45/ROUNDUP(('Assumptions and Sensis'!$G$46+'Assumptions and Sensis'!$G$48)/12,0),0))</f>
        <v>0</v>
      </c>
      <c r="Q291" s="150">
        <f>+IF(AND(Q$284&gt;='Assumptions and Sensis'!$G$43,Q$284&lt;'Assumptions and Sensis'!$G$45),'S&amp;U'!$I13/ROUNDUP('Assumptions and Sensis'!$G$44/12,0),IF(AND(Q$284&gt;='Assumptions and Sensis'!$G$45,Q$284&lt;'Assumptions and Sensis'!$G$49),'S&amp;U'!$I45/ROUNDUP(('Assumptions and Sensis'!$G$46+'Assumptions and Sensis'!$G$48)/12,0),0))</f>
        <v>0</v>
      </c>
      <c r="R291" s="150">
        <f>+IF(AND(R$284&gt;='Assumptions and Sensis'!$G$43,R$284&lt;'Assumptions and Sensis'!$G$45),'S&amp;U'!$I13/ROUNDUP('Assumptions and Sensis'!$G$44/12,0),IF(AND(R$284&gt;='Assumptions and Sensis'!$G$45,R$284&lt;'Assumptions and Sensis'!$G$49),'S&amp;U'!$I45/ROUNDUP(('Assumptions and Sensis'!$G$46+'Assumptions and Sensis'!$G$48)/12,0),0))</f>
        <v>0</v>
      </c>
      <c r="S291" s="150">
        <f>+IF(AND(S$284&gt;='Assumptions and Sensis'!$G$43,S$284&lt;'Assumptions and Sensis'!$G$45),'S&amp;U'!$I13/ROUNDUP('Assumptions and Sensis'!$G$44/12,0),IF(AND(S$284&gt;='Assumptions and Sensis'!$G$45,S$284&lt;'Assumptions and Sensis'!$G$49),'S&amp;U'!$I45/ROUNDUP(('Assumptions and Sensis'!$G$46+'Assumptions and Sensis'!$G$48)/12,0),0))</f>
        <v>0</v>
      </c>
      <c r="T291" s="150">
        <f>+IF(AND(T$284&gt;='Assumptions and Sensis'!$G$43,T$284&lt;'Assumptions and Sensis'!$G$45),'S&amp;U'!$I13/ROUNDUP('Assumptions and Sensis'!$G$44/12,0),IF(AND(T$284&gt;='Assumptions and Sensis'!$G$45,T$284&lt;'Assumptions and Sensis'!$G$49),'S&amp;U'!$I45/ROUNDUP(('Assumptions and Sensis'!$G$46+'Assumptions and Sensis'!$G$48)/12,0),0))</f>
        <v>0</v>
      </c>
      <c r="U291" s="150">
        <f>+IF(AND(U$284&gt;='Assumptions and Sensis'!$G$43,U$284&lt;'Assumptions and Sensis'!$G$45),'S&amp;U'!$I13/ROUNDUP('Assumptions and Sensis'!$G$44/12,0),IF(AND(U$284&gt;='Assumptions and Sensis'!$G$45,U$284&lt;'Assumptions and Sensis'!$G$49),'S&amp;U'!$I45/ROUNDUP(('Assumptions and Sensis'!$G$46+'Assumptions and Sensis'!$G$48)/12,0),0))</f>
        <v>0</v>
      </c>
      <c r="V291" s="150">
        <f>+IF(AND(V$284&gt;='Assumptions and Sensis'!$G$43,V$284&lt;'Assumptions and Sensis'!$G$45),'S&amp;U'!$I13/ROUNDUP('Assumptions and Sensis'!$G$44/12,0),IF(AND(V$284&gt;='Assumptions and Sensis'!$G$45,V$284&lt;'Assumptions and Sensis'!$G$49),'S&amp;U'!$I45/ROUNDUP(('Assumptions and Sensis'!$G$46+'Assumptions and Sensis'!$G$48)/12,0),0))</f>
        <v>0</v>
      </c>
      <c r="W291" s="150">
        <f>+IF(AND(W$284&gt;='Assumptions and Sensis'!$G$43,W$284&lt;'Assumptions and Sensis'!$G$45),'S&amp;U'!$I13/ROUNDUP('Assumptions and Sensis'!$G$44/12,0),IF(AND(W$284&gt;='Assumptions and Sensis'!$G$45,W$284&lt;'Assumptions and Sensis'!$G$49),'S&amp;U'!$I45/ROUNDUP(('Assumptions and Sensis'!$G$46+'Assumptions and Sensis'!$G$48)/12,0),0))</f>
        <v>0</v>
      </c>
      <c r="X291" s="150">
        <f>+IF(AND(X$284&gt;='Assumptions and Sensis'!$G$43,X$284&lt;'Assumptions and Sensis'!$G$45),'S&amp;U'!$I13/ROUNDUP('Assumptions and Sensis'!$G$44/12,0),IF(AND(X$284&gt;='Assumptions and Sensis'!$G$45,X$284&lt;'Assumptions and Sensis'!$G$49),'S&amp;U'!$I45/ROUNDUP(('Assumptions and Sensis'!$G$46+'Assumptions and Sensis'!$G$48)/12,0),0))</f>
        <v>0</v>
      </c>
      <c r="Y291" s="150">
        <f>+IF(AND(Y$284&gt;='Assumptions and Sensis'!$G$43,Y$284&lt;'Assumptions and Sensis'!$G$45),'S&amp;U'!$I13/ROUNDUP('Assumptions and Sensis'!$G$44/12,0),IF(AND(Y$284&gt;='Assumptions and Sensis'!$G$45,Y$284&lt;'Assumptions and Sensis'!$G$49),'S&amp;U'!$I45/ROUNDUP(('Assumptions and Sensis'!$G$46+'Assumptions and Sensis'!$G$48)/12,0),0))</f>
        <v>0</v>
      </c>
      <c r="Z291" s="150">
        <f>+IF(AND(Z$284&gt;='Assumptions and Sensis'!$G$43,Z$284&lt;'Assumptions and Sensis'!$G$45),'S&amp;U'!$I13/ROUNDUP('Assumptions and Sensis'!$G$44/12,0),IF(AND(Z$284&gt;='Assumptions and Sensis'!$G$45,Z$284&lt;'Assumptions and Sensis'!$G$49),'S&amp;U'!$I45/ROUNDUP(('Assumptions and Sensis'!$G$46+'Assumptions and Sensis'!$G$48)/12,0),0))</f>
        <v>0</v>
      </c>
    </row>
    <row r="292" spans="1:26" x14ac:dyDescent="0.2">
      <c r="B292" s="137" t="s">
        <v>20</v>
      </c>
      <c r="C292" s="137"/>
      <c r="D292" s="138">
        <f ca="1">+SUM(F292:Z292)</f>
        <v>221752349.34810919</v>
      </c>
      <c r="E292" s="138"/>
      <c r="F292" s="138">
        <f ca="1">+SUM(F285:F291)</f>
        <v>18873780.060831025</v>
      </c>
      <c r="G292" s="138">
        <f t="shared" ref="G292:Z292" ca="1" si="154">+SUM(G285:G291)</f>
        <v>99830546.467127204</v>
      </c>
      <c r="H292" s="138">
        <f t="shared" ca="1" si="154"/>
        <v>99830546.467127204</v>
      </c>
      <c r="I292" s="138">
        <f t="shared" ca="1" si="154"/>
        <v>1608738.1765118907</v>
      </c>
      <c r="J292" s="138">
        <f t="shared" ca="1" si="154"/>
        <v>1608738.1765118907</v>
      </c>
      <c r="K292" s="138">
        <f t="shared" si="154"/>
        <v>0</v>
      </c>
      <c r="L292" s="138">
        <f t="shared" si="154"/>
        <v>0</v>
      </c>
      <c r="M292" s="138">
        <f t="shared" si="154"/>
        <v>0</v>
      </c>
      <c r="N292" s="138">
        <f t="shared" si="154"/>
        <v>0</v>
      </c>
      <c r="O292" s="138">
        <f t="shared" si="154"/>
        <v>0</v>
      </c>
      <c r="P292" s="138">
        <f t="shared" si="154"/>
        <v>0</v>
      </c>
      <c r="Q292" s="138">
        <f t="shared" si="154"/>
        <v>0</v>
      </c>
      <c r="R292" s="138">
        <f t="shared" si="154"/>
        <v>0</v>
      </c>
      <c r="S292" s="138">
        <f t="shared" si="154"/>
        <v>0</v>
      </c>
      <c r="T292" s="138">
        <f t="shared" si="154"/>
        <v>0</v>
      </c>
      <c r="U292" s="138">
        <f t="shared" si="154"/>
        <v>0</v>
      </c>
      <c r="V292" s="138">
        <f t="shared" si="154"/>
        <v>0</v>
      </c>
      <c r="W292" s="138">
        <f t="shared" si="154"/>
        <v>0</v>
      </c>
      <c r="X292" s="138">
        <f t="shared" si="154"/>
        <v>0</v>
      </c>
      <c r="Y292" s="138">
        <f t="shared" si="154"/>
        <v>0</v>
      </c>
      <c r="Z292" s="138">
        <f t="shared" si="154"/>
        <v>0</v>
      </c>
    </row>
    <row r="294" spans="1:26" x14ac:dyDescent="0.2">
      <c r="B294" s="147" t="s">
        <v>347</v>
      </c>
      <c r="F294" s="149">
        <f>+'Assumptions and Sensis'!$G$43</f>
        <v>44926</v>
      </c>
      <c r="G294" s="149">
        <f>+EOMONTH(F294,12)</f>
        <v>45291</v>
      </c>
      <c r="H294" s="149">
        <f t="shared" ref="H294:Z294" si="155">+EOMONTH(G294,12)</f>
        <v>45657</v>
      </c>
      <c r="I294" s="149">
        <f t="shared" si="155"/>
        <v>46022</v>
      </c>
      <c r="J294" s="149">
        <f t="shared" si="155"/>
        <v>46387</v>
      </c>
      <c r="K294" s="149">
        <f t="shared" si="155"/>
        <v>46752</v>
      </c>
      <c r="L294" s="149">
        <f t="shared" si="155"/>
        <v>47118</v>
      </c>
      <c r="M294" s="149">
        <f t="shared" si="155"/>
        <v>47483</v>
      </c>
      <c r="N294" s="149">
        <f t="shared" si="155"/>
        <v>47848</v>
      </c>
      <c r="O294" s="149">
        <f t="shared" si="155"/>
        <v>48213</v>
      </c>
      <c r="P294" s="149">
        <f t="shared" si="155"/>
        <v>48579</v>
      </c>
      <c r="Q294" s="149">
        <f t="shared" si="155"/>
        <v>48944</v>
      </c>
      <c r="R294" s="149">
        <f t="shared" si="155"/>
        <v>49309</v>
      </c>
      <c r="S294" s="149">
        <f t="shared" si="155"/>
        <v>49674</v>
      </c>
      <c r="T294" s="149">
        <f t="shared" si="155"/>
        <v>50040</v>
      </c>
      <c r="U294" s="149">
        <f t="shared" si="155"/>
        <v>50405</v>
      </c>
      <c r="V294" s="149">
        <f t="shared" si="155"/>
        <v>50770</v>
      </c>
      <c r="W294" s="149">
        <f t="shared" si="155"/>
        <v>51135</v>
      </c>
      <c r="X294" s="149">
        <f t="shared" si="155"/>
        <v>51501</v>
      </c>
      <c r="Y294" s="149">
        <f t="shared" si="155"/>
        <v>51866</v>
      </c>
      <c r="Z294" s="149">
        <f t="shared" si="155"/>
        <v>52231</v>
      </c>
    </row>
    <row r="295" spans="1:26" x14ac:dyDescent="0.2">
      <c r="A295" s="107"/>
      <c r="B295" s="32" t="s">
        <v>29</v>
      </c>
      <c r="D295" s="47">
        <f t="shared" ref="D295:D302" ca="1" si="156">+SUM(F295:Z295)</f>
        <v>36283687.849978745</v>
      </c>
      <c r="E295" s="47"/>
      <c r="F295" s="33">
        <f ca="1">+MIN('S&amp;U'!$I23-SUM('Phase II Pro Forma'!$E295:E295),'Phase II Pro Forma'!F$292)</f>
        <v>18873780.060831025</v>
      </c>
      <c r="G295" s="33">
        <f ca="1">+MIN('S&amp;U'!$I23-SUM('Phase II Pro Forma'!$E295:F295),'Phase II Pro Forma'!G$292)</f>
        <v>17409907.78914772</v>
      </c>
      <c r="H295" s="33">
        <f ca="1">+MIN('S&amp;U'!$I23-SUM('Phase II Pro Forma'!$E295:G295),'Phase II Pro Forma'!H$292)</f>
        <v>0</v>
      </c>
      <c r="I295" s="33">
        <f ca="1">+MIN('S&amp;U'!$I23-SUM('Phase II Pro Forma'!$E295:H295),'Phase II Pro Forma'!I$292)</f>
        <v>0</v>
      </c>
      <c r="J295" s="33">
        <f ca="1">+MIN('S&amp;U'!$I23-SUM('Phase II Pro Forma'!$E295:I295),'Phase II Pro Forma'!J$292)</f>
        <v>0</v>
      </c>
      <c r="K295" s="33">
        <f ca="1">+MIN('S&amp;U'!$I23-SUM('Phase II Pro Forma'!$E295:J295),'Phase II Pro Forma'!K$292)</f>
        <v>0</v>
      </c>
      <c r="L295" s="33">
        <f ca="1">+MIN('S&amp;U'!$I23-SUM('Phase II Pro Forma'!$E295:K295),'Phase II Pro Forma'!L$292)</f>
        <v>0</v>
      </c>
      <c r="M295" s="33">
        <f ca="1">+MIN('S&amp;U'!$I23-SUM('Phase II Pro Forma'!$E295:L295),'Phase II Pro Forma'!M$292)</f>
        <v>0</v>
      </c>
      <c r="N295" s="33">
        <f ca="1">+MIN('S&amp;U'!$I23-SUM('Phase II Pro Forma'!$E295:M295),'Phase II Pro Forma'!N$292)</f>
        <v>0</v>
      </c>
      <c r="O295" s="33">
        <f ca="1">+MIN('S&amp;U'!$I23-SUM('Phase II Pro Forma'!$E295:N295),'Phase II Pro Forma'!O$292)</f>
        <v>0</v>
      </c>
      <c r="P295" s="33">
        <f ca="1">+MIN('S&amp;U'!$I23-SUM('Phase II Pro Forma'!$E295:O295),'Phase II Pro Forma'!P$292)</f>
        <v>0</v>
      </c>
      <c r="Q295" s="33">
        <f ca="1">+MIN('S&amp;U'!$I23-SUM('Phase II Pro Forma'!$E295:P295),'Phase II Pro Forma'!Q$292)</f>
        <v>0</v>
      </c>
      <c r="R295" s="33">
        <f ca="1">+MIN('S&amp;U'!$I23-SUM('Phase II Pro Forma'!$E295:Q295),'Phase II Pro Forma'!R$292)</f>
        <v>0</v>
      </c>
      <c r="S295" s="33">
        <f ca="1">+MIN('S&amp;U'!$I23-SUM('Phase II Pro Forma'!$E295:R295),'Phase II Pro Forma'!S$292)</f>
        <v>0</v>
      </c>
      <c r="T295" s="33">
        <f ca="1">+MIN('S&amp;U'!$I23-SUM('Phase II Pro Forma'!$E295:S295),'Phase II Pro Forma'!T$292)</f>
        <v>0</v>
      </c>
      <c r="U295" s="33">
        <f ca="1">+MIN('S&amp;U'!$I23-SUM('Phase II Pro Forma'!$E295:T295),'Phase II Pro Forma'!U$292)</f>
        <v>0</v>
      </c>
      <c r="V295" s="33">
        <f ca="1">+MIN('S&amp;U'!$I23-SUM('Phase II Pro Forma'!$E295:U295),'Phase II Pro Forma'!V$292)</f>
        <v>0</v>
      </c>
      <c r="W295" s="33">
        <f ca="1">+MIN('S&amp;U'!$I23-SUM('Phase II Pro Forma'!$E295:V295),'Phase II Pro Forma'!W$292)</f>
        <v>0</v>
      </c>
      <c r="X295" s="33">
        <f ca="1">+MIN('S&amp;U'!$I23-SUM('Phase II Pro Forma'!$E295:W295),'Phase II Pro Forma'!X$292)</f>
        <v>0</v>
      </c>
      <c r="Y295" s="33">
        <f ca="1">+MIN('S&amp;U'!$I23-SUM('Phase II Pro Forma'!$E295:X295),'Phase II Pro Forma'!Y$292)</f>
        <v>0</v>
      </c>
      <c r="Z295" s="33">
        <f ca="1">+MIN('S&amp;U'!$I23-SUM('Phase II Pro Forma'!$E295:Y295),'Phase II Pro Forma'!Z$292)</f>
        <v>0</v>
      </c>
    </row>
    <row r="296" spans="1:26" x14ac:dyDescent="0.2">
      <c r="B296" s="32" t="s">
        <v>326</v>
      </c>
      <c r="D296" s="47">
        <f t="shared" ca="1" si="156"/>
        <v>0</v>
      </c>
      <c r="E296" s="47"/>
      <c r="F296" s="150">
        <f ca="1">+MIN('S&amp;U'!$I19-SUM('Phase II Pro Forma'!$E296:E296),'Phase II Pro Forma'!F$292-SUM(F$295:F295))</f>
        <v>0</v>
      </c>
      <c r="G296" s="150">
        <f ca="1">+MIN('S&amp;U'!$I19-SUM('Phase II Pro Forma'!$E296:F296),'Phase II Pro Forma'!G$292-SUM(G$295:G295))</f>
        <v>0</v>
      </c>
      <c r="H296" s="150">
        <f ca="1">+MIN('S&amp;U'!$I19-SUM('Phase II Pro Forma'!$E296:G296),'Phase II Pro Forma'!H$292-SUM(H$295:H295))</f>
        <v>0</v>
      </c>
      <c r="I296" s="150">
        <f ca="1">+MIN('S&amp;U'!$I19-SUM('Phase II Pro Forma'!$E296:H296),'Phase II Pro Forma'!I$292-SUM(I$295:I295))</f>
        <v>0</v>
      </c>
      <c r="J296" s="150">
        <f ca="1">+MIN('S&amp;U'!$I19-SUM('Phase II Pro Forma'!$E296:I296),'Phase II Pro Forma'!J$292-SUM(J$295:J295))</f>
        <v>0</v>
      </c>
      <c r="K296" s="150">
        <f ca="1">+MIN('S&amp;U'!$I19-SUM('Phase II Pro Forma'!$E296:J296),'Phase II Pro Forma'!K$292-SUM(K$295:K295))</f>
        <v>0</v>
      </c>
      <c r="L296" s="150">
        <f ca="1">+MIN('S&amp;U'!$I19-SUM('Phase II Pro Forma'!$E296:K296),'Phase II Pro Forma'!L$292-SUM(L$295:L295))</f>
        <v>0</v>
      </c>
      <c r="M296" s="150">
        <f ca="1">+MIN('S&amp;U'!$I19-SUM('Phase II Pro Forma'!$E296:L296),'Phase II Pro Forma'!M$292-SUM(M$295:M295))</f>
        <v>0</v>
      </c>
      <c r="N296" s="150">
        <f ca="1">+MIN('S&amp;U'!$I19-SUM('Phase II Pro Forma'!$E296:M296),'Phase II Pro Forma'!N$292-SUM(N$295:N295))</f>
        <v>0</v>
      </c>
      <c r="O296" s="150">
        <f ca="1">+MIN('S&amp;U'!$I19-SUM('Phase II Pro Forma'!$E296:N296),'Phase II Pro Forma'!O$292-SUM(O$295:O295))</f>
        <v>0</v>
      </c>
      <c r="P296" s="150">
        <f ca="1">+MIN('S&amp;U'!$I19-SUM('Phase II Pro Forma'!$E296:O296),'Phase II Pro Forma'!P$292-SUM(P$295:P295))</f>
        <v>0</v>
      </c>
      <c r="Q296" s="150">
        <f ca="1">+MIN('S&amp;U'!$I19-SUM('Phase II Pro Forma'!$E296:P296),'Phase II Pro Forma'!Q$292-SUM(Q$295:Q295))</f>
        <v>0</v>
      </c>
      <c r="R296" s="150">
        <f ca="1">+MIN('S&amp;U'!$I19-SUM('Phase II Pro Forma'!$E296:Q296),'Phase II Pro Forma'!R$292-SUM(R$295:R295))</f>
        <v>0</v>
      </c>
      <c r="S296" s="150">
        <f ca="1">+MIN('S&amp;U'!$I19-SUM('Phase II Pro Forma'!$E296:R296),'Phase II Pro Forma'!S$292-SUM(S$295:S295))</f>
        <v>0</v>
      </c>
      <c r="T296" s="150">
        <f ca="1">+MIN('S&amp;U'!$I19-SUM('Phase II Pro Forma'!$E296:S296),'Phase II Pro Forma'!T$292-SUM(T$295:T295))</f>
        <v>0</v>
      </c>
      <c r="U296" s="150">
        <f ca="1">+MIN('S&amp;U'!$I19-SUM('Phase II Pro Forma'!$E296:T296),'Phase II Pro Forma'!U$292-SUM(U$295:U295))</f>
        <v>0</v>
      </c>
      <c r="V296" s="150">
        <f ca="1">+MIN('S&amp;U'!$I19-SUM('Phase II Pro Forma'!$E296:U296),'Phase II Pro Forma'!V$292-SUM(V$295:V295))</f>
        <v>0</v>
      </c>
      <c r="W296" s="150">
        <f ca="1">+MIN('S&amp;U'!$I19-SUM('Phase II Pro Forma'!$E296:V296),'Phase II Pro Forma'!W$292-SUM(W$295:W295))</f>
        <v>0</v>
      </c>
      <c r="X296" s="150">
        <f ca="1">+MIN('S&amp;U'!$I19-SUM('Phase II Pro Forma'!$E296:W296),'Phase II Pro Forma'!X$292-SUM(X$295:X295))</f>
        <v>0</v>
      </c>
      <c r="Y296" s="150">
        <f ca="1">+MIN('S&amp;U'!$I19-SUM('Phase II Pro Forma'!$E296:X296),'Phase II Pro Forma'!Y$292-SUM(Y$295:Y295))</f>
        <v>0</v>
      </c>
      <c r="Z296" s="150">
        <f ca="1">+MIN('S&amp;U'!$I19-SUM('Phase II Pro Forma'!$E296:Y296),'Phase II Pro Forma'!Z$292-SUM(Z$295:Z295))</f>
        <v>0</v>
      </c>
    </row>
    <row r="297" spans="1:26" x14ac:dyDescent="0.2">
      <c r="B297" s="32" t="s">
        <v>99</v>
      </c>
      <c r="D297" s="47">
        <f t="shared" ca="1" si="156"/>
        <v>8832339.7304545473</v>
      </c>
      <c r="E297" s="47"/>
      <c r="F297" s="150">
        <f ca="1">+MIN('S&amp;U'!$I20-SUM('Phase II Pro Forma'!$E297:E297),'Phase II Pro Forma'!F$292-SUM(F$295:F296))</f>
        <v>0</v>
      </c>
      <c r="G297" s="150">
        <f ca="1">+MIN('S&amp;U'!$I20-SUM('Phase II Pro Forma'!$E297:F297),'Phase II Pro Forma'!G$292-SUM(G$295:G296))</f>
        <v>8832339.7304545473</v>
      </c>
      <c r="H297" s="150">
        <f ca="1">+MIN('S&amp;U'!$I20-SUM('Phase II Pro Forma'!$E297:G297),'Phase II Pro Forma'!H$292-SUM(H$295:H296))</f>
        <v>0</v>
      </c>
      <c r="I297" s="150">
        <f ca="1">+MIN('S&amp;U'!$I20-SUM('Phase II Pro Forma'!$E297:H297),'Phase II Pro Forma'!I$292-SUM(I$295:I296))</f>
        <v>0</v>
      </c>
      <c r="J297" s="150">
        <f ca="1">+MIN('S&amp;U'!$I20-SUM('Phase II Pro Forma'!$E297:I297),'Phase II Pro Forma'!J$292-SUM(J$295:J296))</f>
        <v>0</v>
      </c>
      <c r="K297" s="150">
        <f ca="1">+MIN('S&amp;U'!$I20-SUM('Phase II Pro Forma'!$E297:J297),'Phase II Pro Forma'!K$292-SUM(K$295:K296))</f>
        <v>0</v>
      </c>
      <c r="L297" s="150">
        <f ca="1">+MIN('S&amp;U'!$I20-SUM('Phase II Pro Forma'!$E297:K297),'Phase II Pro Forma'!L$292-SUM(L$295:L296))</f>
        <v>0</v>
      </c>
      <c r="M297" s="150">
        <f ca="1">+MIN('S&amp;U'!$I20-SUM('Phase II Pro Forma'!$E297:L297),'Phase II Pro Forma'!M$292-SUM(M$295:M296))</f>
        <v>0</v>
      </c>
      <c r="N297" s="150">
        <f ca="1">+MIN('S&amp;U'!$I20-SUM('Phase II Pro Forma'!$E297:M297),'Phase II Pro Forma'!N$292-SUM(N$295:N296))</f>
        <v>0</v>
      </c>
      <c r="O297" s="150">
        <f ca="1">+MIN('S&amp;U'!$I20-SUM('Phase II Pro Forma'!$E297:N297),'Phase II Pro Forma'!O$292-SUM(O$295:O296))</f>
        <v>0</v>
      </c>
      <c r="P297" s="150">
        <f ca="1">+MIN('S&amp;U'!$I20-SUM('Phase II Pro Forma'!$E297:O297),'Phase II Pro Forma'!P$292-SUM(P$295:P296))</f>
        <v>0</v>
      </c>
      <c r="Q297" s="150">
        <f ca="1">+MIN('S&amp;U'!$I20-SUM('Phase II Pro Forma'!$E297:P297),'Phase II Pro Forma'!Q$292-SUM(Q$295:Q296))</f>
        <v>0</v>
      </c>
      <c r="R297" s="150">
        <f ca="1">+MIN('S&amp;U'!$I20-SUM('Phase II Pro Forma'!$E297:Q297),'Phase II Pro Forma'!R$292-SUM(R$295:R296))</f>
        <v>0</v>
      </c>
      <c r="S297" s="150">
        <f ca="1">+MIN('S&amp;U'!$I20-SUM('Phase II Pro Forma'!$E297:R297),'Phase II Pro Forma'!S$292-SUM(S$295:S296))</f>
        <v>0</v>
      </c>
      <c r="T297" s="150">
        <f ca="1">+MIN('S&amp;U'!$I20-SUM('Phase II Pro Forma'!$E297:S297),'Phase II Pro Forma'!T$292-SUM(T$295:T296))</f>
        <v>0</v>
      </c>
      <c r="U297" s="150">
        <f ca="1">+MIN('S&amp;U'!$I20-SUM('Phase II Pro Forma'!$E297:T297),'Phase II Pro Forma'!U$292-SUM(U$295:U296))</f>
        <v>0</v>
      </c>
      <c r="V297" s="150">
        <f ca="1">+MIN('S&amp;U'!$I20-SUM('Phase II Pro Forma'!$E297:U297),'Phase II Pro Forma'!V$292-SUM(V$295:V296))</f>
        <v>0</v>
      </c>
      <c r="W297" s="150">
        <f ca="1">+MIN('S&amp;U'!$I20-SUM('Phase II Pro Forma'!$E297:V297),'Phase II Pro Forma'!W$292-SUM(W$295:W296))</f>
        <v>0</v>
      </c>
      <c r="X297" s="150">
        <f ca="1">+MIN('S&amp;U'!$I20-SUM('Phase II Pro Forma'!$E297:W297),'Phase II Pro Forma'!X$292-SUM(X$295:X296))</f>
        <v>0</v>
      </c>
      <c r="Y297" s="150">
        <f ca="1">+MIN('S&amp;U'!$I20-SUM('Phase II Pro Forma'!$E297:X297),'Phase II Pro Forma'!Y$292-SUM(Y$295:Y296))</f>
        <v>0</v>
      </c>
      <c r="Z297" s="150">
        <f ca="1">+MIN('S&amp;U'!$I20-SUM('Phase II Pro Forma'!$E297:Y297),'Phase II Pro Forma'!Z$292-SUM(Z$295:Z296))</f>
        <v>0</v>
      </c>
    </row>
    <row r="298" spans="1:26" x14ac:dyDescent="0.2">
      <c r="B298" s="32" t="s">
        <v>100</v>
      </c>
      <c r="D298" s="47">
        <f t="shared" ca="1" si="156"/>
        <v>6.2400000000000012E-5</v>
      </c>
      <c r="E298" s="47"/>
      <c r="F298" s="150">
        <f ca="1">+MIN('S&amp;U'!$I21-SUM('Phase II Pro Forma'!$E298:E298),'Phase II Pro Forma'!F$292-SUM(F$295:F297))</f>
        <v>0</v>
      </c>
      <c r="G298" s="150">
        <f ca="1">+MIN('S&amp;U'!$I21-SUM('Phase II Pro Forma'!$E298:F298),'Phase II Pro Forma'!G$292-SUM(G$295:G297))</f>
        <v>6.2400000000000012E-5</v>
      </c>
      <c r="H298" s="150">
        <f ca="1">+MIN('S&amp;U'!$I21-SUM('Phase II Pro Forma'!$E298:G298),'Phase II Pro Forma'!H$292-SUM(H$295:H297))</f>
        <v>0</v>
      </c>
      <c r="I298" s="150">
        <f ca="1">+MIN('S&amp;U'!$I21-SUM('Phase II Pro Forma'!$E298:H298),'Phase II Pro Forma'!I$292-SUM(I$295:I297))</f>
        <v>0</v>
      </c>
      <c r="J298" s="150">
        <f ca="1">+MIN('S&amp;U'!$I21-SUM('Phase II Pro Forma'!$E298:I298),'Phase II Pro Forma'!J$292-SUM(J$295:J297))</f>
        <v>0</v>
      </c>
      <c r="K298" s="150">
        <f ca="1">+MIN('S&amp;U'!$I21-SUM('Phase II Pro Forma'!$E298:J298),'Phase II Pro Forma'!K$292-SUM(K$295:K297))</f>
        <v>0</v>
      </c>
      <c r="L298" s="150">
        <f ca="1">+MIN('S&amp;U'!$I21-SUM('Phase II Pro Forma'!$E298:K298),'Phase II Pro Forma'!L$292-SUM(L$295:L297))</f>
        <v>0</v>
      </c>
      <c r="M298" s="150">
        <f ca="1">+MIN('S&amp;U'!$I21-SUM('Phase II Pro Forma'!$E298:L298),'Phase II Pro Forma'!M$292-SUM(M$295:M297))</f>
        <v>0</v>
      </c>
      <c r="N298" s="150">
        <f ca="1">+MIN('S&amp;U'!$I21-SUM('Phase II Pro Forma'!$E298:M298),'Phase II Pro Forma'!N$292-SUM(N$295:N297))</f>
        <v>0</v>
      </c>
      <c r="O298" s="150">
        <f ca="1">+MIN('S&amp;U'!$I21-SUM('Phase II Pro Forma'!$E298:N298),'Phase II Pro Forma'!O$292-SUM(O$295:O297))</f>
        <v>0</v>
      </c>
      <c r="P298" s="150">
        <f ca="1">+MIN('S&amp;U'!$I21-SUM('Phase II Pro Forma'!$E298:O298),'Phase II Pro Forma'!P$292-SUM(P$295:P297))</f>
        <v>0</v>
      </c>
      <c r="Q298" s="150">
        <f ca="1">+MIN('S&amp;U'!$I21-SUM('Phase II Pro Forma'!$E298:P298),'Phase II Pro Forma'!Q$292-SUM(Q$295:Q297))</f>
        <v>0</v>
      </c>
      <c r="R298" s="150">
        <f ca="1">+MIN('S&amp;U'!$I21-SUM('Phase II Pro Forma'!$E298:Q298),'Phase II Pro Forma'!R$292-SUM(R$295:R297))</f>
        <v>0</v>
      </c>
      <c r="S298" s="150">
        <f ca="1">+MIN('S&amp;U'!$I21-SUM('Phase II Pro Forma'!$E298:R298),'Phase II Pro Forma'!S$292-SUM(S$295:S297))</f>
        <v>0</v>
      </c>
      <c r="T298" s="150">
        <f ca="1">+MIN('S&amp;U'!$I21-SUM('Phase II Pro Forma'!$E298:S298),'Phase II Pro Forma'!T$292-SUM(T$295:T297))</f>
        <v>0</v>
      </c>
      <c r="U298" s="150">
        <f ca="1">+MIN('S&amp;U'!$I21-SUM('Phase II Pro Forma'!$E298:T298),'Phase II Pro Forma'!U$292-SUM(U$295:U297))</f>
        <v>0</v>
      </c>
      <c r="V298" s="150">
        <f ca="1">+MIN('S&amp;U'!$I21-SUM('Phase II Pro Forma'!$E298:U298),'Phase II Pro Forma'!V$292-SUM(V$295:V297))</f>
        <v>0</v>
      </c>
      <c r="W298" s="150">
        <f ca="1">+MIN('S&amp;U'!$I21-SUM('Phase II Pro Forma'!$E298:V298),'Phase II Pro Forma'!W$292-SUM(W$295:W297))</f>
        <v>0</v>
      </c>
      <c r="X298" s="150">
        <f ca="1">+MIN('S&amp;U'!$I21-SUM('Phase II Pro Forma'!$E298:W298),'Phase II Pro Forma'!X$292-SUM(X$295:X297))</f>
        <v>0</v>
      </c>
      <c r="Y298" s="150">
        <f ca="1">+MIN('S&amp;U'!$I21-SUM('Phase II Pro Forma'!$E298:X298),'Phase II Pro Forma'!Y$292-SUM(Y$295:Y297))</f>
        <v>0</v>
      </c>
      <c r="Z298" s="150">
        <f ca="1">+MIN('S&amp;U'!$I21-SUM('Phase II Pro Forma'!$E298:Y298),'Phase II Pro Forma'!Z$292-SUM(Z$295:Z297))</f>
        <v>0</v>
      </c>
    </row>
    <row r="299" spans="1:26" x14ac:dyDescent="0.2">
      <c r="B299" s="32" t="s">
        <v>613</v>
      </c>
      <c r="D299" s="47">
        <f t="shared" ref="D299" ca="1" si="157">+SUM(F299:Z299)</f>
        <v>0</v>
      </c>
      <c r="E299" s="47"/>
      <c r="F299" s="150">
        <f ca="1">+MIN('S&amp;U'!$I22-SUM('Phase II Pro Forma'!$E299:E299),'Phase II Pro Forma'!F$292-SUM(F$295:F298))</f>
        <v>0</v>
      </c>
      <c r="G299" s="150">
        <f ca="1">+MIN('S&amp;U'!$I22-SUM('Phase II Pro Forma'!$E299:F299),'Phase II Pro Forma'!G$292-SUM(G$295:G298))</f>
        <v>0</v>
      </c>
      <c r="H299" s="150">
        <f ca="1">+MIN('S&amp;U'!$I22-SUM('Phase II Pro Forma'!$E299:G299),'Phase II Pro Forma'!H$292-SUM(H$295:H298))</f>
        <v>0</v>
      </c>
      <c r="I299" s="150">
        <f ca="1">+MIN('S&amp;U'!$I22-SUM('Phase II Pro Forma'!$E299:H299),'Phase II Pro Forma'!I$292-SUM(I$295:I298))</f>
        <v>0</v>
      </c>
      <c r="J299" s="150">
        <f ca="1">+MIN('S&amp;U'!$I22-SUM('Phase II Pro Forma'!$E299:I299),'Phase II Pro Forma'!J$292-SUM(J$295:J298))</f>
        <v>0</v>
      </c>
      <c r="K299" s="150">
        <f ca="1">+MIN('S&amp;U'!$I22-SUM('Phase II Pro Forma'!$E299:J299),'Phase II Pro Forma'!K$292-SUM(K$295:K298))</f>
        <v>0</v>
      </c>
      <c r="L299" s="150">
        <f ca="1">+MIN('S&amp;U'!$I22-SUM('Phase II Pro Forma'!$E299:K299),'Phase II Pro Forma'!L$292-SUM(L$295:L298))</f>
        <v>0</v>
      </c>
      <c r="M299" s="150">
        <f ca="1">+MIN('S&amp;U'!$I22-SUM('Phase II Pro Forma'!$E299:L299),'Phase II Pro Forma'!M$292-SUM(M$295:M298))</f>
        <v>0</v>
      </c>
      <c r="N299" s="150">
        <f ca="1">+MIN('S&amp;U'!$I22-SUM('Phase II Pro Forma'!$E299:M299),'Phase II Pro Forma'!N$292-SUM(N$295:N298))</f>
        <v>0</v>
      </c>
      <c r="O299" s="150">
        <f ca="1">+MIN('S&amp;U'!$I22-SUM('Phase II Pro Forma'!$E299:N299),'Phase II Pro Forma'!O$292-SUM(O$295:O298))</f>
        <v>0</v>
      </c>
      <c r="P299" s="150">
        <f ca="1">+MIN('S&amp;U'!$I22-SUM('Phase II Pro Forma'!$E299:O299),'Phase II Pro Forma'!P$292-SUM(P$295:P298))</f>
        <v>0</v>
      </c>
      <c r="Q299" s="150">
        <f ca="1">+MIN('S&amp;U'!$I22-SUM('Phase II Pro Forma'!$E299:P299),'Phase II Pro Forma'!Q$292-SUM(Q$295:Q298))</f>
        <v>0</v>
      </c>
      <c r="R299" s="150">
        <f ca="1">+MIN('S&amp;U'!$I22-SUM('Phase II Pro Forma'!$E299:Q299),'Phase II Pro Forma'!R$292-SUM(R$295:R298))</f>
        <v>0</v>
      </c>
      <c r="S299" s="150">
        <f ca="1">+MIN('S&amp;U'!$I22-SUM('Phase II Pro Forma'!$E299:R299),'Phase II Pro Forma'!S$292-SUM(S$295:S298))</f>
        <v>0</v>
      </c>
      <c r="T299" s="150">
        <f ca="1">+MIN('S&amp;U'!$I22-SUM('Phase II Pro Forma'!$E299:S299),'Phase II Pro Forma'!T$292-SUM(T$295:T298))</f>
        <v>0</v>
      </c>
      <c r="U299" s="150">
        <f ca="1">+MIN('S&amp;U'!$I22-SUM('Phase II Pro Forma'!$E299:T299),'Phase II Pro Forma'!U$292-SUM(U$295:U298))</f>
        <v>0</v>
      </c>
      <c r="V299" s="150">
        <f ca="1">+MIN('S&amp;U'!$I22-SUM('Phase II Pro Forma'!$E299:U299),'Phase II Pro Forma'!V$292-SUM(V$295:V298))</f>
        <v>0</v>
      </c>
      <c r="W299" s="150">
        <f ca="1">+MIN('S&amp;U'!$I22-SUM('Phase II Pro Forma'!$E299:V299),'Phase II Pro Forma'!W$292-SUM(W$295:W298))</f>
        <v>0</v>
      </c>
      <c r="X299" s="150">
        <f ca="1">+MIN('S&amp;U'!$I22-SUM('Phase II Pro Forma'!$E299:W299),'Phase II Pro Forma'!X$292-SUM(X$295:X298))</f>
        <v>0</v>
      </c>
      <c r="Y299" s="150">
        <f ca="1">+MIN('S&amp;U'!$I22-SUM('Phase II Pro Forma'!$E299:X299),'Phase II Pro Forma'!Y$292-SUM(Y$295:Y298))</f>
        <v>0</v>
      </c>
      <c r="Z299" s="150">
        <f ca="1">+MIN('S&amp;U'!$I22-SUM('Phase II Pro Forma'!$E299:Y299),'Phase II Pro Forma'!Z$292-SUM(Z$295:Z298))</f>
        <v>0</v>
      </c>
    </row>
    <row r="300" spans="1:26" x14ac:dyDescent="0.2">
      <c r="A300" s="107"/>
      <c r="B300" s="32" t="s">
        <v>330</v>
      </c>
      <c r="D300" s="47">
        <f t="shared" ca="1" si="156"/>
        <v>133051409.60886553</v>
      </c>
      <c r="E300" s="47"/>
      <c r="F300" s="150">
        <f ca="1">+MIN('S&amp;U'!$I17-SUM('Phase II Pro Forma'!$E300:E300),'Phase II Pro Forma'!F$292-SUM(F$295:F299))</f>
        <v>0</v>
      </c>
      <c r="G300" s="150">
        <f ca="1">+MIN('S&amp;U'!$I17-SUM('Phase II Pro Forma'!$E300:F300),'Phase II Pro Forma'!G$292-SUM(G$295:G299))</f>
        <v>73588298.947462529</v>
      </c>
      <c r="H300" s="150">
        <f ca="1">+MIN('S&amp;U'!$I17-SUM('Phase II Pro Forma'!$E300:G300),'Phase II Pro Forma'!H$292-SUM(H$295:H299))</f>
        <v>59463110.661403</v>
      </c>
      <c r="I300" s="150">
        <f ca="1">+MIN('S&amp;U'!$I17-SUM('Phase II Pro Forma'!$E300:H300),'Phase II Pro Forma'!I$292-SUM(I$295:I299))</f>
        <v>0</v>
      </c>
      <c r="J300" s="150">
        <f ca="1">+MIN('S&amp;U'!$I17-SUM('Phase II Pro Forma'!$E300:I300),'Phase II Pro Forma'!J$292-SUM(J$295:J299))</f>
        <v>0</v>
      </c>
      <c r="K300" s="150">
        <f ca="1">+MIN('S&amp;U'!$I17-SUM('Phase II Pro Forma'!$E300:J300),'Phase II Pro Forma'!K$292-SUM(K$295:K299))</f>
        <v>0</v>
      </c>
      <c r="L300" s="150">
        <f ca="1">+MIN('S&amp;U'!$I17-SUM('Phase II Pro Forma'!$E300:K300),'Phase II Pro Forma'!L$292-SUM(L$295:L299))</f>
        <v>0</v>
      </c>
      <c r="M300" s="150">
        <f ca="1">+MIN('S&amp;U'!$I17-SUM('Phase II Pro Forma'!$E300:L300),'Phase II Pro Forma'!M$292-SUM(M$295:M299))</f>
        <v>0</v>
      </c>
      <c r="N300" s="150">
        <f ca="1">+MIN('S&amp;U'!$I17-SUM('Phase II Pro Forma'!$E300:M300),'Phase II Pro Forma'!N$292-SUM(N$295:N299))</f>
        <v>0</v>
      </c>
      <c r="O300" s="150">
        <f ca="1">+MIN('S&amp;U'!$I17-SUM('Phase II Pro Forma'!$E300:N300),'Phase II Pro Forma'!O$292-SUM(O$295:O299))</f>
        <v>0</v>
      </c>
      <c r="P300" s="150">
        <f ca="1">+MIN('S&amp;U'!$I17-SUM('Phase II Pro Forma'!$E300:O300),'Phase II Pro Forma'!P$292-SUM(P$295:P299))</f>
        <v>0</v>
      </c>
      <c r="Q300" s="150">
        <f ca="1">+MIN('S&amp;U'!$I17-SUM('Phase II Pro Forma'!$E300:P300),'Phase II Pro Forma'!Q$292-SUM(Q$295:Q299))</f>
        <v>0</v>
      </c>
      <c r="R300" s="150">
        <f ca="1">+MIN('S&amp;U'!$I17-SUM('Phase II Pro Forma'!$E300:Q300),'Phase II Pro Forma'!R$292-SUM(R$295:R299))</f>
        <v>0</v>
      </c>
      <c r="S300" s="150">
        <f ca="1">+MIN('S&amp;U'!$I17-SUM('Phase II Pro Forma'!$E300:R300),'Phase II Pro Forma'!S$292-SUM(S$295:S299))</f>
        <v>0</v>
      </c>
      <c r="T300" s="150">
        <f ca="1">+MIN('S&amp;U'!$I17-SUM('Phase II Pro Forma'!$E300:S300),'Phase II Pro Forma'!T$292-SUM(T$295:T299))</f>
        <v>0</v>
      </c>
      <c r="U300" s="150">
        <f ca="1">+MIN('S&amp;U'!$I17-SUM('Phase II Pro Forma'!$E300:T300),'Phase II Pro Forma'!U$292-SUM(U$295:U299))</f>
        <v>0</v>
      </c>
      <c r="V300" s="150">
        <f ca="1">+MIN('S&amp;U'!$I17-SUM('Phase II Pro Forma'!$E300:U300),'Phase II Pro Forma'!V$292-SUM(V$295:V299))</f>
        <v>0</v>
      </c>
      <c r="W300" s="150">
        <f ca="1">+MIN('S&amp;U'!$I17-SUM('Phase II Pro Forma'!$E300:V300),'Phase II Pro Forma'!W$292-SUM(W$295:W299))</f>
        <v>0</v>
      </c>
      <c r="X300" s="150">
        <f ca="1">+MIN('S&amp;U'!$I17-SUM('Phase II Pro Forma'!$E300:W300),'Phase II Pro Forma'!X$292-SUM(X$295:X299))</f>
        <v>0</v>
      </c>
      <c r="Y300" s="150">
        <f ca="1">+MIN('S&amp;U'!$I17-SUM('Phase II Pro Forma'!$E300:X300),'Phase II Pro Forma'!Y$292-SUM(Y$295:Y299))</f>
        <v>0</v>
      </c>
      <c r="Z300" s="150">
        <f ca="1">+MIN('S&amp;U'!$I17-SUM('Phase II Pro Forma'!$E300:Y300),'Phase II Pro Forma'!Z$292-SUM(Z$295:Z299))</f>
        <v>0</v>
      </c>
    </row>
    <row r="301" spans="1:26" x14ac:dyDescent="0.2">
      <c r="A301" s="107"/>
      <c r="B301" s="32" t="s">
        <v>98</v>
      </c>
      <c r="D301" s="47">
        <f t="shared" ca="1" si="156"/>
        <v>43584912.158747986</v>
      </c>
      <c r="E301" s="47"/>
      <c r="F301" s="150">
        <f ca="1">+MIN('S&amp;U'!$I18-SUM('Phase II Pro Forma'!$E301:E301),'Phase II Pro Forma'!F$292-SUM(F$295:F300))</f>
        <v>0</v>
      </c>
      <c r="G301" s="150">
        <f ca="1">+MIN('S&amp;U'!$I18-SUM('Phase II Pro Forma'!$E301:F301),'Phase II Pro Forma'!G$292-SUM(G$295:G300))</f>
        <v>0</v>
      </c>
      <c r="H301" s="150">
        <f ca="1">+MIN('S&amp;U'!$I18-SUM('Phase II Pro Forma'!$E301:G301),'Phase II Pro Forma'!H$292-SUM(H$295:H300))</f>
        <v>40367435.805724204</v>
      </c>
      <c r="I301" s="150">
        <f ca="1">+MIN('S&amp;U'!$I18-SUM('Phase II Pro Forma'!$E301:H301),'Phase II Pro Forma'!I$292-SUM(I$295:I300))</f>
        <v>1608738.1765118907</v>
      </c>
      <c r="J301" s="150">
        <f ca="1">+MIN('S&amp;U'!$I18-SUM('Phase II Pro Forma'!$E301:I301),'Phase II Pro Forma'!J$292-SUM(J$295:J300))</f>
        <v>1608738.1765118907</v>
      </c>
      <c r="K301" s="150">
        <f ca="1">+MIN('S&amp;U'!$I18-SUM('Phase II Pro Forma'!$E301:J301),'Phase II Pro Forma'!K$292-SUM(K$295:K300))</f>
        <v>0</v>
      </c>
      <c r="L301" s="150">
        <f ca="1">+MIN('S&amp;U'!$I18-SUM('Phase II Pro Forma'!$E301:K301),'Phase II Pro Forma'!L$292-SUM(L$295:L300))</f>
        <v>0</v>
      </c>
      <c r="M301" s="150">
        <f ca="1">+MIN('S&amp;U'!$I18-SUM('Phase II Pro Forma'!$E301:L301),'Phase II Pro Forma'!M$292-SUM(M$295:M300))</f>
        <v>0</v>
      </c>
      <c r="N301" s="150">
        <f ca="1">+MIN('S&amp;U'!$I18-SUM('Phase II Pro Forma'!$E301:M301),'Phase II Pro Forma'!N$292-SUM(N$295:N300))</f>
        <v>0</v>
      </c>
      <c r="O301" s="150">
        <f ca="1">+MIN('S&amp;U'!$I18-SUM('Phase II Pro Forma'!$E301:N301),'Phase II Pro Forma'!O$292-SUM(O$295:O300))</f>
        <v>0</v>
      </c>
      <c r="P301" s="150">
        <f ca="1">+MIN('S&amp;U'!$I18-SUM('Phase II Pro Forma'!$E301:O301),'Phase II Pro Forma'!P$292-SUM(P$295:P300))</f>
        <v>0</v>
      </c>
      <c r="Q301" s="150">
        <f ca="1">+MIN('S&amp;U'!$I18-SUM('Phase II Pro Forma'!$E301:P301),'Phase II Pro Forma'!Q$292-SUM(Q$295:Q300))</f>
        <v>0</v>
      </c>
      <c r="R301" s="150">
        <f ca="1">+MIN('S&amp;U'!$I18-SUM('Phase II Pro Forma'!$E301:Q301),'Phase II Pro Forma'!R$292-SUM(R$295:R300))</f>
        <v>0</v>
      </c>
      <c r="S301" s="150">
        <f ca="1">+MIN('S&amp;U'!$I18-SUM('Phase II Pro Forma'!$E301:R301),'Phase II Pro Forma'!S$292-SUM(S$295:S300))</f>
        <v>0</v>
      </c>
      <c r="T301" s="150">
        <f ca="1">+MIN('S&amp;U'!$I18-SUM('Phase II Pro Forma'!$E301:S301),'Phase II Pro Forma'!T$292-SUM(T$295:T300))</f>
        <v>0</v>
      </c>
      <c r="U301" s="150">
        <f ca="1">+MIN('S&amp;U'!$I18-SUM('Phase II Pro Forma'!$E301:T301),'Phase II Pro Forma'!U$292-SUM(U$295:U300))</f>
        <v>0</v>
      </c>
      <c r="V301" s="150">
        <f ca="1">+MIN('S&amp;U'!$I18-SUM('Phase II Pro Forma'!$E301:U301),'Phase II Pro Forma'!V$292-SUM(V$295:V300))</f>
        <v>0</v>
      </c>
      <c r="W301" s="150">
        <f ca="1">+MIN('S&amp;U'!$I18-SUM('Phase II Pro Forma'!$E301:V301),'Phase II Pro Forma'!W$292-SUM(W$295:W300))</f>
        <v>0</v>
      </c>
      <c r="X301" s="150">
        <f ca="1">+MIN('S&amp;U'!$I18-SUM('Phase II Pro Forma'!$E301:W301),'Phase II Pro Forma'!X$292-SUM(X$295:X300))</f>
        <v>0</v>
      </c>
      <c r="Y301" s="150">
        <f ca="1">+MIN('S&amp;U'!$I18-SUM('Phase II Pro Forma'!$E301:X301),'Phase II Pro Forma'!Y$292-SUM(Y$295:Y300))</f>
        <v>0</v>
      </c>
      <c r="Z301" s="150">
        <f ca="1">+MIN('S&amp;U'!$I18-SUM('Phase II Pro Forma'!$E301:Y301),'Phase II Pro Forma'!Z$292-SUM(Z$295:Z300))</f>
        <v>0</v>
      </c>
    </row>
    <row r="302" spans="1:26" x14ac:dyDescent="0.2">
      <c r="B302" s="137" t="s">
        <v>377</v>
      </c>
      <c r="C302" s="137"/>
      <c r="D302" s="138">
        <f t="shared" ca="1" si="156"/>
        <v>221752349.34810919</v>
      </c>
      <c r="E302" s="138"/>
      <c r="F302" s="138">
        <f t="shared" ref="F302:Z302" ca="1" si="158">+SUM(F295:F301)</f>
        <v>18873780.060831025</v>
      </c>
      <c r="G302" s="138">
        <f t="shared" ca="1" si="158"/>
        <v>99830546.467127204</v>
      </c>
      <c r="H302" s="138">
        <f t="shared" ca="1" si="158"/>
        <v>99830546.467127204</v>
      </c>
      <c r="I302" s="138">
        <f t="shared" ca="1" si="158"/>
        <v>1608738.1765118907</v>
      </c>
      <c r="J302" s="138">
        <f t="shared" ca="1" si="158"/>
        <v>1608738.1765118907</v>
      </c>
      <c r="K302" s="138">
        <f t="shared" ca="1" si="158"/>
        <v>0</v>
      </c>
      <c r="L302" s="138">
        <f t="shared" ca="1" si="158"/>
        <v>0</v>
      </c>
      <c r="M302" s="138">
        <f t="shared" ca="1" si="158"/>
        <v>0</v>
      </c>
      <c r="N302" s="138">
        <f t="shared" ca="1" si="158"/>
        <v>0</v>
      </c>
      <c r="O302" s="138">
        <f t="shared" ca="1" si="158"/>
        <v>0</v>
      </c>
      <c r="P302" s="138">
        <f t="shared" ca="1" si="158"/>
        <v>0</v>
      </c>
      <c r="Q302" s="138">
        <f t="shared" ca="1" si="158"/>
        <v>0</v>
      </c>
      <c r="R302" s="138">
        <f t="shared" ca="1" si="158"/>
        <v>0</v>
      </c>
      <c r="S302" s="138">
        <f t="shared" ca="1" si="158"/>
        <v>0</v>
      </c>
      <c r="T302" s="138">
        <f t="shared" ca="1" si="158"/>
        <v>0</v>
      </c>
      <c r="U302" s="138">
        <f t="shared" ca="1" si="158"/>
        <v>0</v>
      </c>
      <c r="V302" s="138">
        <f t="shared" ca="1" si="158"/>
        <v>0</v>
      </c>
      <c r="W302" s="138">
        <f t="shared" ca="1" si="158"/>
        <v>0</v>
      </c>
      <c r="X302" s="138">
        <f t="shared" ca="1" si="158"/>
        <v>0</v>
      </c>
      <c r="Y302" s="138">
        <f t="shared" ca="1" si="158"/>
        <v>0</v>
      </c>
      <c r="Z302" s="138">
        <f t="shared" ca="1" si="158"/>
        <v>0</v>
      </c>
    </row>
    <row r="304" spans="1:26" x14ac:dyDescent="0.2">
      <c r="B304" s="32" t="s">
        <v>437</v>
      </c>
      <c r="D304" s="47">
        <f t="shared" ref="D304" ca="1" si="159">+SUM(F304:Z304)</f>
        <v>52417251.889264934</v>
      </c>
      <c r="F304" s="41">
        <f ca="1">+SUM(F296:F298,F301)</f>
        <v>0</v>
      </c>
      <c r="G304" s="41">
        <f t="shared" ref="G304:Z304" ca="1" si="160">+SUM(G296:G298,G301)</f>
        <v>8832339.7305169478</v>
      </c>
      <c r="H304" s="41">
        <f t="shared" ca="1" si="160"/>
        <v>40367435.805724204</v>
      </c>
      <c r="I304" s="41">
        <f t="shared" ca="1" si="160"/>
        <v>1608738.1765118907</v>
      </c>
      <c r="J304" s="41">
        <f t="shared" ca="1" si="160"/>
        <v>1608738.1765118907</v>
      </c>
      <c r="K304" s="41">
        <f t="shared" ca="1" si="160"/>
        <v>0</v>
      </c>
      <c r="L304" s="41">
        <f t="shared" ca="1" si="160"/>
        <v>0</v>
      </c>
      <c r="M304" s="41">
        <f t="shared" ca="1" si="160"/>
        <v>0</v>
      </c>
      <c r="N304" s="41">
        <f t="shared" ca="1" si="160"/>
        <v>0</v>
      </c>
      <c r="O304" s="41">
        <f t="shared" ca="1" si="160"/>
        <v>0</v>
      </c>
      <c r="P304" s="41">
        <f t="shared" ca="1" si="160"/>
        <v>0</v>
      </c>
      <c r="Q304" s="41">
        <f t="shared" ca="1" si="160"/>
        <v>0</v>
      </c>
      <c r="R304" s="41">
        <f t="shared" ca="1" si="160"/>
        <v>0</v>
      </c>
      <c r="S304" s="41">
        <f t="shared" ca="1" si="160"/>
        <v>0</v>
      </c>
      <c r="T304" s="41">
        <f t="shared" ca="1" si="160"/>
        <v>0</v>
      </c>
      <c r="U304" s="41">
        <f t="shared" ca="1" si="160"/>
        <v>0</v>
      </c>
      <c r="V304" s="41">
        <f t="shared" ca="1" si="160"/>
        <v>0</v>
      </c>
      <c r="W304" s="41">
        <f t="shared" ca="1" si="160"/>
        <v>0</v>
      </c>
      <c r="X304" s="41">
        <f t="shared" ca="1" si="160"/>
        <v>0</v>
      </c>
      <c r="Y304" s="41">
        <f t="shared" ca="1" si="160"/>
        <v>0</v>
      </c>
      <c r="Z304" s="41">
        <f t="shared" ca="1" si="160"/>
        <v>0</v>
      </c>
    </row>
    <row r="306" spans="2:26" x14ac:dyDescent="0.2">
      <c r="B306" s="147" t="s">
        <v>348</v>
      </c>
    </row>
    <row r="307" spans="2:26" x14ac:dyDescent="0.2">
      <c r="B307" s="32" t="s">
        <v>349</v>
      </c>
      <c r="D307" s="47">
        <f ca="1">+SUM(F307:Z307)</f>
        <v>-36283687.849978745</v>
      </c>
      <c r="E307" s="47"/>
      <c r="F307" s="33">
        <f t="shared" ref="F307:Z307" ca="1" si="161">-F295</f>
        <v>-18873780.060831025</v>
      </c>
      <c r="G307" s="33">
        <f t="shared" ca="1" si="161"/>
        <v>-17409907.78914772</v>
      </c>
      <c r="H307" s="33">
        <f t="shared" ca="1" si="161"/>
        <v>0</v>
      </c>
      <c r="I307" s="33">
        <f t="shared" ca="1" si="161"/>
        <v>0</v>
      </c>
      <c r="J307" s="33">
        <f t="shared" ca="1" si="161"/>
        <v>0</v>
      </c>
      <c r="K307" s="33">
        <f t="shared" ca="1" si="161"/>
        <v>0</v>
      </c>
      <c r="L307" s="33">
        <f t="shared" ca="1" si="161"/>
        <v>0</v>
      </c>
      <c r="M307" s="33">
        <f t="shared" ca="1" si="161"/>
        <v>0</v>
      </c>
      <c r="N307" s="33">
        <f t="shared" ca="1" si="161"/>
        <v>0</v>
      </c>
      <c r="O307" s="33">
        <f t="shared" ca="1" si="161"/>
        <v>0</v>
      </c>
      <c r="P307" s="33">
        <f t="shared" ca="1" si="161"/>
        <v>0</v>
      </c>
      <c r="Q307" s="33">
        <f t="shared" ca="1" si="161"/>
        <v>0</v>
      </c>
      <c r="R307" s="33">
        <f t="shared" ca="1" si="161"/>
        <v>0</v>
      </c>
      <c r="S307" s="33">
        <f t="shared" ca="1" si="161"/>
        <v>0</v>
      </c>
      <c r="T307" s="33">
        <f t="shared" ca="1" si="161"/>
        <v>0</v>
      </c>
      <c r="U307" s="33">
        <f t="shared" ca="1" si="161"/>
        <v>0</v>
      </c>
      <c r="V307" s="33">
        <f t="shared" ca="1" si="161"/>
        <v>0</v>
      </c>
      <c r="W307" s="33">
        <f t="shared" ca="1" si="161"/>
        <v>0</v>
      </c>
      <c r="X307" s="33">
        <f t="shared" ca="1" si="161"/>
        <v>0</v>
      </c>
      <c r="Y307" s="33">
        <f t="shared" ca="1" si="161"/>
        <v>0</v>
      </c>
      <c r="Z307" s="33">
        <f t="shared" ca="1" si="161"/>
        <v>0</v>
      </c>
    </row>
    <row r="308" spans="2:26" x14ac:dyDescent="0.2">
      <c r="B308" s="32" t="s">
        <v>350</v>
      </c>
      <c r="D308" s="47">
        <f t="shared" ref="D308" ca="1" si="162">+SUM(F308:Z308)</f>
        <v>148947269.78481421</v>
      </c>
      <c r="E308" s="47"/>
      <c r="F308" s="150">
        <f t="shared" ref="F308" ca="1" si="163">+F277</f>
        <v>0</v>
      </c>
      <c r="G308" s="150">
        <f ca="1">+G277</f>
        <v>0</v>
      </c>
      <c r="H308" s="150">
        <f t="shared" ref="H308:Z308" ca="1" si="164">+H277</f>
        <v>0</v>
      </c>
      <c r="I308" s="150">
        <f t="shared" ca="1" si="164"/>
        <v>18901765.613567784</v>
      </c>
      <c r="J308" s="150">
        <f t="shared" ca="1" si="164"/>
        <v>3047194.9531564033</v>
      </c>
      <c r="K308" s="150">
        <f t="shared" ca="1" si="164"/>
        <v>3480773.6680041822</v>
      </c>
      <c r="L308" s="150">
        <f t="shared" ca="1" si="164"/>
        <v>4385732.7590233833</v>
      </c>
      <c r="M308" s="150">
        <f t="shared" ca="1" si="164"/>
        <v>4624966.840634143</v>
      </c>
      <c r="N308" s="150">
        <f t="shared" ca="1" si="164"/>
        <v>114506835.95042825</v>
      </c>
      <c r="O308" s="150">
        <f t="shared" si="164"/>
        <v>0</v>
      </c>
      <c r="P308" s="150">
        <f t="shared" si="164"/>
        <v>0</v>
      </c>
      <c r="Q308" s="150">
        <f t="shared" si="164"/>
        <v>0</v>
      </c>
      <c r="R308" s="150">
        <f t="shared" si="164"/>
        <v>0</v>
      </c>
      <c r="S308" s="150">
        <f t="shared" si="164"/>
        <v>0</v>
      </c>
      <c r="T308" s="150">
        <f t="shared" si="164"/>
        <v>0</v>
      </c>
      <c r="U308" s="150">
        <f t="shared" si="164"/>
        <v>0</v>
      </c>
      <c r="V308" s="150">
        <f t="shared" si="164"/>
        <v>0</v>
      </c>
      <c r="W308" s="150">
        <f t="shared" si="164"/>
        <v>0</v>
      </c>
      <c r="X308" s="150">
        <f t="shared" si="164"/>
        <v>0</v>
      </c>
      <c r="Y308" s="150">
        <f t="shared" si="164"/>
        <v>0</v>
      </c>
      <c r="Z308" s="150">
        <f t="shared" si="164"/>
        <v>0</v>
      </c>
    </row>
    <row r="309" spans="2:26" x14ac:dyDescent="0.2">
      <c r="B309" s="137" t="s">
        <v>351</v>
      </c>
      <c r="C309" s="137"/>
      <c r="D309" s="138">
        <f ca="1">+SUM(F309:Z309)</f>
        <v>112663581.93483545</v>
      </c>
      <c r="E309" s="138"/>
      <c r="F309" s="138">
        <f ca="1">+SUM(F307:F308)</f>
        <v>-18873780.060831025</v>
      </c>
      <c r="G309" s="138">
        <f t="shared" ref="G309:Z309" ca="1" si="165">+SUM(G307:G308)</f>
        <v>-17409907.78914772</v>
      </c>
      <c r="H309" s="138">
        <f t="shared" ca="1" si="165"/>
        <v>0</v>
      </c>
      <c r="I309" s="138">
        <f t="shared" ca="1" si="165"/>
        <v>18901765.613567784</v>
      </c>
      <c r="J309" s="138">
        <f t="shared" ca="1" si="165"/>
        <v>3047194.9531564033</v>
      </c>
      <c r="K309" s="138">
        <f t="shared" ca="1" si="165"/>
        <v>3480773.6680041822</v>
      </c>
      <c r="L309" s="138">
        <f t="shared" ca="1" si="165"/>
        <v>4385732.7590233833</v>
      </c>
      <c r="M309" s="138">
        <f t="shared" ca="1" si="165"/>
        <v>4624966.840634143</v>
      </c>
      <c r="N309" s="138">
        <f t="shared" ca="1" si="165"/>
        <v>114506835.95042825</v>
      </c>
      <c r="O309" s="138">
        <f t="shared" ca="1" si="165"/>
        <v>0</v>
      </c>
      <c r="P309" s="138">
        <f t="shared" ca="1" si="165"/>
        <v>0</v>
      </c>
      <c r="Q309" s="138">
        <f t="shared" ca="1" si="165"/>
        <v>0</v>
      </c>
      <c r="R309" s="138">
        <f t="shared" ca="1" si="165"/>
        <v>0</v>
      </c>
      <c r="S309" s="138">
        <f t="shared" ca="1" si="165"/>
        <v>0</v>
      </c>
      <c r="T309" s="138">
        <f t="shared" ca="1" si="165"/>
        <v>0</v>
      </c>
      <c r="U309" s="138">
        <f t="shared" ca="1" si="165"/>
        <v>0</v>
      </c>
      <c r="V309" s="138">
        <f t="shared" ca="1" si="165"/>
        <v>0</v>
      </c>
      <c r="W309" s="138">
        <f t="shared" ca="1" si="165"/>
        <v>0</v>
      </c>
      <c r="X309" s="138">
        <f t="shared" ca="1" si="165"/>
        <v>0</v>
      </c>
      <c r="Y309" s="138">
        <f t="shared" ca="1" si="165"/>
        <v>0</v>
      </c>
      <c r="Z309" s="138">
        <f t="shared" ca="1" si="165"/>
        <v>0</v>
      </c>
    </row>
    <row r="311" spans="2:26" x14ac:dyDescent="0.2">
      <c r="B311" s="188" t="s">
        <v>355</v>
      </c>
      <c r="C311" s="188"/>
      <c r="D311" s="189">
        <f ca="1">+IRR(F309:Z309)</f>
        <v>0.25390363378108316</v>
      </c>
    </row>
    <row r="312" spans="2:26" x14ac:dyDescent="0.2">
      <c r="B312" s="140" t="s">
        <v>353</v>
      </c>
      <c r="C312" s="190"/>
      <c r="D312" s="141">
        <f ca="1">+SUM(F309:Z309)</f>
        <v>112663581.9348354</v>
      </c>
    </row>
    <row r="313" spans="2:26" x14ac:dyDescent="0.2">
      <c r="B313" s="192" t="s">
        <v>354</v>
      </c>
      <c r="C313" s="191"/>
      <c r="D313" s="193">
        <f ca="1">+D308/-D307</f>
        <v>4.1050752724106427</v>
      </c>
    </row>
    <row r="315" spans="2:26" x14ac:dyDescent="0.2">
      <c r="B315" s="36" t="s">
        <v>391</v>
      </c>
      <c r="C315" s="37"/>
      <c r="D315" s="37"/>
      <c r="E315" s="37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7" spans="2:26" x14ac:dyDescent="0.2">
      <c r="B317" s="147" t="s">
        <v>248</v>
      </c>
      <c r="F317" s="149">
        <f>+F$294</f>
        <v>44926</v>
      </c>
      <c r="G317" s="149">
        <f t="shared" ref="G317:Z317" si="166">+G$294</f>
        <v>45291</v>
      </c>
      <c r="H317" s="149">
        <f t="shared" si="166"/>
        <v>45657</v>
      </c>
      <c r="I317" s="149">
        <f t="shared" si="166"/>
        <v>46022</v>
      </c>
      <c r="J317" s="149">
        <f t="shared" si="166"/>
        <v>46387</v>
      </c>
      <c r="K317" s="149">
        <f t="shared" si="166"/>
        <v>46752</v>
      </c>
      <c r="L317" s="149">
        <f t="shared" si="166"/>
        <v>47118</v>
      </c>
      <c r="M317" s="149">
        <f t="shared" si="166"/>
        <v>47483</v>
      </c>
      <c r="N317" s="149">
        <f t="shared" si="166"/>
        <v>47848</v>
      </c>
      <c r="O317" s="149">
        <f t="shared" si="166"/>
        <v>48213</v>
      </c>
      <c r="P317" s="149">
        <f t="shared" si="166"/>
        <v>48579</v>
      </c>
      <c r="Q317" s="149">
        <f t="shared" si="166"/>
        <v>48944</v>
      </c>
      <c r="R317" s="149">
        <f t="shared" si="166"/>
        <v>49309</v>
      </c>
      <c r="S317" s="149">
        <f t="shared" si="166"/>
        <v>49674</v>
      </c>
      <c r="T317" s="149">
        <f t="shared" si="166"/>
        <v>50040</v>
      </c>
      <c r="U317" s="149">
        <f t="shared" si="166"/>
        <v>50405</v>
      </c>
      <c r="V317" s="149">
        <f t="shared" si="166"/>
        <v>50770</v>
      </c>
      <c r="W317" s="149">
        <f t="shared" si="166"/>
        <v>51135</v>
      </c>
      <c r="X317" s="149">
        <f t="shared" si="166"/>
        <v>51501</v>
      </c>
      <c r="Y317" s="149">
        <f t="shared" si="166"/>
        <v>51866</v>
      </c>
      <c r="Z317" s="149">
        <f t="shared" si="166"/>
        <v>52231</v>
      </c>
    </row>
    <row r="318" spans="2:26" x14ac:dyDescent="0.2">
      <c r="B318" s="32" t="s">
        <v>767</v>
      </c>
      <c r="C318"/>
      <c r="D318"/>
      <c r="E318"/>
      <c r="F318" s="33">
        <f ca="1">+F$138</f>
        <v>0</v>
      </c>
      <c r="G318" s="33">
        <f t="shared" ref="G318:Z318" ca="1" si="167">+G$138</f>
        <v>0</v>
      </c>
      <c r="H318" s="33">
        <f t="shared" ca="1" si="167"/>
        <v>0</v>
      </c>
      <c r="I318" s="33">
        <f t="shared" ca="1" si="167"/>
        <v>5525544.624410158</v>
      </c>
      <c r="J318" s="33">
        <f t="shared" ca="1" si="167"/>
        <v>11201767.3119852</v>
      </c>
      <c r="K318" s="33">
        <f t="shared" ca="1" si="167"/>
        <v>11403435.464829812</v>
      </c>
      <c r="L318" s="33">
        <f t="shared" ca="1" si="167"/>
        <v>12212578.757939668</v>
      </c>
      <c r="M318" s="33">
        <f t="shared" ca="1" si="167"/>
        <v>12379583.089409325</v>
      </c>
      <c r="N318" s="33">
        <f t="shared" ca="1" si="167"/>
        <v>12598984.298541032</v>
      </c>
      <c r="O318" s="33">
        <f t="shared" ca="1" si="167"/>
        <v>12824641.957385866</v>
      </c>
      <c r="P318" s="33">
        <f t="shared" ca="1" si="167"/>
        <v>13009494.462040752</v>
      </c>
      <c r="Q318" s="33">
        <f t="shared" ca="1" si="167"/>
        <v>13910118.964295344</v>
      </c>
      <c r="R318" s="33">
        <f t="shared" ca="1" si="167"/>
        <v>14155654.440265194</v>
      </c>
      <c r="S318" s="33">
        <f t="shared" ca="1" si="167"/>
        <v>14360015.913773319</v>
      </c>
      <c r="T318" s="33">
        <f t="shared" ca="1" si="167"/>
        <v>14619782.028232915</v>
      </c>
      <c r="U318" s="33">
        <f t="shared" ca="1" si="167"/>
        <v>14886974.462777274</v>
      </c>
      <c r="V318" s="33">
        <f t="shared" ca="1" si="167"/>
        <v>15840752.882371198</v>
      </c>
      <c r="W318" s="33">
        <f t="shared" ca="1" si="167"/>
        <v>16123450.64311651</v>
      </c>
      <c r="X318" s="33">
        <f t="shared" ca="1" si="167"/>
        <v>16414240.230604893</v>
      </c>
      <c r="Y318" s="33">
        <f t="shared" ca="1" si="167"/>
        <v>16663222.19542893</v>
      </c>
      <c r="Z318" s="33">
        <f t="shared" ca="1" si="167"/>
        <v>16970907.247983564</v>
      </c>
    </row>
    <row r="319" spans="2:26" x14ac:dyDescent="0.2">
      <c r="B319" s="32" t="s">
        <v>768</v>
      </c>
      <c r="C319"/>
      <c r="D319"/>
      <c r="E319"/>
      <c r="F319" s="150">
        <f ca="1">+F$206</f>
        <v>0</v>
      </c>
      <c r="G319" s="150">
        <f t="shared" ref="G319:Z319" ca="1" si="168">+G$206</f>
        <v>0</v>
      </c>
      <c r="H319" s="150">
        <f t="shared" ca="1" si="168"/>
        <v>0</v>
      </c>
      <c r="I319" s="150">
        <f t="shared" ca="1" si="168"/>
        <v>1421277.6385162857</v>
      </c>
      <c r="J319" s="150">
        <f t="shared" ca="1" si="168"/>
        <v>3283761.147143777</v>
      </c>
      <c r="K319" s="150">
        <f t="shared" ca="1" si="168"/>
        <v>3515671.7091469439</v>
      </c>
      <c r="L319" s="150">
        <f t="shared" ca="1" si="168"/>
        <v>3611487.5070551145</v>
      </c>
      <c r="M319" s="150">
        <f t="shared" ca="1" si="168"/>
        <v>3683717.2571962182</v>
      </c>
      <c r="N319" s="150">
        <f t="shared" ca="1" si="168"/>
        <v>3783404.0133398795</v>
      </c>
      <c r="O319" s="150">
        <f t="shared" ca="1" si="168"/>
        <v>3885084.5046064141</v>
      </c>
      <c r="P319" s="150">
        <f t="shared" ca="1" si="168"/>
        <v>3962786.1946985382</v>
      </c>
      <c r="Q319" s="150">
        <f t="shared" ca="1" si="168"/>
        <v>4068574.5778122414</v>
      </c>
      <c r="R319" s="150">
        <f t="shared" ca="1" si="168"/>
        <v>4176478.7285882165</v>
      </c>
      <c r="S319" s="150">
        <f t="shared" ca="1" si="168"/>
        <v>4260008.303159981</v>
      </c>
      <c r="T319" s="150">
        <f t="shared" ca="1" si="168"/>
        <v>4372271.7816273049</v>
      </c>
      <c r="U319" s="150">
        <f t="shared" ca="1" si="168"/>
        <v>4486780.5296639763</v>
      </c>
      <c r="V319" s="150">
        <f t="shared" ca="1" si="168"/>
        <v>4576516.140257258</v>
      </c>
      <c r="W319" s="150">
        <f t="shared" ca="1" si="168"/>
        <v>4695651.0417146124</v>
      </c>
      <c r="X319" s="150">
        <f t="shared" ca="1" si="168"/>
        <v>4817168.6412011087</v>
      </c>
      <c r="Y319" s="150">
        <f t="shared" ca="1" si="168"/>
        <v>4913512.014025135</v>
      </c>
      <c r="Z319" s="150">
        <f t="shared" ca="1" si="168"/>
        <v>5039938.9245308889</v>
      </c>
    </row>
    <row r="320" spans="2:26" x14ac:dyDescent="0.2">
      <c r="B320" s="32" t="s">
        <v>769</v>
      </c>
      <c r="C320"/>
      <c r="D320"/>
      <c r="E320"/>
      <c r="F320" s="150">
        <f ca="1">+F$251</f>
        <v>0</v>
      </c>
      <c r="G320" s="150">
        <f t="shared" ref="G320:Z320" ca="1" si="169">+G$251</f>
        <v>0</v>
      </c>
      <c r="H320" s="150">
        <f t="shared" ca="1" si="169"/>
        <v>0</v>
      </c>
      <c r="I320" s="150">
        <f t="shared" ca="1" si="169"/>
        <v>5.8678559999999998E-6</v>
      </c>
      <c r="J320" s="150">
        <f t="shared" ca="1" si="169"/>
        <v>1.1735712E-5</v>
      </c>
      <c r="K320" s="150">
        <f t="shared" ca="1" si="169"/>
        <v>1.1735712E-5</v>
      </c>
      <c r="L320" s="150">
        <f t="shared" ca="1" si="169"/>
        <v>1.2909283200000002E-5</v>
      </c>
      <c r="M320" s="150">
        <f t="shared" ca="1" si="169"/>
        <v>1.29092832E-5</v>
      </c>
      <c r="N320" s="150">
        <f t="shared" ca="1" si="169"/>
        <v>1.2909283200000002E-5</v>
      </c>
      <c r="O320" s="150">
        <f t="shared" ca="1" si="169"/>
        <v>1.2909283200000002E-5</v>
      </c>
      <c r="P320" s="150">
        <f t="shared" ca="1" si="169"/>
        <v>1.29092832E-5</v>
      </c>
      <c r="Q320" s="150">
        <f t="shared" ca="1" si="169"/>
        <v>1.4200211520000003E-5</v>
      </c>
      <c r="R320" s="150">
        <f t="shared" ca="1" si="169"/>
        <v>1.4200211520000001E-5</v>
      </c>
      <c r="S320" s="150">
        <f t="shared" ca="1" si="169"/>
        <v>1.4200211520000003E-5</v>
      </c>
      <c r="T320" s="150">
        <f t="shared" ca="1" si="169"/>
        <v>1.4200211520000005E-5</v>
      </c>
      <c r="U320" s="150">
        <f t="shared" ca="1" si="169"/>
        <v>1.4200211520000001E-5</v>
      </c>
      <c r="V320" s="150">
        <f t="shared" ca="1" si="169"/>
        <v>1.5620232672000003E-5</v>
      </c>
      <c r="W320" s="150">
        <f t="shared" ca="1" si="169"/>
        <v>1.5620232672000003E-5</v>
      </c>
      <c r="X320" s="150">
        <f t="shared" ca="1" si="169"/>
        <v>1.5620232672000003E-5</v>
      </c>
      <c r="Y320" s="150">
        <f t="shared" ca="1" si="169"/>
        <v>1.5620232672000003E-5</v>
      </c>
      <c r="Z320" s="150">
        <f t="shared" ca="1" si="169"/>
        <v>1.5620232672000003E-5</v>
      </c>
    </row>
    <row r="321" spans="2:26" x14ac:dyDescent="0.2">
      <c r="B321" s="137" t="s">
        <v>248</v>
      </c>
      <c r="C321" s="137"/>
      <c r="D321" s="138"/>
      <c r="E321" s="138"/>
      <c r="F321" s="138">
        <f t="shared" ref="F321:Z321" ca="1" si="170">+SUM(F318:F320)</f>
        <v>0</v>
      </c>
      <c r="G321" s="138">
        <f t="shared" ca="1" si="170"/>
        <v>0</v>
      </c>
      <c r="H321" s="138">
        <f t="shared" ca="1" si="170"/>
        <v>0</v>
      </c>
      <c r="I321" s="138">
        <f t="shared" ca="1" si="170"/>
        <v>6946822.2629323117</v>
      </c>
      <c r="J321" s="138">
        <f t="shared" ca="1" si="170"/>
        <v>14485528.459140714</v>
      </c>
      <c r="K321" s="138">
        <f t="shared" ca="1" si="170"/>
        <v>14919107.173988493</v>
      </c>
      <c r="L321" s="138">
        <f t="shared" ca="1" si="170"/>
        <v>15824066.265007693</v>
      </c>
      <c r="M321" s="138">
        <f t="shared" ca="1" si="170"/>
        <v>16063300.346618453</v>
      </c>
      <c r="N321" s="138">
        <f t="shared" ca="1" si="170"/>
        <v>16382388.311893821</v>
      </c>
      <c r="O321" s="138">
        <f t="shared" ca="1" si="170"/>
        <v>16709726.462005191</v>
      </c>
      <c r="P321" s="138">
        <f t="shared" ca="1" si="170"/>
        <v>16972280.656752199</v>
      </c>
      <c r="Q321" s="138">
        <f t="shared" ca="1" si="170"/>
        <v>17978693.542121787</v>
      </c>
      <c r="R321" s="138">
        <f t="shared" ca="1" si="170"/>
        <v>18332133.16886761</v>
      </c>
      <c r="S321" s="138">
        <f t="shared" ca="1" si="170"/>
        <v>18620024.2169475</v>
      </c>
      <c r="T321" s="138">
        <f t="shared" ca="1" si="170"/>
        <v>18992053.809874423</v>
      </c>
      <c r="U321" s="138">
        <f t="shared" ca="1" si="170"/>
        <v>19373754.992455453</v>
      </c>
      <c r="V321" s="138">
        <f t="shared" ca="1" si="170"/>
        <v>20417269.022644076</v>
      </c>
      <c r="W321" s="138">
        <f t="shared" ca="1" si="170"/>
        <v>20819101.68484674</v>
      </c>
      <c r="X321" s="138">
        <f t="shared" ca="1" si="170"/>
        <v>21231408.871821623</v>
      </c>
      <c r="Y321" s="138">
        <f t="shared" ca="1" si="170"/>
        <v>21576734.209469687</v>
      </c>
      <c r="Z321" s="138">
        <f t="shared" ca="1" si="170"/>
        <v>22010846.172530074</v>
      </c>
    </row>
    <row r="323" spans="2:26" x14ac:dyDescent="0.2">
      <c r="B323" s="147" t="s">
        <v>149</v>
      </c>
      <c r="F323" s="149">
        <f>+F$294</f>
        <v>44926</v>
      </c>
      <c r="G323" s="149">
        <f t="shared" ref="G323:Z323" si="171">+G$294</f>
        <v>45291</v>
      </c>
      <c r="H323" s="149">
        <f t="shared" si="171"/>
        <v>45657</v>
      </c>
      <c r="I323" s="149">
        <f t="shared" si="171"/>
        <v>46022</v>
      </c>
      <c r="J323" s="149">
        <f t="shared" si="171"/>
        <v>46387</v>
      </c>
      <c r="K323" s="149">
        <f t="shared" si="171"/>
        <v>46752</v>
      </c>
      <c r="L323" s="149">
        <f t="shared" si="171"/>
        <v>47118</v>
      </c>
      <c r="M323" s="149">
        <f t="shared" si="171"/>
        <v>47483</v>
      </c>
      <c r="N323" s="149">
        <f t="shared" si="171"/>
        <v>47848</v>
      </c>
      <c r="O323" s="149">
        <f t="shared" si="171"/>
        <v>48213</v>
      </c>
      <c r="P323" s="149">
        <f t="shared" si="171"/>
        <v>48579</v>
      </c>
      <c r="Q323" s="149">
        <f t="shared" si="171"/>
        <v>48944</v>
      </c>
      <c r="R323" s="149">
        <f t="shared" si="171"/>
        <v>49309</v>
      </c>
      <c r="S323" s="149">
        <f t="shared" si="171"/>
        <v>49674</v>
      </c>
      <c r="T323" s="149">
        <f t="shared" si="171"/>
        <v>50040</v>
      </c>
      <c r="U323" s="149">
        <f t="shared" si="171"/>
        <v>50405</v>
      </c>
      <c r="V323" s="149">
        <f t="shared" si="171"/>
        <v>50770</v>
      </c>
      <c r="W323" s="149">
        <f t="shared" si="171"/>
        <v>51135</v>
      </c>
      <c r="X323" s="149">
        <f t="shared" si="171"/>
        <v>51501</v>
      </c>
      <c r="Y323" s="149">
        <f t="shared" si="171"/>
        <v>51866</v>
      </c>
      <c r="Z323" s="149">
        <f t="shared" si="171"/>
        <v>52231</v>
      </c>
    </row>
    <row r="324" spans="2:26" x14ac:dyDescent="0.2">
      <c r="B324" s="32" t="s">
        <v>336</v>
      </c>
      <c r="C324"/>
      <c r="D324"/>
      <c r="E324"/>
      <c r="F324" s="33">
        <f t="shared" ref="F324:Z324" si="172">+F270+F225+F155</f>
        <v>0</v>
      </c>
      <c r="G324" s="33">
        <f t="shared" si="172"/>
        <v>0</v>
      </c>
      <c r="H324" s="33">
        <f t="shared" si="172"/>
        <v>0</v>
      </c>
      <c r="I324" s="33">
        <f t="shared" si="172"/>
        <v>0</v>
      </c>
      <c r="J324" s="33">
        <f t="shared" si="172"/>
        <v>0</v>
      </c>
      <c r="K324" s="33">
        <f t="shared" si="172"/>
        <v>0</v>
      </c>
      <c r="L324" s="33">
        <f t="shared" si="172"/>
        <v>0</v>
      </c>
      <c r="M324" s="33">
        <f t="shared" si="172"/>
        <v>0</v>
      </c>
      <c r="N324" s="33">
        <f t="shared" ca="1" si="172"/>
        <v>262800366.09922302</v>
      </c>
      <c r="O324" s="33">
        <f t="shared" si="172"/>
        <v>0</v>
      </c>
      <c r="P324" s="33">
        <f t="shared" si="172"/>
        <v>0</v>
      </c>
      <c r="Q324" s="33">
        <f t="shared" si="172"/>
        <v>0</v>
      </c>
      <c r="R324" s="33">
        <f t="shared" si="172"/>
        <v>0</v>
      </c>
      <c r="S324" s="33">
        <f t="shared" si="172"/>
        <v>0</v>
      </c>
      <c r="T324" s="33">
        <f t="shared" si="172"/>
        <v>0</v>
      </c>
      <c r="U324" s="33">
        <f t="shared" si="172"/>
        <v>0</v>
      </c>
      <c r="V324" s="33">
        <f t="shared" si="172"/>
        <v>0</v>
      </c>
      <c r="W324" s="33">
        <f t="shared" si="172"/>
        <v>0</v>
      </c>
      <c r="X324" s="33">
        <f t="shared" si="172"/>
        <v>0</v>
      </c>
      <c r="Y324" s="33">
        <f t="shared" si="172"/>
        <v>0</v>
      </c>
      <c r="Z324" s="33">
        <f t="shared" si="172"/>
        <v>0</v>
      </c>
    </row>
    <row r="325" spans="2:26" x14ac:dyDescent="0.2">
      <c r="B325" s="32" t="s">
        <v>337</v>
      </c>
      <c r="F325" s="150">
        <f t="shared" ref="F325:Z325" si="173">+F271+F226+F157</f>
        <v>0</v>
      </c>
      <c r="G325" s="150">
        <f t="shared" si="173"/>
        <v>0</v>
      </c>
      <c r="H325" s="150">
        <f t="shared" si="173"/>
        <v>0</v>
      </c>
      <c r="I325" s="150">
        <f t="shared" si="173"/>
        <v>0</v>
      </c>
      <c r="J325" s="150">
        <f t="shared" si="173"/>
        <v>0</v>
      </c>
      <c r="K325" s="150">
        <f t="shared" si="173"/>
        <v>0</v>
      </c>
      <c r="L325" s="150">
        <f t="shared" si="173"/>
        <v>0</v>
      </c>
      <c r="M325" s="150">
        <f t="shared" si="173"/>
        <v>0</v>
      </c>
      <c r="N325" s="150">
        <f t="shared" ca="1" si="173"/>
        <v>-5256007.3219844606</v>
      </c>
      <c r="O325" s="150">
        <f t="shared" si="173"/>
        <v>0</v>
      </c>
      <c r="P325" s="150">
        <f t="shared" si="173"/>
        <v>0</v>
      </c>
      <c r="Q325" s="150">
        <f t="shared" si="173"/>
        <v>0</v>
      </c>
      <c r="R325" s="150">
        <f t="shared" si="173"/>
        <v>0</v>
      </c>
      <c r="S325" s="150">
        <f t="shared" si="173"/>
        <v>0</v>
      </c>
      <c r="T325" s="150">
        <f t="shared" si="173"/>
        <v>0</v>
      </c>
      <c r="U325" s="150">
        <f t="shared" si="173"/>
        <v>0</v>
      </c>
      <c r="V325" s="150">
        <f t="shared" si="173"/>
        <v>0</v>
      </c>
      <c r="W325" s="150">
        <f t="shared" si="173"/>
        <v>0</v>
      </c>
      <c r="X325" s="150">
        <f t="shared" si="173"/>
        <v>0</v>
      </c>
      <c r="Y325" s="150">
        <f t="shared" si="173"/>
        <v>0</v>
      </c>
      <c r="Z325" s="150">
        <f t="shared" si="173"/>
        <v>0</v>
      </c>
    </row>
    <row r="326" spans="2:26" x14ac:dyDescent="0.2">
      <c r="B326" s="137" t="s">
        <v>339</v>
      </c>
      <c r="C326" s="137"/>
      <c r="D326" s="138"/>
      <c r="E326" s="138"/>
      <c r="F326" s="138">
        <f>+SUM(F324:F325)</f>
        <v>0</v>
      </c>
      <c r="G326" s="138">
        <f t="shared" ref="G326:Z326" si="174">+SUM(G324:G325)</f>
        <v>0</v>
      </c>
      <c r="H326" s="138">
        <f t="shared" si="174"/>
        <v>0</v>
      </c>
      <c r="I326" s="138">
        <f t="shared" si="174"/>
        <v>0</v>
      </c>
      <c r="J326" s="138">
        <f t="shared" si="174"/>
        <v>0</v>
      </c>
      <c r="K326" s="138">
        <f t="shared" si="174"/>
        <v>0</v>
      </c>
      <c r="L326" s="138">
        <f t="shared" si="174"/>
        <v>0</v>
      </c>
      <c r="M326" s="138">
        <f t="shared" si="174"/>
        <v>0</v>
      </c>
      <c r="N326" s="138">
        <f t="shared" ca="1" si="174"/>
        <v>257544358.77723855</v>
      </c>
      <c r="O326" s="138">
        <f t="shared" si="174"/>
        <v>0</v>
      </c>
      <c r="P326" s="138">
        <f t="shared" si="174"/>
        <v>0</v>
      </c>
      <c r="Q326" s="138">
        <f t="shared" si="174"/>
        <v>0</v>
      </c>
      <c r="R326" s="138">
        <f t="shared" si="174"/>
        <v>0</v>
      </c>
      <c r="S326" s="138">
        <f t="shared" si="174"/>
        <v>0</v>
      </c>
      <c r="T326" s="138">
        <f t="shared" si="174"/>
        <v>0</v>
      </c>
      <c r="U326" s="138">
        <f t="shared" si="174"/>
        <v>0</v>
      </c>
      <c r="V326" s="138">
        <f t="shared" si="174"/>
        <v>0</v>
      </c>
      <c r="W326" s="138">
        <f t="shared" si="174"/>
        <v>0</v>
      </c>
      <c r="X326" s="138">
        <f t="shared" si="174"/>
        <v>0</v>
      </c>
      <c r="Y326" s="138">
        <f t="shared" si="174"/>
        <v>0</v>
      </c>
      <c r="Z326" s="138">
        <f t="shared" si="174"/>
        <v>0</v>
      </c>
    </row>
    <row r="328" spans="2:26" x14ac:dyDescent="0.2">
      <c r="B328" s="147" t="s">
        <v>392</v>
      </c>
      <c r="F328" s="149">
        <f t="shared" ref="F328:Z328" si="175">+F$294</f>
        <v>44926</v>
      </c>
      <c r="G328" s="149">
        <f t="shared" si="175"/>
        <v>45291</v>
      </c>
      <c r="H328" s="149">
        <f t="shared" si="175"/>
        <v>45657</v>
      </c>
      <c r="I328" s="149">
        <f t="shared" si="175"/>
        <v>46022</v>
      </c>
      <c r="J328" s="149">
        <f t="shared" si="175"/>
        <v>46387</v>
      </c>
      <c r="K328" s="149">
        <f t="shared" si="175"/>
        <v>46752</v>
      </c>
      <c r="L328" s="149">
        <f t="shared" si="175"/>
        <v>47118</v>
      </c>
      <c r="M328" s="149">
        <f t="shared" si="175"/>
        <v>47483</v>
      </c>
      <c r="N328" s="149">
        <f t="shared" si="175"/>
        <v>47848</v>
      </c>
      <c r="O328" s="149">
        <f t="shared" si="175"/>
        <v>48213</v>
      </c>
      <c r="P328" s="149">
        <f t="shared" si="175"/>
        <v>48579</v>
      </c>
      <c r="Q328" s="149">
        <f t="shared" si="175"/>
        <v>48944</v>
      </c>
      <c r="R328" s="149">
        <f t="shared" si="175"/>
        <v>49309</v>
      </c>
      <c r="S328" s="149">
        <f t="shared" si="175"/>
        <v>49674</v>
      </c>
      <c r="T328" s="149">
        <f t="shared" si="175"/>
        <v>50040</v>
      </c>
      <c r="U328" s="149">
        <f t="shared" si="175"/>
        <v>50405</v>
      </c>
      <c r="V328" s="149">
        <f t="shared" si="175"/>
        <v>50770</v>
      </c>
      <c r="W328" s="149">
        <f t="shared" si="175"/>
        <v>51135</v>
      </c>
      <c r="X328" s="149">
        <f t="shared" si="175"/>
        <v>51501</v>
      </c>
      <c r="Y328" s="149">
        <f t="shared" si="175"/>
        <v>51866</v>
      </c>
      <c r="Z328" s="149">
        <f t="shared" si="175"/>
        <v>52231</v>
      </c>
    </row>
    <row r="329" spans="2:26" x14ac:dyDescent="0.2">
      <c r="B329" s="32" t="s">
        <v>61</v>
      </c>
      <c r="D329" s="47">
        <f>+SUM(F329:Z329)</f>
        <v>818973.10714285716</v>
      </c>
      <c r="E329" s="47"/>
      <c r="F329" s="33">
        <f t="shared" ref="F329:Z329" si="176">+F285</f>
        <v>818973.10714285716</v>
      </c>
      <c r="G329" s="33">
        <f t="shared" si="176"/>
        <v>0</v>
      </c>
      <c r="H329" s="33">
        <f t="shared" si="176"/>
        <v>0</v>
      </c>
      <c r="I329" s="33">
        <f t="shared" si="176"/>
        <v>0</v>
      </c>
      <c r="J329" s="33">
        <f t="shared" si="176"/>
        <v>0</v>
      </c>
      <c r="K329" s="33">
        <f t="shared" si="176"/>
        <v>0</v>
      </c>
      <c r="L329" s="33">
        <f t="shared" si="176"/>
        <v>0</v>
      </c>
      <c r="M329" s="33">
        <f t="shared" si="176"/>
        <v>0</v>
      </c>
      <c r="N329" s="33">
        <f t="shared" si="176"/>
        <v>0</v>
      </c>
      <c r="O329" s="33">
        <f t="shared" si="176"/>
        <v>0</v>
      </c>
      <c r="P329" s="33">
        <f t="shared" si="176"/>
        <v>0</v>
      </c>
      <c r="Q329" s="33">
        <f t="shared" si="176"/>
        <v>0</v>
      </c>
      <c r="R329" s="33">
        <f t="shared" si="176"/>
        <v>0</v>
      </c>
      <c r="S329" s="33">
        <f t="shared" si="176"/>
        <v>0</v>
      </c>
      <c r="T329" s="33">
        <f t="shared" si="176"/>
        <v>0</v>
      </c>
      <c r="U329" s="33">
        <f t="shared" si="176"/>
        <v>0</v>
      </c>
      <c r="V329" s="33">
        <f t="shared" si="176"/>
        <v>0</v>
      </c>
      <c r="W329" s="33">
        <f t="shared" si="176"/>
        <v>0</v>
      </c>
      <c r="X329" s="33">
        <f t="shared" si="176"/>
        <v>0</v>
      </c>
      <c r="Y329" s="33">
        <f t="shared" si="176"/>
        <v>0</v>
      </c>
      <c r="Z329" s="33">
        <f t="shared" si="176"/>
        <v>0</v>
      </c>
    </row>
    <row r="330" spans="2:26" x14ac:dyDescent="0.2">
      <c r="B330" s="32" t="s">
        <v>8</v>
      </c>
      <c r="D330" s="47">
        <f t="shared" ref="D330:D335" si="177">+SUM(F330:Z330)</f>
        <v>10461100</v>
      </c>
      <c r="E330" s="47"/>
      <c r="F330" s="150">
        <f t="shared" ref="F330:Z330" si="178">+F286</f>
        <v>10461100</v>
      </c>
      <c r="G330" s="150">
        <f t="shared" si="178"/>
        <v>0</v>
      </c>
      <c r="H330" s="150">
        <f t="shared" si="178"/>
        <v>0</v>
      </c>
      <c r="I330" s="150">
        <f t="shared" si="178"/>
        <v>0</v>
      </c>
      <c r="J330" s="150">
        <f t="shared" si="178"/>
        <v>0</v>
      </c>
      <c r="K330" s="150">
        <f t="shared" si="178"/>
        <v>0</v>
      </c>
      <c r="L330" s="150">
        <f t="shared" si="178"/>
        <v>0</v>
      </c>
      <c r="M330" s="150">
        <f t="shared" si="178"/>
        <v>0</v>
      </c>
      <c r="N330" s="150">
        <f t="shared" si="178"/>
        <v>0</v>
      </c>
      <c r="O330" s="150">
        <f t="shared" si="178"/>
        <v>0</v>
      </c>
      <c r="P330" s="150">
        <f t="shared" si="178"/>
        <v>0</v>
      </c>
      <c r="Q330" s="150">
        <f t="shared" si="178"/>
        <v>0</v>
      </c>
      <c r="R330" s="150">
        <f t="shared" si="178"/>
        <v>0</v>
      </c>
      <c r="S330" s="150">
        <f t="shared" si="178"/>
        <v>0</v>
      </c>
      <c r="T330" s="150">
        <f t="shared" si="178"/>
        <v>0</v>
      </c>
      <c r="U330" s="150">
        <f t="shared" si="178"/>
        <v>0</v>
      </c>
      <c r="V330" s="150">
        <f t="shared" si="178"/>
        <v>0</v>
      </c>
      <c r="W330" s="150">
        <f t="shared" si="178"/>
        <v>0</v>
      </c>
      <c r="X330" s="150">
        <f t="shared" si="178"/>
        <v>0</v>
      </c>
      <c r="Y330" s="150">
        <f t="shared" si="178"/>
        <v>0</v>
      </c>
      <c r="Z330" s="150">
        <f t="shared" si="178"/>
        <v>0</v>
      </c>
    </row>
    <row r="331" spans="2:26" x14ac:dyDescent="0.2">
      <c r="B331" s="32" t="s">
        <v>57</v>
      </c>
      <c r="D331" s="47">
        <f t="shared" ca="1" si="177"/>
        <v>174155529.98339999</v>
      </c>
      <c r="E331" s="47"/>
      <c r="F331" s="150">
        <f t="shared" ref="F331:Z331" si="179">+F287</f>
        <v>0</v>
      </c>
      <c r="G331" s="150">
        <f t="shared" ca="1" si="179"/>
        <v>87077764.991699994</v>
      </c>
      <c r="H331" s="150">
        <f t="shared" ca="1" si="179"/>
        <v>87077764.991699994</v>
      </c>
      <c r="I331" s="150">
        <f t="shared" si="179"/>
        <v>0</v>
      </c>
      <c r="J331" s="150">
        <f t="shared" si="179"/>
        <v>0</v>
      </c>
      <c r="K331" s="150">
        <f t="shared" si="179"/>
        <v>0</v>
      </c>
      <c r="L331" s="150">
        <f t="shared" si="179"/>
        <v>0</v>
      </c>
      <c r="M331" s="150">
        <f t="shared" si="179"/>
        <v>0</v>
      </c>
      <c r="N331" s="150">
        <f t="shared" si="179"/>
        <v>0</v>
      </c>
      <c r="O331" s="150">
        <f t="shared" si="179"/>
        <v>0</v>
      </c>
      <c r="P331" s="150">
        <f t="shared" si="179"/>
        <v>0</v>
      </c>
      <c r="Q331" s="150">
        <f t="shared" si="179"/>
        <v>0</v>
      </c>
      <c r="R331" s="150">
        <f t="shared" si="179"/>
        <v>0</v>
      </c>
      <c r="S331" s="150">
        <f t="shared" si="179"/>
        <v>0</v>
      </c>
      <c r="T331" s="150">
        <f t="shared" si="179"/>
        <v>0</v>
      </c>
      <c r="U331" s="150">
        <f t="shared" si="179"/>
        <v>0</v>
      </c>
      <c r="V331" s="150">
        <f t="shared" si="179"/>
        <v>0</v>
      </c>
      <c r="W331" s="150">
        <f t="shared" si="179"/>
        <v>0</v>
      </c>
      <c r="X331" s="150">
        <f t="shared" si="179"/>
        <v>0</v>
      </c>
      <c r="Y331" s="150">
        <f t="shared" si="179"/>
        <v>0</v>
      </c>
      <c r="Z331" s="150">
        <f t="shared" si="179"/>
        <v>0</v>
      </c>
    </row>
    <row r="332" spans="2:26" x14ac:dyDescent="0.2">
      <c r="B332" s="32" t="s">
        <v>58</v>
      </c>
      <c r="D332" s="47">
        <f t="shared" ca="1" si="177"/>
        <v>13380466.778895907</v>
      </c>
      <c r="E332" s="47"/>
      <c r="F332" s="150">
        <f t="shared" ref="F332:Z332" ca="1" si="180">+F288</f>
        <v>7593706.953688167</v>
      </c>
      <c r="G332" s="150">
        <f t="shared" ca="1" si="180"/>
        <v>2893379.91260387</v>
      </c>
      <c r="H332" s="150">
        <f t="shared" ca="1" si="180"/>
        <v>2893379.91260387</v>
      </c>
      <c r="I332" s="150">
        <f t="shared" si="180"/>
        <v>0</v>
      </c>
      <c r="J332" s="150">
        <f t="shared" si="180"/>
        <v>0</v>
      </c>
      <c r="K332" s="150">
        <f t="shared" si="180"/>
        <v>0</v>
      </c>
      <c r="L332" s="150">
        <f t="shared" si="180"/>
        <v>0</v>
      </c>
      <c r="M332" s="150">
        <f t="shared" si="180"/>
        <v>0</v>
      </c>
      <c r="N332" s="150">
        <f t="shared" si="180"/>
        <v>0</v>
      </c>
      <c r="O332" s="150">
        <f t="shared" si="180"/>
        <v>0</v>
      </c>
      <c r="P332" s="150">
        <f t="shared" si="180"/>
        <v>0</v>
      </c>
      <c r="Q332" s="150">
        <f t="shared" si="180"/>
        <v>0</v>
      </c>
      <c r="R332" s="150">
        <f t="shared" si="180"/>
        <v>0</v>
      </c>
      <c r="S332" s="150">
        <f t="shared" si="180"/>
        <v>0</v>
      </c>
      <c r="T332" s="150">
        <f t="shared" si="180"/>
        <v>0</v>
      </c>
      <c r="U332" s="150">
        <f t="shared" si="180"/>
        <v>0</v>
      </c>
      <c r="V332" s="150">
        <f t="shared" si="180"/>
        <v>0</v>
      </c>
      <c r="W332" s="150">
        <f t="shared" si="180"/>
        <v>0</v>
      </c>
      <c r="X332" s="150">
        <f t="shared" si="180"/>
        <v>0</v>
      </c>
      <c r="Y332" s="150">
        <f t="shared" si="180"/>
        <v>0</v>
      </c>
      <c r="Z332" s="150">
        <f t="shared" si="180"/>
        <v>0</v>
      </c>
    </row>
    <row r="333" spans="2:26" x14ac:dyDescent="0.2">
      <c r="B333" s="32" t="s">
        <v>80</v>
      </c>
      <c r="D333" s="47">
        <f t="shared" si="177"/>
        <v>0</v>
      </c>
      <c r="E333" s="47"/>
      <c r="F333" s="150">
        <v>0</v>
      </c>
      <c r="G333" s="150">
        <v>0</v>
      </c>
      <c r="H333" s="150">
        <v>0</v>
      </c>
      <c r="I333" s="150">
        <v>0</v>
      </c>
      <c r="J333" s="150">
        <v>0</v>
      </c>
      <c r="K333" s="150">
        <v>0</v>
      </c>
      <c r="L333" s="150">
        <v>0</v>
      </c>
      <c r="M333" s="150">
        <v>0</v>
      </c>
      <c r="N333" s="150">
        <v>0</v>
      </c>
      <c r="O333" s="150">
        <v>0</v>
      </c>
      <c r="P333" s="150">
        <v>0</v>
      </c>
      <c r="Q333" s="150">
        <v>0</v>
      </c>
      <c r="R333" s="150">
        <v>0</v>
      </c>
      <c r="S333" s="150">
        <v>0</v>
      </c>
      <c r="T333" s="150">
        <v>0</v>
      </c>
      <c r="U333" s="150">
        <v>0</v>
      </c>
      <c r="V333" s="150">
        <v>0</v>
      </c>
      <c r="W333" s="150">
        <v>0</v>
      </c>
      <c r="X333" s="150">
        <v>0</v>
      </c>
      <c r="Y333" s="150">
        <v>0</v>
      </c>
      <c r="Z333" s="150">
        <v>0</v>
      </c>
    </row>
    <row r="334" spans="2:26" x14ac:dyDescent="0.2">
      <c r="B334" s="32" t="s">
        <v>83</v>
      </c>
      <c r="D334" s="47">
        <f t="shared" ca="1" si="177"/>
        <v>444607.63224393112</v>
      </c>
      <c r="E334" s="47"/>
      <c r="F334" s="150">
        <f t="shared" ref="F334:Z334" si="181">+F290</f>
        <v>0</v>
      </c>
      <c r="G334" s="150">
        <f t="shared" ca="1" si="181"/>
        <v>222303.81612196556</v>
      </c>
      <c r="H334" s="150">
        <f t="shared" ca="1" si="181"/>
        <v>222303.81612196556</v>
      </c>
      <c r="I334" s="150">
        <f t="shared" si="181"/>
        <v>0</v>
      </c>
      <c r="J334" s="150">
        <f t="shared" si="181"/>
        <v>0</v>
      </c>
      <c r="K334" s="150">
        <f t="shared" si="181"/>
        <v>0</v>
      </c>
      <c r="L334" s="150">
        <f t="shared" si="181"/>
        <v>0</v>
      </c>
      <c r="M334" s="150">
        <f t="shared" si="181"/>
        <v>0</v>
      </c>
      <c r="N334" s="150">
        <f t="shared" si="181"/>
        <v>0</v>
      </c>
      <c r="O334" s="150">
        <f t="shared" si="181"/>
        <v>0</v>
      </c>
      <c r="P334" s="150">
        <f t="shared" si="181"/>
        <v>0</v>
      </c>
      <c r="Q334" s="150">
        <f t="shared" si="181"/>
        <v>0</v>
      </c>
      <c r="R334" s="150">
        <f t="shared" si="181"/>
        <v>0</v>
      </c>
      <c r="S334" s="150">
        <f t="shared" si="181"/>
        <v>0</v>
      </c>
      <c r="T334" s="150">
        <f t="shared" si="181"/>
        <v>0</v>
      </c>
      <c r="U334" s="150">
        <f t="shared" si="181"/>
        <v>0</v>
      </c>
      <c r="V334" s="150">
        <f t="shared" si="181"/>
        <v>0</v>
      </c>
      <c r="W334" s="150">
        <f t="shared" si="181"/>
        <v>0</v>
      </c>
      <c r="X334" s="150">
        <f t="shared" si="181"/>
        <v>0</v>
      </c>
      <c r="Y334" s="150">
        <f t="shared" si="181"/>
        <v>0</v>
      </c>
      <c r="Z334" s="150">
        <f t="shared" si="181"/>
        <v>0</v>
      </c>
    </row>
    <row r="335" spans="2:26" x14ac:dyDescent="0.2">
      <c r="B335" s="32" t="s">
        <v>60</v>
      </c>
      <c r="D335" s="47">
        <f t="shared" ca="1" si="177"/>
        <v>6434952.7060475629</v>
      </c>
      <c r="E335" s="47"/>
      <c r="F335" s="150">
        <f t="shared" ref="F335:Z335" ca="1" si="182">+F291</f>
        <v>0</v>
      </c>
      <c r="G335" s="150">
        <f t="shared" ca="1" si="182"/>
        <v>1608738.1765118907</v>
      </c>
      <c r="H335" s="150">
        <f t="shared" ca="1" si="182"/>
        <v>1608738.1765118907</v>
      </c>
      <c r="I335" s="150">
        <f t="shared" ca="1" si="182"/>
        <v>1608738.1765118907</v>
      </c>
      <c r="J335" s="150">
        <f t="shared" ca="1" si="182"/>
        <v>1608738.1765118907</v>
      </c>
      <c r="K335" s="150">
        <f t="shared" si="182"/>
        <v>0</v>
      </c>
      <c r="L335" s="150">
        <f t="shared" si="182"/>
        <v>0</v>
      </c>
      <c r="M335" s="150">
        <f t="shared" si="182"/>
        <v>0</v>
      </c>
      <c r="N335" s="150">
        <f t="shared" si="182"/>
        <v>0</v>
      </c>
      <c r="O335" s="150">
        <f t="shared" si="182"/>
        <v>0</v>
      </c>
      <c r="P335" s="150">
        <f t="shared" si="182"/>
        <v>0</v>
      </c>
      <c r="Q335" s="150">
        <f t="shared" si="182"/>
        <v>0</v>
      </c>
      <c r="R335" s="150">
        <f t="shared" si="182"/>
        <v>0</v>
      </c>
      <c r="S335" s="150">
        <f t="shared" si="182"/>
        <v>0</v>
      </c>
      <c r="T335" s="150">
        <f t="shared" si="182"/>
        <v>0</v>
      </c>
      <c r="U335" s="150">
        <f t="shared" si="182"/>
        <v>0</v>
      </c>
      <c r="V335" s="150">
        <f t="shared" si="182"/>
        <v>0</v>
      </c>
      <c r="W335" s="150">
        <f t="shared" si="182"/>
        <v>0</v>
      </c>
      <c r="X335" s="150">
        <f t="shared" si="182"/>
        <v>0</v>
      </c>
      <c r="Y335" s="150">
        <f t="shared" si="182"/>
        <v>0</v>
      </c>
      <c r="Z335" s="150">
        <f t="shared" si="182"/>
        <v>0</v>
      </c>
    </row>
    <row r="336" spans="2:26" x14ac:dyDescent="0.2">
      <c r="B336" s="137" t="s">
        <v>20</v>
      </c>
      <c r="C336" s="137"/>
      <c r="D336" s="138">
        <f ca="1">+SUM(F336:Z336)</f>
        <v>205695630.20773023</v>
      </c>
      <c r="E336" s="138"/>
      <c r="F336" s="138">
        <f ca="1">+SUM(F329:F335)</f>
        <v>18873780.060831025</v>
      </c>
      <c r="G336" s="138">
        <f t="shared" ref="G336:Z336" ca="1" si="183">+SUM(G329:G335)</f>
        <v>91802186.896937713</v>
      </c>
      <c r="H336" s="138">
        <f t="shared" ca="1" si="183"/>
        <v>91802186.896937713</v>
      </c>
      <c r="I336" s="138">
        <f t="shared" ca="1" si="183"/>
        <v>1608738.1765118907</v>
      </c>
      <c r="J336" s="138">
        <f t="shared" ca="1" si="183"/>
        <v>1608738.1765118907</v>
      </c>
      <c r="K336" s="138">
        <f t="shared" si="183"/>
        <v>0</v>
      </c>
      <c r="L336" s="138">
        <f t="shared" si="183"/>
        <v>0</v>
      </c>
      <c r="M336" s="138">
        <f t="shared" si="183"/>
        <v>0</v>
      </c>
      <c r="N336" s="138">
        <f t="shared" si="183"/>
        <v>0</v>
      </c>
      <c r="O336" s="138">
        <f t="shared" si="183"/>
        <v>0</v>
      </c>
      <c r="P336" s="138">
        <f t="shared" si="183"/>
        <v>0</v>
      </c>
      <c r="Q336" s="138">
        <f t="shared" si="183"/>
        <v>0</v>
      </c>
      <c r="R336" s="138">
        <f t="shared" si="183"/>
        <v>0</v>
      </c>
      <c r="S336" s="138">
        <f t="shared" si="183"/>
        <v>0</v>
      </c>
      <c r="T336" s="138">
        <f t="shared" si="183"/>
        <v>0</v>
      </c>
      <c r="U336" s="138">
        <f t="shared" si="183"/>
        <v>0</v>
      </c>
      <c r="V336" s="138">
        <f t="shared" si="183"/>
        <v>0</v>
      </c>
      <c r="W336" s="138">
        <f t="shared" si="183"/>
        <v>0</v>
      </c>
      <c r="X336" s="138">
        <f t="shared" si="183"/>
        <v>0</v>
      </c>
      <c r="Y336" s="138">
        <f t="shared" si="183"/>
        <v>0</v>
      </c>
      <c r="Z336" s="138">
        <f t="shared" si="183"/>
        <v>0</v>
      </c>
    </row>
    <row r="338" spans="2:26" x14ac:dyDescent="0.2">
      <c r="B338" s="147" t="s">
        <v>347</v>
      </c>
      <c r="F338" s="149">
        <f>+'Assumptions and Sensis'!$G$43</f>
        <v>44926</v>
      </c>
      <c r="G338" s="149">
        <f>+EOMONTH(F338,12)</f>
        <v>45291</v>
      </c>
      <c r="H338" s="149">
        <f t="shared" ref="H338:Z338" si="184">+EOMONTH(G338,12)</f>
        <v>45657</v>
      </c>
      <c r="I338" s="149">
        <f t="shared" si="184"/>
        <v>46022</v>
      </c>
      <c r="J338" s="149">
        <f t="shared" si="184"/>
        <v>46387</v>
      </c>
      <c r="K338" s="149">
        <f t="shared" si="184"/>
        <v>46752</v>
      </c>
      <c r="L338" s="149">
        <f t="shared" si="184"/>
        <v>47118</v>
      </c>
      <c r="M338" s="149">
        <f t="shared" si="184"/>
        <v>47483</v>
      </c>
      <c r="N338" s="149">
        <f t="shared" si="184"/>
        <v>47848</v>
      </c>
      <c r="O338" s="149">
        <f t="shared" si="184"/>
        <v>48213</v>
      </c>
      <c r="P338" s="149">
        <f t="shared" si="184"/>
        <v>48579</v>
      </c>
      <c r="Q338" s="149">
        <f t="shared" si="184"/>
        <v>48944</v>
      </c>
      <c r="R338" s="149">
        <f t="shared" si="184"/>
        <v>49309</v>
      </c>
      <c r="S338" s="149">
        <f t="shared" si="184"/>
        <v>49674</v>
      </c>
      <c r="T338" s="149">
        <f t="shared" si="184"/>
        <v>50040</v>
      </c>
      <c r="U338" s="149">
        <f t="shared" si="184"/>
        <v>50405</v>
      </c>
      <c r="V338" s="149">
        <f t="shared" si="184"/>
        <v>50770</v>
      </c>
      <c r="W338" s="149">
        <f t="shared" si="184"/>
        <v>51135</v>
      </c>
      <c r="X338" s="149">
        <f t="shared" si="184"/>
        <v>51501</v>
      </c>
      <c r="Y338" s="149">
        <f t="shared" si="184"/>
        <v>51866</v>
      </c>
      <c r="Z338" s="149">
        <f t="shared" si="184"/>
        <v>52231</v>
      </c>
    </row>
    <row r="339" spans="2:26" x14ac:dyDescent="0.2">
      <c r="B339" s="32" t="s">
        <v>29</v>
      </c>
      <c r="D339" s="47">
        <f ca="1">+D336-SUM(D296:D298,D301)</f>
        <v>153278378.31846529</v>
      </c>
      <c r="E339" s="47"/>
      <c r="F339" s="33">
        <f ca="1">+MIN($D$339-SUM('Phase II Pro Forma'!$E339:E339),'Phase II Pro Forma'!F$336)</f>
        <v>18873780.060831025</v>
      </c>
      <c r="G339" s="33">
        <f ca="1">+MIN($D$339-SUM('Phase II Pro Forma'!$E339:F339),'Phase II Pro Forma'!G$336)</f>
        <v>91802186.896937713</v>
      </c>
      <c r="H339" s="33">
        <f ca="1">+MIN($D$339-SUM('Phase II Pro Forma'!$E339:G339),'Phase II Pro Forma'!H$336)</f>
        <v>42602411.360696554</v>
      </c>
      <c r="I339" s="33">
        <f ca="1">+MIN($D$339-SUM('Phase II Pro Forma'!$E339:H339),'Phase II Pro Forma'!I$336)</f>
        <v>0</v>
      </c>
      <c r="J339" s="33">
        <f ca="1">+MIN($D$339-SUM('Phase II Pro Forma'!$E339:I339),'Phase II Pro Forma'!J$336)</f>
        <v>0</v>
      </c>
      <c r="K339" s="33">
        <f ca="1">+MIN($D$339-SUM('Phase II Pro Forma'!$E339:J339),'Phase II Pro Forma'!K$336)</f>
        <v>0</v>
      </c>
      <c r="L339" s="33">
        <f ca="1">+MIN($D$339-SUM('Phase II Pro Forma'!$E339:K339),'Phase II Pro Forma'!L$336)</f>
        <v>0</v>
      </c>
      <c r="M339" s="33">
        <f ca="1">+MIN($D$339-SUM('Phase II Pro Forma'!$E339:L339),'Phase II Pro Forma'!M$336)</f>
        <v>0</v>
      </c>
      <c r="N339" s="33">
        <f ca="1">+MIN($D$339-SUM('Phase II Pro Forma'!$E339:M339),'Phase II Pro Forma'!N$336)</f>
        <v>0</v>
      </c>
      <c r="O339" s="33">
        <f ca="1">+MIN($D$339-SUM('Phase II Pro Forma'!$E339:N339),'Phase II Pro Forma'!O$336)</f>
        <v>0</v>
      </c>
      <c r="P339" s="33">
        <f ca="1">+MIN($D$339-SUM('Phase II Pro Forma'!$E339:O339),'Phase II Pro Forma'!P$336)</f>
        <v>0</v>
      </c>
      <c r="Q339" s="33">
        <f ca="1">+MIN($D$339-SUM('Phase II Pro Forma'!$E339:P339),'Phase II Pro Forma'!Q$336)</f>
        <v>0</v>
      </c>
      <c r="R339" s="33">
        <f ca="1">+MIN($D$339-SUM('Phase II Pro Forma'!$E339:Q339),'Phase II Pro Forma'!R$336)</f>
        <v>0</v>
      </c>
      <c r="S339" s="33">
        <f ca="1">+MIN($D$339-SUM('Phase II Pro Forma'!$E339:R339),'Phase II Pro Forma'!S$336)</f>
        <v>0</v>
      </c>
      <c r="T339" s="33">
        <f ca="1">+MIN($D$339-SUM('Phase II Pro Forma'!$E339:S339),'Phase II Pro Forma'!T$336)</f>
        <v>0</v>
      </c>
      <c r="U339" s="33">
        <f ca="1">+MIN($D$339-SUM('Phase II Pro Forma'!$E339:T339),'Phase II Pro Forma'!U$336)</f>
        <v>0</v>
      </c>
      <c r="V339" s="33">
        <f ca="1">+MIN($D$339-SUM('Phase II Pro Forma'!$E339:U339),'Phase II Pro Forma'!V$336)</f>
        <v>0</v>
      </c>
      <c r="W339" s="33">
        <f ca="1">+MIN($D$339-SUM('Phase II Pro Forma'!$E339:V339),'Phase II Pro Forma'!W$336)</f>
        <v>0</v>
      </c>
      <c r="X339" s="33">
        <f ca="1">+MIN($D$339-SUM('Phase II Pro Forma'!$E339:W339),'Phase II Pro Forma'!X$336)</f>
        <v>0</v>
      </c>
      <c r="Y339" s="33">
        <f ca="1">+MIN($D$339-SUM('Phase II Pro Forma'!$E339:X339),'Phase II Pro Forma'!Y$336)</f>
        <v>0</v>
      </c>
      <c r="Z339" s="33">
        <f ca="1">+MIN($D$339-SUM('Phase II Pro Forma'!$E339:Y339),'Phase II Pro Forma'!Z$336)</f>
        <v>0</v>
      </c>
    </row>
    <row r="340" spans="2:26" x14ac:dyDescent="0.2">
      <c r="B340" s="32" t="s">
        <v>326</v>
      </c>
      <c r="D340" s="47">
        <f t="shared" ref="D340:D346" ca="1" si="185">+SUM(F340:Z340)</f>
        <v>0</v>
      </c>
      <c r="E340" s="47"/>
      <c r="F340" s="150">
        <f ca="1">+MIN('S&amp;U'!$I19-SUM('Phase II Pro Forma'!$E340:E340),'Phase II Pro Forma'!F$336-SUM(F$339:F339))</f>
        <v>0</v>
      </c>
      <c r="G340" s="150">
        <f ca="1">+MIN('S&amp;U'!$I19-SUM('Phase II Pro Forma'!$E340:F340),'Phase II Pro Forma'!G$336-SUM(G$339:G339))</f>
        <v>0</v>
      </c>
      <c r="H340" s="150">
        <f ca="1">+MIN('S&amp;U'!$I19-SUM('Phase II Pro Forma'!$E340:G340),'Phase II Pro Forma'!H$336-SUM(H$339:H339))</f>
        <v>0</v>
      </c>
      <c r="I340" s="150">
        <f ca="1">+MIN('S&amp;U'!$I19-SUM('Phase II Pro Forma'!$E340:H340),'Phase II Pro Forma'!I$336-SUM(I$339:I339))</f>
        <v>0</v>
      </c>
      <c r="J340" s="150">
        <f ca="1">+MIN('S&amp;U'!$I19-SUM('Phase II Pro Forma'!$E340:I340),'Phase II Pro Forma'!J$336-SUM(J$339:J339))</f>
        <v>0</v>
      </c>
      <c r="K340" s="150">
        <f ca="1">+MIN('S&amp;U'!$I19-SUM('Phase II Pro Forma'!$E340:J340),'Phase II Pro Forma'!K$336-SUM(K$339:K339))</f>
        <v>0</v>
      </c>
      <c r="L340" s="150">
        <f ca="1">+MIN('S&amp;U'!$I19-SUM('Phase II Pro Forma'!$E340:K340),'Phase II Pro Forma'!L$336-SUM(L$339:L339))</f>
        <v>0</v>
      </c>
      <c r="M340" s="150">
        <f ca="1">+MIN('S&amp;U'!$I19-SUM('Phase II Pro Forma'!$E340:L340),'Phase II Pro Forma'!M$336-SUM(M$339:M339))</f>
        <v>0</v>
      </c>
      <c r="N340" s="150">
        <f ca="1">+MIN('S&amp;U'!$I19-SUM('Phase II Pro Forma'!$E340:M340),'Phase II Pro Forma'!N$336-SUM(N$339:N339))</f>
        <v>0</v>
      </c>
      <c r="O340" s="150">
        <f ca="1">+MIN('S&amp;U'!$I19-SUM('Phase II Pro Forma'!$E340:N340),'Phase II Pro Forma'!O$336-SUM(O$339:O339))</f>
        <v>0</v>
      </c>
      <c r="P340" s="150">
        <f ca="1">+MIN('S&amp;U'!$I19-SUM('Phase II Pro Forma'!$E340:O340),'Phase II Pro Forma'!P$336-SUM(P$339:P339))</f>
        <v>0</v>
      </c>
      <c r="Q340" s="150">
        <f ca="1">+MIN('S&amp;U'!$I19-SUM('Phase II Pro Forma'!$E340:P340),'Phase II Pro Forma'!Q$336-SUM(Q$339:Q339))</f>
        <v>0</v>
      </c>
      <c r="R340" s="150">
        <f ca="1">+MIN('S&amp;U'!$I19-SUM('Phase II Pro Forma'!$E340:Q340),'Phase II Pro Forma'!R$336-SUM(R$339:R339))</f>
        <v>0</v>
      </c>
      <c r="S340" s="150">
        <f ca="1">+MIN('S&amp;U'!$I19-SUM('Phase II Pro Forma'!$E340:R340),'Phase II Pro Forma'!S$336-SUM(S$339:S339))</f>
        <v>0</v>
      </c>
      <c r="T340" s="150">
        <f ca="1">+MIN('S&amp;U'!$I19-SUM('Phase II Pro Forma'!$E340:S340),'Phase II Pro Forma'!T$336-SUM(T$339:T339))</f>
        <v>0</v>
      </c>
      <c r="U340" s="150">
        <f ca="1">+MIN('S&amp;U'!$I19-SUM('Phase II Pro Forma'!$E340:T340),'Phase II Pro Forma'!U$336-SUM(U$339:U339))</f>
        <v>0</v>
      </c>
      <c r="V340" s="150">
        <f ca="1">+MIN('S&amp;U'!$I19-SUM('Phase II Pro Forma'!$E340:U340),'Phase II Pro Forma'!V$336-SUM(V$339:V339))</f>
        <v>0</v>
      </c>
      <c r="W340" s="150">
        <f ca="1">+MIN('S&amp;U'!$I19-SUM('Phase II Pro Forma'!$E340:V340),'Phase II Pro Forma'!W$336-SUM(W$339:W339))</f>
        <v>0</v>
      </c>
      <c r="X340" s="150">
        <f ca="1">+MIN('S&amp;U'!$I19-SUM('Phase II Pro Forma'!$E340:W340),'Phase II Pro Forma'!X$336-SUM(X$339:X339))</f>
        <v>0</v>
      </c>
      <c r="Y340" s="150">
        <f ca="1">+MIN('S&amp;U'!$I19-SUM('Phase II Pro Forma'!$E340:X340),'Phase II Pro Forma'!Y$336-SUM(Y$339:Y339))</f>
        <v>0</v>
      </c>
      <c r="Z340" s="150">
        <f ca="1">+MIN('S&amp;U'!$I19-SUM('Phase II Pro Forma'!$E340:Y340),'Phase II Pro Forma'!Z$336-SUM(Z$339:Z339))</f>
        <v>0</v>
      </c>
    </row>
    <row r="341" spans="2:26" x14ac:dyDescent="0.2">
      <c r="B341" s="32" t="s">
        <v>99</v>
      </c>
      <c r="D341" s="47">
        <f t="shared" ca="1" si="185"/>
        <v>8832339.7304545473</v>
      </c>
      <c r="E341" s="47"/>
      <c r="F341" s="150">
        <f ca="1">+MIN('S&amp;U'!$I20-SUM('Phase II Pro Forma'!$E341:E341),'Phase II Pro Forma'!F$336-SUM(F$339:F340))</f>
        <v>0</v>
      </c>
      <c r="G341" s="150">
        <f ca="1">+MIN('S&amp;U'!$I20-SUM('Phase II Pro Forma'!$E341:F341),'Phase II Pro Forma'!G$336-SUM(G$339:G340))</f>
        <v>0</v>
      </c>
      <c r="H341" s="150">
        <f ca="1">+MIN('S&amp;U'!$I20-SUM('Phase II Pro Forma'!$E341:G341),'Phase II Pro Forma'!H$336-SUM(H$339:H340))</f>
        <v>8832339.7304545473</v>
      </c>
      <c r="I341" s="150">
        <f ca="1">+MIN('S&amp;U'!$I20-SUM('Phase II Pro Forma'!$E341:H341),'Phase II Pro Forma'!I$336-SUM(I$339:I340))</f>
        <v>0</v>
      </c>
      <c r="J341" s="150">
        <f ca="1">+MIN('S&amp;U'!$I20-SUM('Phase II Pro Forma'!$E341:I341),'Phase II Pro Forma'!J$336-SUM(J$339:J340))</f>
        <v>0</v>
      </c>
      <c r="K341" s="150">
        <f ca="1">+MIN('S&amp;U'!$I20-SUM('Phase II Pro Forma'!$E341:J341),'Phase II Pro Forma'!K$336-SUM(K$339:K340))</f>
        <v>0</v>
      </c>
      <c r="L341" s="150">
        <f ca="1">+MIN('S&amp;U'!$I20-SUM('Phase II Pro Forma'!$E341:K341),'Phase II Pro Forma'!L$336-SUM(L$339:L340))</f>
        <v>0</v>
      </c>
      <c r="M341" s="150">
        <f ca="1">+MIN('S&amp;U'!$I20-SUM('Phase II Pro Forma'!$E341:L341),'Phase II Pro Forma'!M$336-SUM(M$339:M340))</f>
        <v>0</v>
      </c>
      <c r="N341" s="150">
        <f ca="1">+MIN('S&amp;U'!$I20-SUM('Phase II Pro Forma'!$E341:M341),'Phase II Pro Forma'!N$336-SUM(N$339:N340))</f>
        <v>0</v>
      </c>
      <c r="O341" s="150">
        <f ca="1">+MIN('S&amp;U'!$I20-SUM('Phase II Pro Forma'!$E341:N341),'Phase II Pro Forma'!O$336-SUM(O$339:O340))</f>
        <v>0</v>
      </c>
      <c r="P341" s="150">
        <f ca="1">+MIN('S&amp;U'!$I20-SUM('Phase II Pro Forma'!$E341:O341),'Phase II Pro Forma'!P$336-SUM(P$339:P340))</f>
        <v>0</v>
      </c>
      <c r="Q341" s="150">
        <f ca="1">+MIN('S&amp;U'!$I20-SUM('Phase II Pro Forma'!$E341:P341),'Phase II Pro Forma'!Q$336-SUM(Q$339:Q340))</f>
        <v>0</v>
      </c>
      <c r="R341" s="150">
        <f ca="1">+MIN('S&amp;U'!$I20-SUM('Phase II Pro Forma'!$E341:Q341),'Phase II Pro Forma'!R$336-SUM(R$339:R340))</f>
        <v>0</v>
      </c>
      <c r="S341" s="150">
        <f ca="1">+MIN('S&amp;U'!$I20-SUM('Phase II Pro Forma'!$E341:R341),'Phase II Pro Forma'!S$336-SUM(S$339:S340))</f>
        <v>0</v>
      </c>
      <c r="T341" s="150">
        <f ca="1">+MIN('S&amp;U'!$I20-SUM('Phase II Pro Forma'!$E341:S341),'Phase II Pro Forma'!T$336-SUM(T$339:T340))</f>
        <v>0</v>
      </c>
      <c r="U341" s="150">
        <f ca="1">+MIN('S&amp;U'!$I20-SUM('Phase II Pro Forma'!$E341:T341),'Phase II Pro Forma'!U$336-SUM(U$339:U340))</f>
        <v>0</v>
      </c>
      <c r="V341" s="150">
        <f ca="1">+MIN('S&amp;U'!$I20-SUM('Phase II Pro Forma'!$E341:U341),'Phase II Pro Forma'!V$336-SUM(V$339:V340))</f>
        <v>0</v>
      </c>
      <c r="W341" s="150">
        <f ca="1">+MIN('S&amp;U'!$I20-SUM('Phase II Pro Forma'!$E341:V341),'Phase II Pro Forma'!W$336-SUM(W$339:W340))</f>
        <v>0</v>
      </c>
      <c r="X341" s="150">
        <f ca="1">+MIN('S&amp;U'!$I20-SUM('Phase II Pro Forma'!$E341:W341),'Phase II Pro Forma'!X$336-SUM(X$339:X340))</f>
        <v>0</v>
      </c>
      <c r="Y341" s="150">
        <f ca="1">+MIN('S&amp;U'!$I20-SUM('Phase II Pro Forma'!$E341:X341),'Phase II Pro Forma'!Y$336-SUM(Y$339:Y340))</f>
        <v>0</v>
      </c>
      <c r="Z341" s="150">
        <f ca="1">+MIN('S&amp;U'!$I20-SUM('Phase II Pro Forma'!$E341:Y341),'Phase II Pro Forma'!Z$336-SUM(Z$339:Z340))</f>
        <v>0</v>
      </c>
    </row>
    <row r="342" spans="2:26" x14ac:dyDescent="0.2">
      <c r="B342" s="32" t="s">
        <v>100</v>
      </c>
      <c r="D342" s="47">
        <f t="shared" ca="1" si="185"/>
        <v>6.2400000000000012E-5</v>
      </c>
      <c r="E342" s="47"/>
      <c r="F342" s="150">
        <f ca="1">+MIN('S&amp;U'!$I21-SUM('Phase II Pro Forma'!$E342:E342),'Phase II Pro Forma'!F$336-SUM(F$339:F341))</f>
        <v>0</v>
      </c>
      <c r="G342" s="150">
        <f ca="1">+MIN('S&amp;U'!$I21-SUM('Phase II Pro Forma'!$E342:F342),'Phase II Pro Forma'!G$336-SUM(G$339:G341))</f>
        <v>0</v>
      </c>
      <c r="H342" s="150">
        <f ca="1">+MIN('S&amp;U'!$I21-SUM('Phase II Pro Forma'!$E342:G342),'Phase II Pro Forma'!H$336-SUM(H$339:H341))</f>
        <v>6.2400000000000012E-5</v>
      </c>
      <c r="I342" s="150">
        <f ca="1">+MIN('S&amp;U'!$I21-SUM('Phase II Pro Forma'!$E342:H342),'Phase II Pro Forma'!I$336-SUM(I$339:I341))</f>
        <v>0</v>
      </c>
      <c r="J342" s="150">
        <f ca="1">+MIN('S&amp;U'!$I21-SUM('Phase II Pro Forma'!$E342:I342),'Phase II Pro Forma'!J$336-SUM(J$339:J341))</f>
        <v>0</v>
      </c>
      <c r="K342" s="150">
        <f ca="1">+MIN('S&amp;U'!$I21-SUM('Phase II Pro Forma'!$E342:J342),'Phase II Pro Forma'!K$336-SUM(K$339:K341))</f>
        <v>0</v>
      </c>
      <c r="L342" s="150">
        <f ca="1">+MIN('S&amp;U'!$I21-SUM('Phase II Pro Forma'!$E342:K342),'Phase II Pro Forma'!L$336-SUM(L$339:L341))</f>
        <v>0</v>
      </c>
      <c r="M342" s="150">
        <f ca="1">+MIN('S&amp;U'!$I21-SUM('Phase II Pro Forma'!$E342:L342),'Phase II Pro Forma'!M$336-SUM(M$339:M341))</f>
        <v>0</v>
      </c>
      <c r="N342" s="150">
        <f ca="1">+MIN('S&amp;U'!$I21-SUM('Phase II Pro Forma'!$E342:M342),'Phase II Pro Forma'!N$336-SUM(N$339:N341))</f>
        <v>0</v>
      </c>
      <c r="O342" s="150">
        <f ca="1">+MIN('S&amp;U'!$I21-SUM('Phase II Pro Forma'!$E342:N342),'Phase II Pro Forma'!O$336-SUM(O$339:O341))</f>
        <v>0</v>
      </c>
      <c r="P342" s="150">
        <f ca="1">+MIN('S&amp;U'!$I21-SUM('Phase II Pro Forma'!$E342:O342),'Phase II Pro Forma'!P$336-SUM(P$339:P341))</f>
        <v>0</v>
      </c>
      <c r="Q342" s="150">
        <f ca="1">+MIN('S&amp;U'!$I21-SUM('Phase II Pro Forma'!$E342:P342),'Phase II Pro Forma'!Q$336-SUM(Q$339:Q341))</f>
        <v>0</v>
      </c>
      <c r="R342" s="150">
        <f ca="1">+MIN('S&amp;U'!$I21-SUM('Phase II Pro Forma'!$E342:Q342),'Phase II Pro Forma'!R$336-SUM(R$339:R341))</f>
        <v>0</v>
      </c>
      <c r="S342" s="150">
        <f ca="1">+MIN('S&amp;U'!$I21-SUM('Phase II Pro Forma'!$E342:R342),'Phase II Pro Forma'!S$336-SUM(S$339:S341))</f>
        <v>0</v>
      </c>
      <c r="T342" s="150">
        <f ca="1">+MIN('S&amp;U'!$I21-SUM('Phase II Pro Forma'!$E342:S342),'Phase II Pro Forma'!T$336-SUM(T$339:T341))</f>
        <v>0</v>
      </c>
      <c r="U342" s="150">
        <f ca="1">+MIN('S&amp;U'!$I21-SUM('Phase II Pro Forma'!$E342:T342),'Phase II Pro Forma'!U$336-SUM(U$339:U341))</f>
        <v>0</v>
      </c>
      <c r="V342" s="150">
        <f ca="1">+MIN('S&amp;U'!$I21-SUM('Phase II Pro Forma'!$E342:U342),'Phase II Pro Forma'!V$336-SUM(V$339:V341))</f>
        <v>0</v>
      </c>
      <c r="W342" s="150">
        <f ca="1">+MIN('S&amp;U'!$I21-SUM('Phase II Pro Forma'!$E342:V342),'Phase II Pro Forma'!W$336-SUM(W$339:W341))</f>
        <v>0</v>
      </c>
      <c r="X342" s="150">
        <f ca="1">+MIN('S&amp;U'!$I21-SUM('Phase II Pro Forma'!$E342:W342),'Phase II Pro Forma'!X$336-SUM(X$339:X341))</f>
        <v>0</v>
      </c>
      <c r="Y342" s="150">
        <f ca="1">+MIN('S&amp;U'!$I21-SUM('Phase II Pro Forma'!$E342:X342),'Phase II Pro Forma'!Y$336-SUM(Y$339:Y341))</f>
        <v>0</v>
      </c>
      <c r="Z342" s="150">
        <f ca="1">+MIN('S&amp;U'!$I21-SUM('Phase II Pro Forma'!$E342:Y342),'Phase II Pro Forma'!Z$336-SUM(Z$339:Z341))</f>
        <v>0</v>
      </c>
    </row>
    <row r="343" spans="2:26" x14ac:dyDescent="0.2">
      <c r="B343" s="32" t="s">
        <v>613</v>
      </c>
      <c r="D343" s="47">
        <f t="shared" ref="D343" ca="1" si="186">+SUM(F343:Z343)</f>
        <v>0</v>
      </c>
      <c r="E343" s="47"/>
      <c r="F343" s="150">
        <f ca="1">+MIN('S&amp;U'!$I22-SUM('Phase II Pro Forma'!$E343:E343),'Phase II Pro Forma'!F$336-SUM(F$339:F342))</f>
        <v>0</v>
      </c>
      <c r="G343" s="150">
        <f ca="1">+MIN('S&amp;U'!$I22-SUM('Phase II Pro Forma'!$E343:F343),'Phase II Pro Forma'!G$336-SUM(G$339:G342))</f>
        <v>0</v>
      </c>
      <c r="H343" s="150">
        <f ca="1">+MIN('S&amp;U'!$I22-SUM('Phase II Pro Forma'!$E343:G343),'Phase II Pro Forma'!H$336-SUM(H$339:H342))</f>
        <v>0</v>
      </c>
      <c r="I343" s="150">
        <f ca="1">+MIN('S&amp;U'!$I22-SUM('Phase II Pro Forma'!$E343:H343),'Phase II Pro Forma'!I$336-SUM(I$339:I342))</f>
        <v>0</v>
      </c>
      <c r="J343" s="150">
        <f ca="1">+MIN('S&amp;U'!$I22-SUM('Phase II Pro Forma'!$E343:I343),'Phase II Pro Forma'!J$336-SUM(J$339:J342))</f>
        <v>0</v>
      </c>
      <c r="K343" s="150">
        <f ca="1">+MIN('S&amp;U'!$I22-SUM('Phase II Pro Forma'!$E343:J343),'Phase II Pro Forma'!K$336-SUM(K$339:K342))</f>
        <v>0</v>
      </c>
      <c r="L343" s="150">
        <f ca="1">+MIN('S&amp;U'!$I22-SUM('Phase II Pro Forma'!$E343:K343),'Phase II Pro Forma'!L$336-SUM(L$339:L342))</f>
        <v>0</v>
      </c>
      <c r="M343" s="150">
        <f ca="1">+MIN('S&amp;U'!$I22-SUM('Phase II Pro Forma'!$E343:L343),'Phase II Pro Forma'!M$336-SUM(M$339:M342))</f>
        <v>0</v>
      </c>
      <c r="N343" s="150">
        <f ca="1">+MIN('S&amp;U'!$I22-SUM('Phase II Pro Forma'!$E343:M343),'Phase II Pro Forma'!N$336-SUM(N$339:N342))</f>
        <v>0</v>
      </c>
      <c r="O343" s="150">
        <f ca="1">+MIN('S&amp;U'!$I22-SUM('Phase II Pro Forma'!$E343:N343),'Phase II Pro Forma'!O$336-SUM(O$339:O342))</f>
        <v>0</v>
      </c>
      <c r="P343" s="150">
        <f ca="1">+MIN('S&amp;U'!$I22-SUM('Phase II Pro Forma'!$E343:O343),'Phase II Pro Forma'!P$336-SUM(P$339:P342))</f>
        <v>0</v>
      </c>
      <c r="Q343" s="150">
        <f ca="1">+MIN('S&amp;U'!$I22-SUM('Phase II Pro Forma'!$E343:P343),'Phase II Pro Forma'!Q$336-SUM(Q$339:Q342))</f>
        <v>0</v>
      </c>
      <c r="R343" s="150">
        <f ca="1">+MIN('S&amp;U'!$I22-SUM('Phase II Pro Forma'!$E343:Q343),'Phase II Pro Forma'!R$336-SUM(R$339:R342))</f>
        <v>0</v>
      </c>
      <c r="S343" s="150">
        <f ca="1">+MIN('S&amp;U'!$I22-SUM('Phase II Pro Forma'!$E343:R343),'Phase II Pro Forma'!S$336-SUM(S$339:S342))</f>
        <v>0</v>
      </c>
      <c r="T343" s="150">
        <f ca="1">+MIN('S&amp;U'!$I22-SUM('Phase II Pro Forma'!$E343:S343),'Phase II Pro Forma'!T$336-SUM(T$339:T342))</f>
        <v>0</v>
      </c>
      <c r="U343" s="150">
        <f ca="1">+MIN('S&amp;U'!$I22-SUM('Phase II Pro Forma'!$E343:T343),'Phase II Pro Forma'!U$336-SUM(U$339:U342))</f>
        <v>0</v>
      </c>
      <c r="V343" s="150">
        <f ca="1">+MIN('S&amp;U'!$I22-SUM('Phase II Pro Forma'!$E343:U343),'Phase II Pro Forma'!V$336-SUM(V$339:V342))</f>
        <v>0</v>
      </c>
      <c r="W343" s="150">
        <f ca="1">+MIN('S&amp;U'!$I22-SUM('Phase II Pro Forma'!$E343:V343),'Phase II Pro Forma'!W$336-SUM(W$339:W342))</f>
        <v>0</v>
      </c>
      <c r="X343" s="150">
        <f ca="1">+MIN('S&amp;U'!$I22-SUM('Phase II Pro Forma'!$E343:W343),'Phase II Pro Forma'!X$336-SUM(X$339:X342))</f>
        <v>0</v>
      </c>
      <c r="Y343" s="150">
        <f ca="1">+MIN('S&amp;U'!$I22-SUM('Phase II Pro Forma'!$E343:X343),'Phase II Pro Forma'!Y$336-SUM(Y$339:Y342))</f>
        <v>0</v>
      </c>
      <c r="Z343" s="150">
        <f ca="1">+MIN('S&amp;U'!$I22-SUM('Phase II Pro Forma'!$E343:Y343),'Phase II Pro Forma'!Z$336-SUM(Z$339:Z342))</f>
        <v>0</v>
      </c>
    </row>
    <row r="344" spans="2:26" x14ac:dyDescent="0.2">
      <c r="B344" s="32" t="s">
        <v>330</v>
      </c>
      <c r="D344" s="47">
        <f t="shared" si="185"/>
        <v>0</v>
      </c>
      <c r="E344" s="47"/>
      <c r="F344" s="150">
        <v>0</v>
      </c>
      <c r="G344" s="150">
        <v>0</v>
      </c>
      <c r="H344" s="150">
        <v>0</v>
      </c>
      <c r="I344" s="150">
        <v>0</v>
      </c>
      <c r="J344" s="150">
        <v>0</v>
      </c>
      <c r="K344" s="150">
        <v>0</v>
      </c>
      <c r="L344" s="150">
        <v>0</v>
      </c>
      <c r="M344" s="150">
        <v>0</v>
      </c>
      <c r="N344" s="150">
        <v>0</v>
      </c>
      <c r="O344" s="150">
        <v>0</v>
      </c>
      <c r="P344" s="150">
        <v>0</v>
      </c>
      <c r="Q344" s="150">
        <v>0</v>
      </c>
      <c r="R344" s="150">
        <v>0</v>
      </c>
      <c r="S344" s="150">
        <v>0</v>
      </c>
      <c r="T344" s="150">
        <v>0</v>
      </c>
      <c r="U344" s="150">
        <v>0</v>
      </c>
      <c r="V344" s="150">
        <v>0</v>
      </c>
      <c r="W344" s="150">
        <v>0</v>
      </c>
      <c r="X344" s="150">
        <v>0</v>
      </c>
      <c r="Y344" s="150">
        <v>0</v>
      </c>
      <c r="Z344" s="150">
        <v>0</v>
      </c>
    </row>
    <row r="345" spans="2:26" x14ac:dyDescent="0.2">
      <c r="B345" s="32" t="s">
        <v>98</v>
      </c>
      <c r="D345" s="47">
        <f t="shared" ca="1" si="185"/>
        <v>43584912.158747993</v>
      </c>
      <c r="E345" s="47"/>
      <c r="F345" s="150">
        <f ca="1">+MIN('S&amp;U'!$I26-SUM('Phase II Pro Forma'!$E345:E345),'Phase II Pro Forma'!F$336-SUM(F$339:F344))</f>
        <v>0</v>
      </c>
      <c r="G345" s="150">
        <f ca="1">+MIN('S&amp;U'!$I26-SUM('Phase II Pro Forma'!$E345:F345),'Phase II Pro Forma'!G$336-SUM(G$339:G344))</f>
        <v>0</v>
      </c>
      <c r="H345" s="150">
        <f ca="1">+MIN('S&amp;U'!$I26-SUM('Phase II Pro Forma'!$E345:G345),'Phase II Pro Forma'!H$336-SUM(H$339:H344))</f>
        <v>40367435.805724211</v>
      </c>
      <c r="I345" s="150">
        <f ca="1">+MIN('S&amp;U'!$I26-SUM('Phase II Pro Forma'!$E345:H345),'Phase II Pro Forma'!I$336-SUM(I$339:I344))</f>
        <v>1608738.1765118907</v>
      </c>
      <c r="J345" s="150">
        <f ca="1">+MIN('S&amp;U'!$I26-SUM('Phase II Pro Forma'!$E345:I345),'Phase II Pro Forma'!J$336-SUM(J$339:J344))</f>
        <v>1608738.1765118907</v>
      </c>
      <c r="K345" s="150">
        <f ca="1">+MIN('S&amp;U'!$I26-SUM('Phase II Pro Forma'!$E345:J345),'Phase II Pro Forma'!K$336-SUM(K$339:K344))</f>
        <v>0</v>
      </c>
      <c r="L345" s="150">
        <f ca="1">+MIN('S&amp;U'!$I26-SUM('Phase II Pro Forma'!$E345:K345),'Phase II Pro Forma'!L$336-SUM(L$339:L344))</f>
        <v>0</v>
      </c>
      <c r="M345" s="150">
        <f ca="1">+MIN('S&amp;U'!$I26-SUM('Phase II Pro Forma'!$E345:L345),'Phase II Pro Forma'!M$336-SUM(M$339:M344))</f>
        <v>0</v>
      </c>
      <c r="N345" s="150">
        <f ca="1">+MIN('S&amp;U'!$I26-SUM('Phase II Pro Forma'!$E345:M345),'Phase II Pro Forma'!N$336-SUM(N$339:N344))</f>
        <v>0</v>
      </c>
      <c r="O345" s="150">
        <f ca="1">+MIN('S&amp;U'!$I26-SUM('Phase II Pro Forma'!$E345:N345),'Phase II Pro Forma'!O$336-SUM(O$339:O344))</f>
        <v>0</v>
      </c>
      <c r="P345" s="150">
        <f ca="1">+MIN('S&amp;U'!$I26-SUM('Phase II Pro Forma'!$E345:O345),'Phase II Pro Forma'!P$336-SUM(P$339:P344))</f>
        <v>0</v>
      </c>
      <c r="Q345" s="150">
        <f ca="1">+MIN('S&amp;U'!$I26-SUM('Phase II Pro Forma'!$E345:P345),'Phase II Pro Forma'!Q$336-SUM(Q$339:Q344))</f>
        <v>0</v>
      </c>
      <c r="R345" s="150">
        <f ca="1">+MIN('S&amp;U'!$I26-SUM('Phase II Pro Forma'!$E345:Q345),'Phase II Pro Forma'!R$336-SUM(R$339:R344))</f>
        <v>0</v>
      </c>
      <c r="S345" s="150">
        <f ca="1">+MIN('S&amp;U'!$I26-SUM('Phase II Pro Forma'!$E345:R345),'Phase II Pro Forma'!S$336-SUM(S$339:S344))</f>
        <v>0</v>
      </c>
      <c r="T345" s="150">
        <f ca="1">+MIN('S&amp;U'!$I26-SUM('Phase II Pro Forma'!$E345:S345),'Phase II Pro Forma'!T$336-SUM(T$339:T344))</f>
        <v>0</v>
      </c>
      <c r="U345" s="150">
        <f ca="1">+MIN('S&amp;U'!$I26-SUM('Phase II Pro Forma'!$E345:T345),'Phase II Pro Forma'!U$336-SUM(U$339:U344))</f>
        <v>0</v>
      </c>
      <c r="V345" s="150">
        <f ca="1">+MIN('S&amp;U'!$I26-SUM('Phase II Pro Forma'!$E345:U345),'Phase II Pro Forma'!V$336-SUM(V$339:V344))</f>
        <v>0</v>
      </c>
      <c r="W345" s="150">
        <f ca="1">+MIN('S&amp;U'!$I26-SUM('Phase II Pro Forma'!$E345:V345),'Phase II Pro Forma'!W$336-SUM(W$339:W344))</f>
        <v>0</v>
      </c>
      <c r="X345" s="150">
        <f ca="1">+MIN('S&amp;U'!$I26-SUM('Phase II Pro Forma'!$E345:W345),'Phase II Pro Forma'!X$336-SUM(X$339:X344))</f>
        <v>0</v>
      </c>
      <c r="Y345" s="150">
        <f ca="1">+MIN('S&amp;U'!$I26-SUM('Phase II Pro Forma'!$E345:X345),'Phase II Pro Forma'!Y$336-SUM(Y$339:Y344))</f>
        <v>0</v>
      </c>
      <c r="Z345" s="150">
        <f ca="1">+MIN('S&amp;U'!$I26-SUM('Phase II Pro Forma'!$E345:Y345),'Phase II Pro Forma'!Z$336-SUM(Z$339:Z344))</f>
        <v>0</v>
      </c>
    </row>
    <row r="346" spans="2:26" x14ac:dyDescent="0.2">
      <c r="B346" s="137" t="s">
        <v>377</v>
      </c>
      <c r="C346" s="137"/>
      <c r="D346" s="138">
        <f t="shared" ca="1" si="185"/>
        <v>205695630.20773023</v>
      </c>
      <c r="E346" s="138"/>
      <c r="F346" s="138">
        <f t="shared" ref="F346:Z346" ca="1" si="187">+SUM(F339:F345)</f>
        <v>18873780.060831025</v>
      </c>
      <c r="G346" s="138">
        <f t="shared" ca="1" si="187"/>
        <v>91802186.896937713</v>
      </c>
      <c r="H346" s="138">
        <f t="shared" ca="1" si="187"/>
        <v>91802186.896937713</v>
      </c>
      <c r="I346" s="138">
        <f t="shared" ca="1" si="187"/>
        <v>1608738.1765118907</v>
      </c>
      <c r="J346" s="138">
        <f t="shared" ca="1" si="187"/>
        <v>1608738.1765118907</v>
      </c>
      <c r="K346" s="138">
        <f t="shared" ca="1" si="187"/>
        <v>0</v>
      </c>
      <c r="L346" s="138">
        <f t="shared" ca="1" si="187"/>
        <v>0</v>
      </c>
      <c r="M346" s="138">
        <f t="shared" ca="1" si="187"/>
        <v>0</v>
      </c>
      <c r="N346" s="138">
        <f t="shared" ca="1" si="187"/>
        <v>0</v>
      </c>
      <c r="O346" s="138">
        <f t="shared" ca="1" si="187"/>
        <v>0</v>
      </c>
      <c r="P346" s="138">
        <f t="shared" ca="1" si="187"/>
        <v>0</v>
      </c>
      <c r="Q346" s="138">
        <f t="shared" ca="1" si="187"/>
        <v>0</v>
      </c>
      <c r="R346" s="138">
        <f t="shared" ca="1" si="187"/>
        <v>0</v>
      </c>
      <c r="S346" s="138">
        <f t="shared" ca="1" si="187"/>
        <v>0</v>
      </c>
      <c r="T346" s="138">
        <f t="shared" ca="1" si="187"/>
        <v>0</v>
      </c>
      <c r="U346" s="138">
        <f t="shared" ca="1" si="187"/>
        <v>0</v>
      </c>
      <c r="V346" s="138">
        <f t="shared" ca="1" si="187"/>
        <v>0</v>
      </c>
      <c r="W346" s="138">
        <f t="shared" ca="1" si="187"/>
        <v>0</v>
      </c>
      <c r="X346" s="138">
        <f t="shared" ca="1" si="187"/>
        <v>0</v>
      </c>
      <c r="Y346" s="138">
        <f t="shared" ca="1" si="187"/>
        <v>0</v>
      </c>
      <c r="Z346" s="138">
        <f t="shared" ca="1" si="187"/>
        <v>0</v>
      </c>
    </row>
    <row r="348" spans="2:26" x14ac:dyDescent="0.2">
      <c r="B348" s="147" t="s">
        <v>348</v>
      </c>
    </row>
    <row r="349" spans="2:26" x14ac:dyDescent="0.2">
      <c r="B349" s="32" t="s">
        <v>349</v>
      </c>
      <c r="D349" s="47">
        <f ca="1">+SUM(F349:Z349)</f>
        <v>-153278378.31846529</v>
      </c>
      <c r="E349" s="47"/>
      <c r="F349" s="33">
        <f ca="1">-F339</f>
        <v>-18873780.060831025</v>
      </c>
      <c r="G349" s="33">
        <f t="shared" ref="G349:Z349" ca="1" si="188">-G339</f>
        <v>-91802186.896937713</v>
      </c>
      <c r="H349" s="33">
        <f t="shared" ca="1" si="188"/>
        <v>-42602411.360696554</v>
      </c>
      <c r="I349" s="33">
        <f t="shared" ca="1" si="188"/>
        <v>0</v>
      </c>
      <c r="J349" s="33">
        <f t="shared" ca="1" si="188"/>
        <v>0</v>
      </c>
      <c r="K349" s="33">
        <f t="shared" ca="1" si="188"/>
        <v>0</v>
      </c>
      <c r="L349" s="33">
        <f t="shared" ca="1" si="188"/>
        <v>0</v>
      </c>
      <c r="M349" s="33">
        <f t="shared" ca="1" si="188"/>
        <v>0</v>
      </c>
      <c r="N349" s="33">
        <f t="shared" ca="1" si="188"/>
        <v>0</v>
      </c>
      <c r="O349" s="33">
        <f t="shared" ca="1" si="188"/>
        <v>0</v>
      </c>
      <c r="P349" s="33">
        <f t="shared" ca="1" si="188"/>
        <v>0</v>
      </c>
      <c r="Q349" s="33">
        <f t="shared" ca="1" si="188"/>
        <v>0</v>
      </c>
      <c r="R349" s="33">
        <f t="shared" ca="1" si="188"/>
        <v>0</v>
      </c>
      <c r="S349" s="33">
        <f t="shared" ca="1" si="188"/>
        <v>0</v>
      </c>
      <c r="T349" s="33">
        <f t="shared" ca="1" si="188"/>
        <v>0</v>
      </c>
      <c r="U349" s="33">
        <f t="shared" ca="1" si="188"/>
        <v>0</v>
      </c>
      <c r="V349" s="33">
        <f t="shared" ca="1" si="188"/>
        <v>0</v>
      </c>
      <c r="W349" s="33">
        <f t="shared" ca="1" si="188"/>
        <v>0</v>
      </c>
      <c r="X349" s="33">
        <f t="shared" ca="1" si="188"/>
        <v>0</v>
      </c>
      <c r="Y349" s="33">
        <f t="shared" ca="1" si="188"/>
        <v>0</v>
      </c>
      <c r="Z349" s="33">
        <f t="shared" ca="1" si="188"/>
        <v>0</v>
      </c>
    </row>
    <row r="350" spans="2:26" x14ac:dyDescent="0.2">
      <c r="B350" s="32" t="s">
        <v>350</v>
      </c>
      <c r="D350" s="47">
        <f t="shared" ref="D350" ca="1" si="189">+SUM(F350:Z350)</f>
        <v>342165571.59682012</v>
      </c>
      <c r="E350" s="47"/>
      <c r="F350" s="150">
        <f ca="1">+IF(YEAR(F$140)&lt;=YEAR('Assumptions and Sensis'!$G$51),F321+F326,0)</f>
        <v>0</v>
      </c>
      <c r="G350" s="150">
        <f ca="1">+IF(YEAR(G$140)&lt;=YEAR('Assumptions and Sensis'!$G$51),G321+G326,0)</f>
        <v>0</v>
      </c>
      <c r="H350" s="150">
        <f ca="1">+IF(YEAR(H$140)&lt;=YEAR('Assumptions and Sensis'!$G$51),H321+H326,0)</f>
        <v>0</v>
      </c>
      <c r="I350" s="150">
        <f ca="1">+IF(YEAR(I$140)&lt;=YEAR('Assumptions and Sensis'!$G$51),I321+I326,0)</f>
        <v>6946822.2629323117</v>
      </c>
      <c r="J350" s="150">
        <f ca="1">+IF(YEAR(J$140)&lt;=YEAR('Assumptions and Sensis'!$G$51),J321+J326,0)</f>
        <v>14485528.459140714</v>
      </c>
      <c r="K350" s="150">
        <f ca="1">+IF(YEAR(K$140)&lt;=YEAR('Assumptions and Sensis'!$G$51),K321+K326,0)</f>
        <v>14919107.173988493</v>
      </c>
      <c r="L350" s="150">
        <f ca="1">+IF(YEAR(L$140)&lt;=YEAR('Assumptions and Sensis'!$G$51),L321+L326,0)</f>
        <v>15824066.265007693</v>
      </c>
      <c r="M350" s="150">
        <f ca="1">+IF(YEAR(M$140)&lt;=YEAR('Assumptions and Sensis'!$G$51),M321+M326,0)</f>
        <v>16063300.346618453</v>
      </c>
      <c r="N350" s="150">
        <f ca="1">+IF(YEAR(N$140)&lt;=YEAR('Assumptions and Sensis'!$G$51),N321+N326,0)</f>
        <v>273926747.08913237</v>
      </c>
      <c r="O350" s="150">
        <f>+IF(YEAR(O$140)&lt;=YEAR('Assumptions and Sensis'!$G$51),O321+O326,0)</f>
        <v>0</v>
      </c>
      <c r="P350" s="150">
        <f>+IF(YEAR(P$140)&lt;=YEAR('Assumptions and Sensis'!$G$51),P321+P326,0)</f>
        <v>0</v>
      </c>
      <c r="Q350" s="150">
        <f>+IF(YEAR(Q$140)&lt;=YEAR('Assumptions and Sensis'!$G$51),Q321+Q326,0)</f>
        <v>0</v>
      </c>
      <c r="R350" s="150">
        <f>+IF(YEAR(R$140)&lt;=YEAR('Assumptions and Sensis'!$G$51),R321+R326,0)</f>
        <v>0</v>
      </c>
      <c r="S350" s="150">
        <f>+IF(YEAR(S$140)&lt;=YEAR('Assumptions and Sensis'!$G$51),S321+S326,0)</f>
        <v>0</v>
      </c>
      <c r="T350" s="150">
        <f>+IF(YEAR(T$140)&lt;=YEAR('Assumptions and Sensis'!$G$51),T321+T326,0)</f>
        <v>0</v>
      </c>
      <c r="U350" s="150">
        <f>+IF(YEAR(U$140)&lt;=YEAR('Assumptions and Sensis'!$G$51),U321+U326,0)</f>
        <v>0</v>
      </c>
      <c r="V350" s="150">
        <f>+IF(YEAR(V$140)&lt;=YEAR('Assumptions and Sensis'!$G$51),V321+V326,0)</f>
        <v>0</v>
      </c>
      <c r="W350" s="150">
        <f>+IF(YEAR(W$140)&lt;=YEAR('Assumptions and Sensis'!$G$51),W321+W326,0)</f>
        <v>0</v>
      </c>
      <c r="X350" s="150">
        <f>+IF(YEAR(X$140)&lt;=YEAR('Assumptions and Sensis'!$G$51),X321+X326,0)</f>
        <v>0</v>
      </c>
      <c r="Y350" s="150">
        <f>+IF(YEAR(Y$140)&lt;=YEAR('Assumptions and Sensis'!$G$51),Y321+Y326,0)</f>
        <v>0</v>
      </c>
      <c r="Z350" s="150">
        <f>+IF(YEAR(Z$140)&lt;=YEAR('Assumptions and Sensis'!$G$51),Z321+Z326,0)</f>
        <v>0</v>
      </c>
    </row>
    <row r="351" spans="2:26" x14ac:dyDescent="0.2">
      <c r="B351" s="137" t="s">
        <v>351</v>
      </c>
      <c r="C351" s="137"/>
      <c r="D351" s="138">
        <f ca="1">+SUM(F351:Z351)</f>
        <v>188887193.27835479</v>
      </c>
      <c r="E351" s="138"/>
      <c r="F351" s="138">
        <f ca="1">+SUM(F349:F350)</f>
        <v>-18873780.060831025</v>
      </c>
      <c r="G351" s="138">
        <f t="shared" ref="G351:Z351" ca="1" si="190">+SUM(G349:G350)</f>
        <v>-91802186.896937713</v>
      </c>
      <c r="H351" s="138">
        <f t="shared" ca="1" si="190"/>
        <v>-42602411.360696554</v>
      </c>
      <c r="I351" s="138">
        <f t="shared" ca="1" si="190"/>
        <v>6946822.2629323117</v>
      </c>
      <c r="J351" s="138">
        <f t="shared" ca="1" si="190"/>
        <v>14485528.459140714</v>
      </c>
      <c r="K351" s="138">
        <f t="shared" ca="1" si="190"/>
        <v>14919107.173988493</v>
      </c>
      <c r="L351" s="138">
        <f t="shared" ca="1" si="190"/>
        <v>15824066.265007693</v>
      </c>
      <c r="M351" s="138">
        <f t="shared" ca="1" si="190"/>
        <v>16063300.346618453</v>
      </c>
      <c r="N351" s="138">
        <f t="shared" ca="1" si="190"/>
        <v>273926747.08913237</v>
      </c>
      <c r="O351" s="138">
        <f t="shared" ca="1" si="190"/>
        <v>0</v>
      </c>
      <c r="P351" s="138">
        <f t="shared" ca="1" si="190"/>
        <v>0</v>
      </c>
      <c r="Q351" s="138">
        <f t="shared" ca="1" si="190"/>
        <v>0</v>
      </c>
      <c r="R351" s="138">
        <f t="shared" ca="1" si="190"/>
        <v>0</v>
      </c>
      <c r="S351" s="138">
        <f t="shared" ca="1" si="190"/>
        <v>0</v>
      </c>
      <c r="T351" s="138">
        <f t="shared" ca="1" si="190"/>
        <v>0</v>
      </c>
      <c r="U351" s="138">
        <f t="shared" ca="1" si="190"/>
        <v>0</v>
      </c>
      <c r="V351" s="138">
        <f t="shared" ca="1" si="190"/>
        <v>0</v>
      </c>
      <c r="W351" s="138">
        <f t="shared" ca="1" si="190"/>
        <v>0</v>
      </c>
      <c r="X351" s="138">
        <f t="shared" ca="1" si="190"/>
        <v>0</v>
      </c>
      <c r="Y351" s="138">
        <f t="shared" ca="1" si="190"/>
        <v>0</v>
      </c>
      <c r="Z351" s="138">
        <f t="shared" ca="1" si="190"/>
        <v>0</v>
      </c>
    </row>
    <row r="353" spans="2:26" x14ac:dyDescent="0.2">
      <c r="B353" s="188" t="s">
        <v>393</v>
      </c>
      <c r="C353" s="188"/>
      <c r="D353" s="189">
        <f ca="1">+IRR(F351:Z351)</f>
        <v>0.13785665601235575</v>
      </c>
    </row>
    <row r="354" spans="2:26" x14ac:dyDescent="0.2">
      <c r="B354" s="140" t="s">
        <v>353</v>
      </c>
      <c r="C354" s="190"/>
      <c r="D354" s="141">
        <f ca="1">+SUM(F351:Z351)</f>
        <v>188887193.27835473</v>
      </c>
    </row>
    <row r="355" spans="2:26" x14ac:dyDescent="0.2">
      <c r="B355" s="192" t="s">
        <v>354</v>
      </c>
      <c r="C355" s="191"/>
      <c r="D355" s="193">
        <f ca="1">+D350/-D349</f>
        <v>2.2323146640154645</v>
      </c>
    </row>
    <row r="357" spans="2:26" x14ac:dyDescent="0.2">
      <c r="B357" s="36" t="s">
        <v>411</v>
      </c>
      <c r="C357" s="37"/>
      <c r="D357" s="37"/>
      <c r="E357" s="37"/>
      <c r="F357" s="135">
        <f>+F338</f>
        <v>44926</v>
      </c>
      <c r="G357" s="135">
        <f t="shared" ref="G357:Z357" si="191">+G338</f>
        <v>45291</v>
      </c>
      <c r="H357" s="135">
        <f t="shared" si="191"/>
        <v>45657</v>
      </c>
      <c r="I357" s="135">
        <f t="shared" si="191"/>
        <v>46022</v>
      </c>
      <c r="J357" s="135">
        <f t="shared" si="191"/>
        <v>46387</v>
      </c>
      <c r="K357" s="135">
        <f t="shared" si="191"/>
        <v>46752</v>
      </c>
      <c r="L357" s="135">
        <f t="shared" si="191"/>
        <v>47118</v>
      </c>
      <c r="M357" s="135">
        <f t="shared" si="191"/>
        <v>47483</v>
      </c>
      <c r="N357" s="135">
        <f t="shared" si="191"/>
        <v>47848</v>
      </c>
      <c r="O357" s="135">
        <f t="shared" si="191"/>
        <v>48213</v>
      </c>
      <c r="P357" s="135">
        <f t="shared" si="191"/>
        <v>48579</v>
      </c>
      <c r="Q357" s="135">
        <f t="shared" si="191"/>
        <v>48944</v>
      </c>
      <c r="R357" s="135">
        <f t="shared" si="191"/>
        <v>49309</v>
      </c>
      <c r="S357" s="135">
        <f t="shared" si="191"/>
        <v>49674</v>
      </c>
      <c r="T357" s="135">
        <f t="shared" si="191"/>
        <v>50040</v>
      </c>
      <c r="U357" s="135">
        <f t="shared" si="191"/>
        <v>50405</v>
      </c>
      <c r="V357" s="135">
        <f t="shared" si="191"/>
        <v>50770</v>
      </c>
      <c r="W357" s="135">
        <f t="shared" si="191"/>
        <v>51135</v>
      </c>
      <c r="X357" s="135">
        <f t="shared" si="191"/>
        <v>51501</v>
      </c>
      <c r="Y357" s="135">
        <f t="shared" si="191"/>
        <v>51866</v>
      </c>
      <c r="Z357" s="135">
        <f t="shared" si="191"/>
        <v>52231</v>
      </c>
    </row>
    <row r="358" spans="2:26" x14ac:dyDescent="0.2">
      <c r="B358" s="118"/>
    </row>
    <row r="359" spans="2:26" x14ac:dyDescent="0.2">
      <c r="B359" s="147" t="s">
        <v>407</v>
      </c>
      <c r="F359" s="147">
        <v>0</v>
      </c>
      <c r="G359" s="147">
        <f>+F359+1</f>
        <v>1</v>
      </c>
      <c r="H359" s="147">
        <f t="shared" ref="H359:Z359" si="192">+G359+1</f>
        <v>2</v>
      </c>
      <c r="I359" s="147">
        <f t="shared" si="192"/>
        <v>3</v>
      </c>
      <c r="J359" s="147">
        <f t="shared" si="192"/>
        <v>4</v>
      </c>
      <c r="K359" s="147">
        <f t="shared" si="192"/>
        <v>5</v>
      </c>
      <c r="L359" s="147">
        <f t="shared" si="192"/>
        <v>6</v>
      </c>
      <c r="M359" s="147">
        <f t="shared" si="192"/>
        <v>7</v>
      </c>
      <c r="N359" s="147">
        <f t="shared" si="192"/>
        <v>8</v>
      </c>
      <c r="O359" s="147">
        <f t="shared" si="192"/>
        <v>9</v>
      </c>
      <c r="P359" s="147">
        <f t="shared" si="192"/>
        <v>10</v>
      </c>
      <c r="Q359" s="147">
        <f t="shared" si="192"/>
        <v>11</v>
      </c>
      <c r="R359" s="147">
        <f t="shared" si="192"/>
        <v>12</v>
      </c>
      <c r="S359" s="147">
        <f t="shared" si="192"/>
        <v>13</v>
      </c>
      <c r="T359" s="147">
        <f t="shared" si="192"/>
        <v>14</v>
      </c>
      <c r="U359" s="147">
        <f t="shared" si="192"/>
        <v>15</v>
      </c>
      <c r="V359" s="147">
        <f t="shared" si="192"/>
        <v>16</v>
      </c>
      <c r="W359" s="147">
        <f t="shared" si="192"/>
        <v>17</v>
      </c>
      <c r="X359" s="147">
        <f t="shared" si="192"/>
        <v>18</v>
      </c>
      <c r="Y359" s="147">
        <f t="shared" si="192"/>
        <v>19</v>
      </c>
      <c r="Z359" s="147">
        <f t="shared" si="192"/>
        <v>20</v>
      </c>
    </row>
    <row r="360" spans="2:26" x14ac:dyDescent="0.2">
      <c r="B360" s="32" t="s">
        <v>398</v>
      </c>
      <c r="D360" s="47"/>
      <c r="E360" s="47"/>
      <c r="F360" s="33">
        <f ca="1">+F$349</f>
        <v>-18873780.060831025</v>
      </c>
      <c r="G360" s="33">
        <f t="shared" ref="G360:Z360" ca="1" si="193">+G$349</f>
        <v>-91802186.896937713</v>
      </c>
      <c r="H360" s="33">
        <f t="shared" ca="1" si="193"/>
        <v>-42602411.360696554</v>
      </c>
      <c r="I360" s="33">
        <f t="shared" ca="1" si="193"/>
        <v>0</v>
      </c>
      <c r="J360" s="33">
        <f t="shared" ca="1" si="193"/>
        <v>0</v>
      </c>
      <c r="K360" s="33">
        <f t="shared" ca="1" si="193"/>
        <v>0</v>
      </c>
      <c r="L360" s="33">
        <f t="shared" ca="1" si="193"/>
        <v>0</v>
      </c>
      <c r="M360" s="33">
        <f t="shared" ca="1" si="193"/>
        <v>0</v>
      </c>
      <c r="N360" s="33">
        <f t="shared" ca="1" si="193"/>
        <v>0</v>
      </c>
      <c r="O360" s="33">
        <f t="shared" ca="1" si="193"/>
        <v>0</v>
      </c>
      <c r="P360" s="33">
        <f t="shared" ca="1" si="193"/>
        <v>0</v>
      </c>
      <c r="Q360" s="33">
        <f t="shared" ca="1" si="193"/>
        <v>0</v>
      </c>
      <c r="R360" s="33">
        <f t="shared" ca="1" si="193"/>
        <v>0</v>
      </c>
      <c r="S360" s="33">
        <f t="shared" ca="1" si="193"/>
        <v>0</v>
      </c>
      <c r="T360" s="33">
        <f t="shared" ca="1" si="193"/>
        <v>0</v>
      </c>
      <c r="U360" s="33">
        <f t="shared" ca="1" si="193"/>
        <v>0</v>
      </c>
      <c r="V360" s="33">
        <f t="shared" ca="1" si="193"/>
        <v>0</v>
      </c>
      <c r="W360" s="33">
        <f t="shared" ca="1" si="193"/>
        <v>0</v>
      </c>
      <c r="X360" s="33">
        <f t="shared" ca="1" si="193"/>
        <v>0</v>
      </c>
      <c r="Y360" s="33">
        <f t="shared" ca="1" si="193"/>
        <v>0</v>
      </c>
      <c r="Z360" s="33">
        <f t="shared" ca="1" si="193"/>
        <v>0</v>
      </c>
    </row>
    <row r="361" spans="2:26" x14ac:dyDescent="0.2">
      <c r="B361" s="32" t="s">
        <v>416</v>
      </c>
      <c r="D361" s="47"/>
      <c r="E361" s="47"/>
      <c r="F361" s="150">
        <v>0</v>
      </c>
      <c r="G361" s="150">
        <v>0</v>
      </c>
      <c r="H361" s="150">
        <v>0</v>
      </c>
      <c r="I361" s="150">
        <v>0</v>
      </c>
      <c r="J361" s="150">
        <v>0</v>
      </c>
      <c r="K361" s="150">
        <v>0</v>
      </c>
      <c r="L361" s="150">
        <v>0</v>
      </c>
      <c r="M361" s="150">
        <v>0</v>
      </c>
      <c r="N361" s="150">
        <v>0</v>
      </c>
      <c r="O361" s="150">
        <v>0</v>
      </c>
      <c r="P361" s="150">
        <v>0</v>
      </c>
      <c r="Q361" s="150">
        <v>0</v>
      </c>
      <c r="R361" s="150">
        <v>0</v>
      </c>
      <c r="S361" s="150">
        <v>0</v>
      </c>
      <c r="T361" s="150">
        <v>0</v>
      </c>
      <c r="U361" s="150">
        <v>0</v>
      </c>
      <c r="V361" s="150">
        <v>0</v>
      </c>
      <c r="W361" s="150">
        <v>0</v>
      </c>
      <c r="X361" s="150">
        <v>0</v>
      </c>
      <c r="Y361" s="150">
        <v>0</v>
      </c>
      <c r="Z361" s="150">
        <v>0</v>
      </c>
    </row>
    <row r="362" spans="2:26" x14ac:dyDescent="0.2">
      <c r="B362" s="32" t="s">
        <v>417</v>
      </c>
      <c r="D362" s="47"/>
      <c r="E362" s="47"/>
      <c r="F362" s="150">
        <v>0</v>
      </c>
      <c r="G362" s="150">
        <v>0</v>
      </c>
      <c r="H362" s="150">
        <v>0</v>
      </c>
      <c r="I362" s="150">
        <v>0</v>
      </c>
      <c r="J362" s="150">
        <v>0</v>
      </c>
      <c r="K362" s="150">
        <v>0</v>
      </c>
      <c r="L362" s="150">
        <v>0</v>
      </c>
      <c r="M362" s="150">
        <v>0</v>
      </c>
      <c r="N362" s="150">
        <v>0</v>
      </c>
      <c r="O362" s="150">
        <v>0</v>
      </c>
      <c r="P362" s="150">
        <v>0</v>
      </c>
      <c r="Q362" s="150">
        <v>0</v>
      </c>
      <c r="R362" s="150">
        <v>0</v>
      </c>
      <c r="S362" s="150">
        <v>0</v>
      </c>
      <c r="T362" s="150">
        <v>0</v>
      </c>
      <c r="U362" s="150">
        <v>0</v>
      </c>
      <c r="V362" s="150">
        <v>0</v>
      </c>
      <c r="W362" s="150">
        <v>0</v>
      </c>
      <c r="X362" s="150">
        <v>0</v>
      </c>
      <c r="Y362" s="150">
        <v>0</v>
      </c>
      <c r="Z362" s="150">
        <v>0</v>
      </c>
    </row>
    <row r="363" spans="2:26" x14ac:dyDescent="0.2">
      <c r="B363" s="32" t="s">
        <v>408</v>
      </c>
      <c r="D363" s="47"/>
      <c r="E363" s="47"/>
      <c r="F363" s="150">
        <f ca="1">-SUM(F390:F391)*'Assumptions and Sensis'!$M$227</f>
        <v>0</v>
      </c>
      <c r="G363" s="150">
        <f ca="1">-SUM(G390:G391)*'Assumptions and Sensis'!$M$227</f>
        <v>0</v>
      </c>
      <c r="H363" s="150">
        <f ca="1">-SUM(H390:H391)*'Assumptions and Sensis'!$M$227</f>
        <v>0</v>
      </c>
      <c r="I363" s="150">
        <f ca="1">-SUM(I390:I391)*'Assumptions and Sensis'!$M$227</f>
        <v>-1458832.6752157856</v>
      </c>
      <c r="J363" s="150">
        <f ca="1">-SUM(J390:J391)*'Assumptions and Sensis'!$M$227</f>
        <v>-1687255.7149474642</v>
      </c>
      <c r="K363" s="150">
        <f ca="1">-SUM(K390:K391)*'Assumptions and Sensis'!$M$227</f>
        <v>-1778307.2450654984</v>
      </c>
      <c r="L363" s="150">
        <f ca="1">-SUM(L390:L391)*'Assumptions and Sensis'!$M$227</f>
        <v>-1968348.65417953</v>
      </c>
      <c r="M363" s="150">
        <f ca="1">-SUM(M390:M391)*'Assumptions and Sensis'!$M$227</f>
        <v>-2018587.8113177898</v>
      </c>
      <c r="N363" s="150">
        <f ca="1">-SUM(N390:N391)*'Assumptions and Sensis'!$M$227</f>
        <v>-2085596.2840256167</v>
      </c>
      <c r="O363" s="150">
        <f>-SUM(O390:O391)*'Assumptions and Sensis'!$M$227</f>
        <v>0</v>
      </c>
      <c r="P363" s="150">
        <f>-SUM(P390:P391)*'Assumptions and Sensis'!$M$227</f>
        <v>0</v>
      </c>
      <c r="Q363" s="150">
        <f>-SUM(Q390:Q391)*'Assumptions and Sensis'!$M$227</f>
        <v>0</v>
      </c>
      <c r="R363" s="150">
        <f>-SUM(R390:R391)*'Assumptions and Sensis'!$M$227</f>
        <v>0</v>
      </c>
      <c r="S363" s="150">
        <f>-SUM(S390:S391)*'Assumptions and Sensis'!$M$227</f>
        <v>0</v>
      </c>
      <c r="T363" s="150">
        <f>-SUM(T390:T391)*'Assumptions and Sensis'!$M$227</f>
        <v>0</v>
      </c>
      <c r="U363" s="150">
        <f>-SUM(U390:U391)*'Assumptions and Sensis'!$M$227</f>
        <v>0</v>
      </c>
      <c r="V363" s="150">
        <f>-SUM(V390:V391)*'Assumptions and Sensis'!$M$227</f>
        <v>0</v>
      </c>
      <c r="W363" s="150">
        <f>-SUM(W390:W391)*'Assumptions and Sensis'!$M$227</f>
        <v>0</v>
      </c>
      <c r="X363" s="150">
        <f>-SUM(X390:X391)*'Assumptions and Sensis'!$M$227</f>
        <v>0</v>
      </c>
      <c r="Y363" s="150">
        <f>-SUM(Y390:Y391)*'Assumptions and Sensis'!$M$227</f>
        <v>0</v>
      </c>
      <c r="Z363" s="150">
        <f>-SUM(Z390:Z391)*'Assumptions and Sensis'!$M$227</f>
        <v>0</v>
      </c>
    </row>
    <row r="364" spans="2:26" x14ac:dyDescent="0.2">
      <c r="B364" s="32" t="s">
        <v>409</v>
      </c>
      <c r="D364" s="47"/>
      <c r="E364" s="47"/>
      <c r="F364" s="150">
        <f ca="1">+IF(YEAR(F$140)&lt;=YEAR('Assumptions and Sensis'!$G$51),F321,0)</f>
        <v>0</v>
      </c>
      <c r="G364" s="150">
        <f ca="1">+IF(YEAR(G$140)&lt;=YEAR('Assumptions and Sensis'!$G$51),G321,0)</f>
        <v>0</v>
      </c>
      <c r="H364" s="150">
        <f ca="1">+IF(YEAR(H$140)&lt;=YEAR('Assumptions and Sensis'!$G$51),H321,0)</f>
        <v>0</v>
      </c>
      <c r="I364" s="150">
        <f ca="1">+IF(YEAR(I$140)&lt;=YEAR('Assumptions and Sensis'!$G$51),I321,0)</f>
        <v>6946822.2629323117</v>
      </c>
      <c r="J364" s="150">
        <f ca="1">+IF(YEAR(J$140)&lt;=YEAR('Assumptions and Sensis'!$G$51),J321,0)</f>
        <v>14485528.459140714</v>
      </c>
      <c r="K364" s="150">
        <f ca="1">+IF(YEAR(K$140)&lt;=YEAR('Assumptions and Sensis'!$G$51),K321,0)</f>
        <v>14919107.173988493</v>
      </c>
      <c r="L364" s="150">
        <f ca="1">+IF(YEAR(L$140)&lt;=YEAR('Assumptions and Sensis'!$G$51),L321,0)</f>
        <v>15824066.265007693</v>
      </c>
      <c r="M364" s="150">
        <f ca="1">+IF(YEAR(M$140)&lt;=YEAR('Assumptions and Sensis'!$G$51),M321,0)</f>
        <v>16063300.346618453</v>
      </c>
      <c r="N364" s="150">
        <f ca="1">+IF(YEAR(N$140)&lt;=YEAR('Assumptions and Sensis'!$G$51),N321,0)</f>
        <v>16382388.311893821</v>
      </c>
      <c r="O364" s="150">
        <f>+IF(YEAR(O$140)&lt;=YEAR('Assumptions and Sensis'!$G$51),O321,0)</f>
        <v>0</v>
      </c>
      <c r="P364" s="150">
        <f>+IF(YEAR(P$140)&lt;=YEAR('Assumptions and Sensis'!$G$51),P321,0)</f>
        <v>0</v>
      </c>
      <c r="Q364" s="150">
        <f>+IF(YEAR(Q$140)&lt;=YEAR('Assumptions and Sensis'!$G$51),Q321,0)</f>
        <v>0</v>
      </c>
      <c r="R364" s="150">
        <f>+IF(YEAR(R$140)&lt;=YEAR('Assumptions and Sensis'!$G$51),R321,0)</f>
        <v>0</v>
      </c>
      <c r="S364" s="150">
        <f>+IF(YEAR(S$140)&lt;=YEAR('Assumptions and Sensis'!$G$51),S321,0)</f>
        <v>0</v>
      </c>
      <c r="T364" s="150">
        <f>+IF(YEAR(T$140)&lt;=YEAR('Assumptions and Sensis'!$G$51),T321,0)</f>
        <v>0</v>
      </c>
      <c r="U364" s="150">
        <f>+IF(YEAR(U$140)&lt;=YEAR('Assumptions and Sensis'!$G$51),U321,0)</f>
        <v>0</v>
      </c>
      <c r="V364" s="150">
        <f>+IF(YEAR(V$140)&lt;=YEAR('Assumptions and Sensis'!$G$51),V321,0)</f>
        <v>0</v>
      </c>
      <c r="W364" s="150">
        <f>+IF(YEAR(W$140)&lt;=YEAR('Assumptions and Sensis'!$G$51),W321,0)</f>
        <v>0</v>
      </c>
      <c r="X364" s="150">
        <f>+IF(YEAR(X$140)&lt;=YEAR('Assumptions and Sensis'!$G$51),X321,0)</f>
        <v>0</v>
      </c>
      <c r="Y364" s="150">
        <f>+IF(YEAR(Y$140)&lt;=YEAR('Assumptions and Sensis'!$G$51),Y321,0)</f>
        <v>0</v>
      </c>
      <c r="Z364" s="150">
        <f>+IF(YEAR(Z$140)&lt;=YEAR('Assumptions and Sensis'!$G$51),Z321,0)</f>
        <v>0</v>
      </c>
    </row>
    <row r="365" spans="2:26" x14ac:dyDescent="0.2">
      <c r="B365" s="32" t="s">
        <v>403</v>
      </c>
      <c r="D365" s="47"/>
      <c r="E365" s="47"/>
      <c r="F365" s="150">
        <f>+IF(YEAR(F$140)&lt;=YEAR('Assumptions and Sensis'!$G$51),F326,0)</f>
        <v>0</v>
      </c>
      <c r="G365" s="150">
        <f>+IF(YEAR(G$140)&lt;=YEAR('Assumptions and Sensis'!$G$51),G326,0)</f>
        <v>0</v>
      </c>
      <c r="H365" s="150">
        <f>+IF(YEAR(H$140)&lt;=YEAR('Assumptions and Sensis'!$G$51),H326,0)</f>
        <v>0</v>
      </c>
      <c r="I365" s="150">
        <f>+IF(YEAR(I$140)&lt;=YEAR('Assumptions and Sensis'!$G$51),I326,0)</f>
        <v>0</v>
      </c>
      <c r="J365" s="150">
        <f>+IF(YEAR(J$140)&lt;=YEAR('Assumptions and Sensis'!$G$51),J326,0)</f>
        <v>0</v>
      </c>
      <c r="K365" s="150">
        <f>+IF(YEAR(K$140)&lt;=YEAR('Assumptions and Sensis'!$G$51),K326,0)</f>
        <v>0</v>
      </c>
      <c r="L365" s="150">
        <f>+IF(YEAR(L$140)&lt;=YEAR('Assumptions and Sensis'!$G$51),L326,0)</f>
        <v>0</v>
      </c>
      <c r="M365" s="150">
        <f>+IF(YEAR(M$140)&lt;=YEAR('Assumptions and Sensis'!$G$51),M326,0)</f>
        <v>0</v>
      </c>
      <c r="N365" s="150">
        <f ca="1">+IF(YEAR(N$140)&lt;=YEAR('Assumptions and Sensis'!$G$51),N326,0)</f>
        <v>257544358.77723855</v>
      </c>
      <c r="O365" s="150">
        <f>+IF(YEAR(O$140)&lt;=YEAR('Assumptions and Sensis'!$G$51),O326,0)</f>
        <v>0</v>
      </c>
      <c r="P365" s="150">
        <f>+IF(YEAR(P$140)&lt;=YEAR('Assumptions and Sensis'!$G$51),P326,0)</f>
        <v>0</v>
      </c>
      <c r="Q365" s="150">
        <f>+IF(YEAR(Q$140)&lt;=YEAR('Assumptions and Sensis'!$G$51),Q326,0)</f>
        <v>0</v>
      </c>
      <c r="R365" s="150">
        <f>+IF(YEAR(R$140)&lt;=YEAR('Assumptions and Sensis'!$G$51),R326,0)</f>
        <v>0</v>
      </c>
      <c r="S365" s="150">
        <f>+IF(YEAR(S$140)&lt;=YEAR('Assumptions and Sensis'!$G$51),S326,0)</f>
        <v>0</v>
      </c>
      <c r="T365" s="150">
        <f>+IF(YEAR(T$140)&lt;=YEAR('Assumptions and Sensis'!$G$51),T326,0)</f>
        <v>0</v>
      </c>
      <c r="U365" s="150">
        <f>+IF(YEAR(U$140)&lt;=YEAR('Assumptions and Sensis'!$G$51),U326,0)</f>
        <v>0</v>
      </c>
      <c r="V365" s="150">
        <f>+IF(YEAR(V$140)&lt;=YEAR('Assumptions and Sensis'!$G$51),V326,0)</f>
        <v>0</v>
      </c>
      <c r="W365" s="150">
        <f>+IF(YEAR(W$140)&lt;=YEAR('Assumptions and Sensis'!$G$51),W326,0)</f>
        <v>0</v>
      </c>
      <c r="X365" s="150">
        <f>+IF(YEAR(X$140)&lt;=YEAR('Assumptions and Sensis'!$G$51),X326,0)</f>
        <v>0</v>
      </c>
      <c r="Y365" s="150">
        <f>+IF(YEAR(Y$140)&lt;=YEAR('Assumptions and Sensis'!$G$51),Y326,0)</f>
        <v>0</v>
      </c>
      <c r="Z365" s="150">
        <f>+IF(YEAR(Z$140)&lt;=YEAR('Assumptions and Sensis'!$G$51),Z326,0)</f>
        <v>0</v>
      </c>
    </row>
    <row r="366" spans="2:26" x14ac:dyDescent="0.2">
      <c r="B366" s="32" t="s">
        <v>415</v>
      </c>
      <c r="D366" s="47"/>
      <c r="E366" s="47"/>
      <c r="F366" s="150">
        <f>-F394*'Assumptions and Sensis'!$M$227</f>
        <v>0</v>
      </c>
      <c r="G366" s="150">
        <f>-G394*'Assumptions and Sensis'!$M$227</f>
        <v>0</v>
      </c>
      <c r="H366" s="150">
        <f>-H394*'Assumptions and Sensis'!$M$227</f>
        <v>0</v>
      </c>
      <c r="I366" s="150">
        <f>-I394*'Assumptions and Sensis'!$M$227</f>
        <v>0</v>
      </c>
      <c r="J366" s="150">
        <f>-J394*'Assumptions and Sensis'!$M$227</f>
        <v>0</v>
      </c>
      <c r="K366" s="150">
        <f>-K394*'Assumptions and Sensis'!$M$227</f>
        <v>0</v>
      </c>
      <c r="L366" s="150">
        <f>-L394*'Assumptions and Sensis'!$M$227</f>
        <v>0</v>
      </c>
      <c r="M366" s="150">
        <f>-M394*'Assumptions and Sensis'!$M$227</f>
        <v>0</v>
      </c>
      <c r="N366" s="150">
        <f ca="1">-N394*'Assumptions and Sensis'!$M$227</f>
        <v>-28669382.203702819</v>
      </c>
      <c r="O366" s="150">
        <f>-O394*'Assumptions and Sensis'!$M$227</f>
        <v>0</v>
      </c>
      <c r="P366" s="150">
        <f>-P394*'Assumptions and Sensis'!$M$227</f>
        <v>0</v>
      </c>
      <c r="Q366" s="150">
        <f>-Q394*'Assumptions and Sensis'!$M$227</f>
        <v>0</v>
      </c>
      <c r="R366" s="150">
        <f>-R394*'Assumptions and Sensis'!$M$227</f>
        <v>0</v>
      </c>
      <c r="S366" s="150">
        <f>-S394*'Assumptions and Sensis'!$M$227</f>
        <v>0</v>
      </c>
      <c r="T366" s="150">
        <f>-T394*'Assumptions and Sensis'!$M$227</f>
        <v>0</v>
      </c>
      <c r="U366" s="150">
        <f>-U394*'Assumptions and Sensis'!$M$227</f>
        <v>0</v>
      </c>
      <c r="V366" s="150">
        <f>-V394*'Assumptions and Sensis'!$M$227</f>
        <v>0</v>
      </c>
      <c r="W366" s="150">
        <f>-W394*'Assumptions and Sensis'!$M$227</f>
        <v>0</v>
      </c>
      <c r="X366" s="150">
        <f>-X394*'Assumptions and Sensis'!$M$227</f>
        <v>0</v>
      </c>
      <c r="Y366" s="150">
        <f>-Y394*'Assumptions and Sensis'!$M$227</f>
        <v>0</v>
      </c>
      <c r="Z366" s="150">
        <f>-Z394*'Assumptions and Sensis'!$M$227</f>
        <v>0</v>
      </c>
    </row>
    <row r="367" spans="2:26" x14ac:dyDescent="0.2">
      <c r="B367" s="137" t="s">
        <v>407</v>
      </c>
      <c r="C367" s="137"/>
      <c r="D367" s="138">
        <f t="shared" ref="D367" ca="1" si="194">+SUM(F367:Z367)</f>
        <v>149220882.68990031</v>
      </c>
      <c r="E367" s="138"/>
      <c r="F367" s="138">
        <f t="shared" ref="F367:Z367" ca="1" si="195">+SUM(F360:F366)</f>
        <v>-18873780.060831025</v>
      </c>
      <c r="G367" s="138">
        <f t="shared" ca="1" si="195"/>
        <v>-91802186.896937713</v>
      </c>
      <c r="H367" s="138">
        <f t="shared" ca="1" si="195"/>
        <v>-42602411.360696554</v>
      </c>
      <c r="I367" s="138">
        <f t="shared" ca="1" si="195"/>
        <v>5487989.5877165264</v>
      </c>
      <c r="J367" s="138">
        <f t="shared" ca="1" si="195"/>
        <v>12798272.74419325</v>
      </c>
      <c r="K367" s="138">
        <f t="shared" ca="1" si="195"/>
        <v>13140799.928922994</v>
      </c>
      <c r="L367" s="138">
        <f t="shared" ca="1" si="195"/>
        <v>13855717.610828163</v>
      </c>
      <c r="M367" s="138">
        <f t="shared" ca="1" si="195"/>
        <v>14044712.535300663</v>
      </c>
      <c r="N367" s="138">
        <f t="shared" ca="1" si="195"/>
        <v>243171768.60140395</v>
      </c>
      <c r="O367" s="138">
        <f t="shared" ca="1" si="195"/>
        <v>0</v>
      </c>
      <c r="P367" s="138">
        <f t="shared" ca="1" si="195"/>
        <v>0</v>
      </c>
      <c r="Q367" s="138">
        <f t="shared" ca="1" si="195"/>
        <v>0</v>
      </c>
      <c r="R367" s="138">
        <f t="shared" ca="1" si="195"/>
        <v>0</v>
      </c>
      <c r="S367" s="138">
        <f t="shared" ca="1" si="195"/>
        <v>0</v>
      </c>
      <c r="T367" s="138">
        <f t="shared" ca="1" si="195"/>
        <v>0</v>
      </c>
      <c r="U367" s="138">
        <f t="shared" ca="1" si="195"/>
        <v>0</v>
      </c>
      <c r="V367" s="138">
        <f t="shared" ca="1" si="195"/>
        <v>0</v>
      </c>
      <c r="W367" s="138">
        <f t="shared" ca="1" si="195"/>
        <v>0</v>
      </c>
      <c r="X367" s="138">
        <f t="shared" ca="1" si="195"/>
        <v>0</v>
      </c>
      <c r="Y367" s="138">
        <f t="shared" ca="1" si="195"/>
        <v>0</v>
      </c>
      <c r="Z367" s="138">
        <f t="shared" ca="1" si="195"/>
        <v>0</v>
      </c>
    </row>
    <row r="368" spans="2:26" x14ac:dyDescent="0.2">
      <c r="B368" s="118"/>
    </row>
    <row r="369" spans="2:26" x14ac:dyDescent="0.2">
      <c r="B369" s="223" t="s">
        <v>420</v>
      </c>
      <c r="C369" s="223"/>
      <c r="D369" s="224">
        <f ca="1">+IRR(F367:Z367)</f>
        <v>0.11492991120573781</v>
      </c>
    </row>
    <row r="370" spans="2:26" x14ac:dyDescent="0.2">
      <c r="B370" s="118"/>
    </row>
    <row r="371" spans="2:26" x14ac:dyDescent="0.2">
      <c r="B371" s="147" t="s">
        <v>406</v>
      </c>
      <c r="F371" s="147">
        <f>+F359</f>
        <v>0</v>
      </c>
      <c r="G371" s="147">
        <f t="shared" ref="G371:Z372" si="196">+G359</f>
        <v>1</v>
      </c>
      <c r="H371" s="147">
        <f t="shared" si="196"/>
        <v>2</v>
      </c>
      <c r="I371" s="147">
        <f t="shared" si="196"/>
        <v>3</v>
      </c>
      <c r="J371" s="147">
        <f t="shared" si="196"/>
        <v>4</v>
      </c>
      <c r="K371" s="147">
        <f t="shared" si="196"/>
        <v>5</v>
      </c>
      <c r="L371" s="147">
        <f t="shared" si="196"/>
        <v>6</v>
      </c>
      <c r="M371" s="147">
        <f t="shared" si="196"/>
        <v>7</v>
      </c>
      <c r="N371" s="147">
        <f t="shared" si="196"/>
        <v>8</v>
      </c>
      <c r="O371" s="147">
        <f t="shared" si="196"/>
        <v>9</v>
      </c>
      <c r="P371" s="147">
        <f t="shared" si="196"/>
        <v>10</v>
      </c>
      <c r="Q371" s="147">
        <f t="shared" si="196"/>
        <v>11</v>
      </c>
      <c r="R371" s="147">
        <f t="shared" si="196"/>
        <v>12</v>
      </c>
      <c r="S371" s="147">
        <f t="shared" si="196"/>
        <v>13</v>
      </c>
      <c r="T371" s="147">
        <f t="shared" si="196"/>
        <v>14</v>
      </c>
      <c r="U371" s="147">
        <f t="shared" si="196"/>
        <v>15</v>
      </c>
      <c r="V371" s="147">
        <f t="shared" si="196"/>
        <v>16</v>
      </c>
      <c r="W371" s="147">
        <f t="shared" si="196"/>
        <v>17</v>
      </c>
      <c r="X371" s="147">
        <f t="shared" si="196"/>
        <v>18</v>
      </c>
      <c r="Y371" s="147">
        <f t="shared" si="196"/>
        <v>19</v>
      </c>
      <c r="Z371" s="147">
        <f t="shared" si="196"/>
        <v>20</v>
      </c>
    </row>
    <row r="372" spans="2:26" x14ac:dyDescent="0.2">
      <c r="B372" s="32" t="s">
        <v>398</v>
      </c>
      <c r="D372" s="47"/>
      <c r="E372" s="47"/>
      <c r="F372" s="33">
        <f ca="1">+F360</f>
        <v>-18873780.060831025</v>
      </c>
      <c r="G372" s="33">
        <f t="shared" ca="1" si="196"/>
        <v>-91802186.896937713</v>
      </c>
      <c r="H372" s="33">
        <f t="shared" ca="1" si="196"/>
        <v>-42602411.360696554</v>
      </c>
      <c r="I372" s="33">
        <f t="shared" ca="1" si="196"/>
        <v>0</v>
      </c>
      <c r="J372" s="33">
        <f t="shared" ca="1" si="196"/>
        <v>0</v>
      </c>
      <c r="K372" s="33">
        <f t="shared" ca="1" si="196"/>
        <v>0</v>
      </c>
      <c r="L372" s="33">
        <f t="shared" ca="1" si="196"/>
        <v>0</v>
      </c>
      <c r="M372" s="33">
        <f t="shared" ca="1" si="196"/>
        <v>0</v>
      </c>
      <c r="N372" s="33">
        <f t="shared" ca="1" si="196"/>
        <v>0</v>
      </c>
      <c r="O372" s="33">
        <f t="shared" ca="1" si="196"/>
        <v>0</v>
      </c>
      <c r="P372" s="33">
        <f t="shared" ca="1" si="196"/>
        <v>0</v>
      </c>
      <c r="Q372" s="33">
        <f t="shared" ca="1" si="196"/>
        <v>0</v>
      </c>
      <c r="R372" s="33">
        <f t="shared" ca="1" si="196"/>
        <v>0</v>
      </c>
      <c r="S372" s="33">
        <f t="shared" ca="1" si="196"/>
        <v>0</v>
      </c>
      <c r="T372" s="33">
        <f t="shared" ca="1" si="196"/>
        <v>0</v>
      </c>
      <c r="U372" s="33">
        <f t="shared" ca="1" si="196"/>
        <v>0</v>
      </c>
      <c r="V372" s="33">
        <f t="shared" ca="1" si="196"/>
        <v>0</v>
      </c>
      <c r="W372" s="33">
        <f t="shared" ca="1" si="196"/>
        <v>0</v>
      </c>
      <c r="X372" s="33">
        <f t="shared" ca="1" si="196"/>
        <v>0</v>
      </c>
      <c r="Y372" s="33">
        <f t="shared" ca="1" si="196"/>
        <v>0</v>
      </c>
      <c r="Z372" s="33">
        <f t="shared" ca="1" si="196"/>
        <v>0</v>
      </c>
    </row>
    <row r="373" spans="2:26" x14ac:dyDescent="0.2">
      <c r="B373" s="32" t="s">
        <v>416</v>
      </c>
      <c r="D373" s="47"/>
      <c r="E373" s="47"/>
      <c r="F373" s="150">
        <f ca="1">-F372*'Assumptions and Sensis'!$M$227</f>
        <v>3963493.8127745152</v>
      </c>
      <c r="G373" s="150">
        <f ca="1">-G372*'Assumptions and Sensis'!$M$227</f>
        <v>19278459.24835692</v>
      </c>
      <c r="H373" s="150">
        <f ca="1">-H372*'Assumptions and Sensis'!$M$227</f>
        <v>8946506.385746276</v>
      </c>
      <c r="I373" s="150">
        <f ca="1">-I372*'Assumptions and Sensis'!$M$227</f>
        <v>0</v>
      </c>
      <c r="J373" s="150">
        <f ca="1">-J372*'Assumptions and Sensis'!$M$227</f>
        <v>0</v>
      </c>
      <c r="K373" s="150">
        <f ca="1">-K372*'Assumptions and Sensis'!$M$227</f>
        <v>0</v>
      </c>
      <c r="L373" s="150">
        <f ca="1">-L372*'Assumptions and Sensis'!$M$227</f>
        <v>0</v>
      </c>
      <c r="M373" s="150">
        <f ca="1">-M372*'Assumptions and Sensis'!$M$227</f>
        <v>0</v>
      </c>
      <c r="N373" s="150">
        <f ca="1">-N372*'Assumptions and Sensis'!$M$227</f>
        <v>0</v>
      </c>
      <c r="O373" s="150">
        <f ca="1">-O372*'Assumptions and Sensis'!$M$227</f>
        <v>0</v>
      </c>
      <c r="P373" s="150">
        <f ca="1">-P372*'Assumptions and Sensis'!$M$227</f>
        <v>0</v>
      </c>
      <c r="Q373" s="150">
        <f ca="1">-Q372*'Assumptions and Sensis'!$M$227</f>
        <v>0</v>
      </c>
      <c r="R373" s="150">
        <f ca="1">-R372*'Assumptions and Sensis'!$M$227</f>
        <v>0</v>
      </c>
      <c r="S373" s="150">
        <f ca="1">-S372*'Assumptions and Sensis'!$M$227</f>
        <v>0</v>
      </c>
      <c r="T373" s="150">
        <f ca="1">-T372*'Assumptions and Sensis'!$M$227</f>
        <v>0</v>
      </c>
      <c r="U373" s="150">
        <f ca="1">-U372*'Assumptions and Sensis'!$M$227</f>
        <v>0</v>
      </c>
      <c r="V373" s="150">
        <f ca="1">-V372*'Assumptions and Sensis'!$M$227</f>
        <v>0</v>
      </c>
      <c r="W373" s="150">
        <f ca="1">-W372*'Assumptions and Sensis'!$M$227</f>
        <v>0</v>
      </c>
      <c r="X373" s="150">
        <f ca="1">-X372*'Assumptions and Sensis'!$M$227</f>
        <v>0</v>
      </c>
      <c r="Y373" s="150">
        <f ca="1">-Y372*'Assumptions and Sensis'!$M$227</f>
        <v>0</v>
      </c>
      <c r="Z373" s="150">
        <f ca="1">-Z372*'Assumptions and Sensis'!$M$227</f>
        <v>0</v>
      </c>
    </row>
    <row r="374" spans="2:26" x14ac:dyDescent="0.2">
      <c r="B374" s="32" t="s">
        <v>417</v>
      </c>
      <c r="D374" s="47"/>
      <c r="E374" s="47"/>
      <c r="F374" s="150">
        <f ca="1">IFERROR(-IF(YEAR(F357)&lt;MIN(YEAR('Assumptions and Sensis'!$G$51),2026),(OFFSET(F373,0,-10)),IF(YEAR(F357)=MIN(YEAR('Assumptions and Sensis'!$G$51),2026),SUM($E$373:F$373)-SUM($E$374:E$374),0)),0)</f>
        <v>0</v>
      </c>
      <c r="G374" s="150">
        <f ca="1">IFERROR(-IF(YEAR(G357)&lt;MIN(YEAR('Assumptions and Sensis'!$G$51),2026),(OFFSET(G373,0,-10)),IF(YEAR(G357)=MIN(YEAR('Assumptions and Sensis'!$G$51),2026),SUM($E$373:G$373)-SUM($E$374:F$374),0)),0)</f>
        <v>0</v>
      </c>
      <c r="H374" s="150">
        <f ca="1">IFERROR(-IF(YEAR(H357)&lt;MIN(YEAR('Assumptions and Sensis'!$G$51),2026),(OFFSET(H373,0,-10)),IF(YEAR(H357)=MIN(YEAR('Assumptions and Sensis'!$G$51),2026),SUM($E$373:H$373)-SUM($E$374:G$374),0)),0)</f>
        <v>0</v>
      </c>
      <c r="I374" s="150">
        <f ca="1">IFERROR(-IF(YEAR(I357)&lt;MIN(YEAR('Assumptions and Sensis'!$G$51),2026),(OFFSET(I373,0,-10)),IF(YEAR(I357)=MIN(YEAR('Assumptions and Sensis'!$G$51),2026),SUM($E$373:I$373)-SUM($E$374:H$374),0)),0)</f>
        <v>0</v>
      </c>
      <c r="J374" s="150">
        <f ca="1">IFERROR(-IF(YEAR(J357)&lt;MIN(YEAR('Assumptions and Sensis'!$G$51),2026),(OFFSET(J373,0,-10)),IF(YEAR(J357)=MIN(YEAR('Assumptions and Sensis'!$G$51),2026),SUM($E$373:J$373)-SUM($E$374:I$374),0)),0)</f>
        <v>-32188459.446877711</v>
      </c>
      <c r="K374" s="150">
        <f ca="1">IFERROR(-IF(YEAR(K357)&lt;MIN(YEAR('Assumptions and Sensis'!$G$51),2026),(OFFSET(K373,0,-10)),IF(YEAR(K357)=MIN(YEAR('Assumptions and Sensis'!$G$51),2026),SUM($E$373:K$373)-SUM($E$374:J$374),0)),0)</f>
        <v>0</v>
      </c>
      <c r="L374" s="150">
        <f ca="1">IFERROR(-IF(YEAR(L357)&lt;MIN(YEAR('Assumptions and Sensis'!$G$51),2026),(OFFSET(L373,0,-10)),IF(YEAR(L357)=MIN(YEAR('Assumptions and Sensis'!$G$51),2026),SUM($E$373:L$373)-SUM($E$374:K$374),0)),0)</f>
        <v>0</v>
      </c>
      <c r="M374" s="150">
        <f ca="1">IFERROR(-IF(YEAR(M357)&lt;MIN(YEAR('Assumptions and Sensis'!$G$51),2026),(OFFSET(M373,0,-10)),IF(YEAR(M357)=MIN(YEAR('Assumptions and Sensis'!$G$51),2026),SUM($E$373:M$373)-SUM($E$374:L$374),0)),0)</f>
        <v>0</v>
      </c>
      <c r="N374" s="150">
        <f ca="1">IFERROR(-IF(YEAR(N357)&lt;MIN(YEAR('Assumptions and Sensis'!$G$51),2026),(OFFSET(N373,0,-10)),IF(YEAR(N357)=MIN(YEAR('Assumptions and Sensis'!$G$51),2026),SUM($E$373:N$373)-SUM($E$374:M$374),0)),0)</f>
        <v>0</v>
      </c>
      <c r="O374" s="150">
        <f ca="1">IFERROR(-IF(YEAR(O357)&lt;MIN(YEAR('Assumptions and Sensis'!$G$51),2026),(OFFSET(O373,0,-10)),IF(YEAR(O357)=MIN(YEAR('Assumptions and Sensis'!$G$51),2026),SUM($E$373:O$373)-SUM($E$374:N$374),0)),0)</f>
        <v>0</v>
      </c>
      <c r="P374" s="150">
        <f ca="1">IFERROR(-IF(YEAR(P357)&lt;MIN(YEAR('Assumptions and Sensis'!$G$51),2026),(OFFSET(P373,0,-10)),IF(YEAR(P357)=MIN(YEAR('Assumptions and Sensis'!$G$51),2026),SUM($E$373:P$373)-SUM($E$374:O$374),0)),0)</f>
        <v>0</v>
      </c>
      <c r="Q374" s="150">
        <f ca="1">IFERROR(-IF(YEAR(Q357)&lt;MIN(YEAR('Assumptions and Sensis'!$G$51),2026),(OFFSET(Q373,0,-10)),IF(YEAR(Q357)=MIN(YEAR('Assumptions and Sensis'!$G$51),2026),SUM($E$373:Q$373)-SUM($E$374:P$374),0)),0)</f>
        <v>0</v>
      </c>
      <c r="R374" s="150">
        <f ca="1">IFERROR(-IF(YEAR(R357)&lt;MIN(YEAR('Assumptions and Sensis'!$G$51),2026),(OFFSET(R373,0,-10)),IF(YEAR(R357)=MIN(YEAR('Assumptions and Sensis'!$G$51),2026),SUM($E$373:R$373)-SUM($E$374:Q$374),0)),0)</f>
        <v>0</v>
      </c>
      <c r="S374" s="150">
        <f ca="1">IFERROR(-IF(YEAR(S357)&lt;MIN(YEAR('Assumptions and Sensis'!$G$51),2026),(OFFSET(S373,0,-10)),IF(YEAR(S357)=MIN(YEAR('Assumptions and Sensis'!$G$51),2026),SUM($E$373:S$373)-SUM($E$374:R$374),0)),0)</f>
        <v>0</v>
      </c>
      <c r="T374" s="150">
        <f ca="1">IFERROR(-IF(YEAR(T357)&lt;MIN(YEAR('Assumptions and Sensis'!$G$51),2026),(OFFSET(T373,0,-10)),IF(YEAR(T357)=MIN(YEAR('Assumptions and Sensis'!$G$51),2026),SUM($E$373:T$373)-SUM($E$374:S$374),0)),0)</f>
        <v>0</v>
      </c>
      <c r="U374" s="150">
        <f ca="1">IFERROR(-IF(YEAR(U357)&lt;MIN(YEAR('Assumptions and Sensis'!$G$51),2026),(OFFSET(U373,0,-10)),IF(YEAR(U357)=MIN(YEAR('Assumptions and Sensis'!$G$51),2026),SUM($E$373:U$373)-SUM($E$374:T$374),0)),0)</f>
        <v>0</v>
      </c>
      <c r="V374" s="150">
        <f ca="1">IFERROR(-IF(YEAR(V357)&lt;MIN(YEAR('Assumptions and Sensis'!$G$51),2026),(OFFSET(V373,0,-10)),IF(YEAR(V357)=MIN(YEAR('Assumptions and Sensis'!$G$51),2026),SUM($E$373:V$373)-SUM($E$374:U$374),0)),0)</f>
        <v>0</v>
      </c>
      <c r="W374" s="150">
        <f ca="1">IFERROR(-IF(YEAR(W357)&lt;MIN(YEAR('Assumptions and Sensis'!$G$51),2026),(OFFSET(W373,0,-10)),IF(YEAR(W357)=MIN(YEAR('Assumptions and Sensis'!$G$51),2026),SUM($E$373:W$373)-SUM($E$374:V$374),0)),0)</f>
        <v>0</v>
      </c>
      <c r="X374" s="150">
        <f ca="1">IFERROR(-IF(YEAR(X357)&lt;MIN(YEAR('Assumptions and Sensis'!$G$51),2026),(OFFSET(X373,0,-10)),IF(YEAR(X357)=MIN(YEAR('Assumptions and Sensis'!$G$51),2026),SUM($E$373:X$373)-SUM($E$374:W$374),0)),0)</f>
        <v>0</v>
      </c>
      <c r="Y374" s="150">
        <f ca="1">IFERROR(-IF(YEAR(Y357)&lt;MIN(YEAR('Assumptions and Sensis'!$G$51),2026),(OFFSET(Y373,0,-10)),IF(YEAR(Y357)=MIN(YEAR('Assumptions and Sensis'!$G$51),2026),SUM($E$373:Y$373)-SUM($E$374:X$374),0)),0)</f>
        <v>0</v>
      </c>
      <c r="Z374" s="150">
        <f ca="1">IFERROR(-IF(YEAR(Z357)&lt;MIN(YEAR('Assumptions and Sensis'!$G$51),2026),(OFFSET(Z373,0,-10)),IF(YEAR(Z357)=MIN(YEAR('Assumptions and Sensis'!$G$51),2026),SUM($E$373:Z$373)-SUM($E$374:Y$374),0)),0)</f>
        <v>0</v>
      </c>
    </row>
    <row r="375" spans="2:26" x14ac:dyDescent="0.2">
      <c r="B375" s="32" t="s">
        <v>418</v>
      </c>
      <c r="D375" s="47"/>
      <c r="E375" s="47"/>
      <c r="F375" s="150">
        <f>+IF(YEAR(F357)=MIN(YEAR('Assumptions and Sensis'!$G$51),2026),SUM($F$385:$Z$385),0)</f>
        <v>0</v>
      </c>
      <c r="G375" s="150">
        <f>+IF(YEAR(G357)=MIN(YEAR('Assumptions and Sensis'!$G$51),2026),SUM($F$385:$Z$385),0)</f>
        <v>0</v>
      </c>
      <c r="H375" s="150">
        <f>+IF(YEAR(H357)=MIN(YEAR('Assumptions and Sensis'!$G$51),2026),SUM($F$385:$Z$385),0)</f>
        <v>0</v>
      </c>
      <c r="I375" s="150">
        <f>+IF(YEAR(I357)=MIN(YEAR('Assumptions and Sensis'!$G$51),2026),SUM($F$385:$Z$385),0)</f>
        <v>0</v>
      </c>
      <c r="J375" s="150">
        <f ca="1">+IF(YEAR(J357)=MIN(YEAR('Assumptions and Sensis'!$G$51),2026),SUM($F$385:$Z$385),0)</f>
        <v>4380943.5977443429</v>
      </c>
      <c r="K375" s="150">
        <f>+IF(YEAR(K357)=MIN(YEAR('Assumptions and Sensis'!$G$51),2026),SUM($F$385:$Z$385),0)</f>
        <v>0</v>
      </c>
      <c r="L375" s="150">
        <f>+IF(YEAR(L357)=MIN(YEAR('Assumptions and Sensis'!$G$51),2026),SUM($F$385:$Z$385),0)</f>
        <v>0</v>
      </c>
      <c r="M375" s="150">
        <f>+IF(YEAR(M357)=MIN(YEAR('Assumptions and Sensis'!$G$51),2026),SUM($F$385:$Z$385),0)</f>
        <v>0</v>
      </c>
      <c r="N375" s="150">
        <f>+IF(YEAR(N357)=MIN(YEAR('Assumptions and Sensis'!$G$51),2026),SUM($F$385:$Z$385),0)</f>
        <v>0</v>
      </c>
      <c r="O375" s="150">
        <f>+IF(YEAR(O357)=MIN(YEAR('Assumptions and Sensis'!$G$51),2026),SUM($F$385:$Z$385),0)</f>
        <v>0</v>
      </c>
      <c r="P375" s="150">
        <f>+IF(YEAR(P357)=MIN(YEAR('Assumptions and Sensis'!$G$51),2026),SUM($F$385:$Z$385),0)</f>
        <v>0</v>
      </c>
      <c r="Q375" s="150">
        <f>+IF(YEAR(Q357)=MIN(YEAR('Assumptions and Sensis'!$G$51),2026),SUM($F$385:$Z$385),0)</f>
        <v>0</v>
      </c>
      <c r="R375" s="150">
        <f>+IF(YEAR(R357)=MIN(YEAR('Assumptions and Sensis'!$G$51),2026),SUM($F$385:$Z$385),0)</f>
        <v>0</v>
      </c>
      <c r="S375" s="150">
        <f>+IF(YEAR(S357)=MIN(YEAR('Assumptions and Sensis'!$G$51),2026),SUM($F$385:$Z$385),0)</f>
        <v>0</v>
      </c>
      <c r="T375" s="150">
        <f>+IF(YEAR(T357)=MIN(YEAR('Assumptions and Sensis'!$G$51),2026),SUM($F$385:$Z$385),0)</f>
        <v>0</v>
      </c>
      <c r="U375" s="150">
        <f>+IF(YEAR(U357)=MIN(YEAR('Assumptions and Sensis'!$G$51),2026),SUM($F$385:$Z$385),0)</f>
        <v>0</v>
      </c>
      <c r="V375" s="150">
        <f>+IF(YEAR(V357)=MIN(YEAR('Assumptions and Sensis'!$G$51),2026),SUM($F$385:$Z$385),0)</f>
        <v>0</v>
      </c>
      <c r="W375" s="150">
        <f>+IF(YEAR(W357)=MIN(YEAR('Assumptions and Sensis'!$G$51),2026),SUM($F$385:$Z$385),0)</f>
        <v>0</v>
      </c>
      <c r="X375" s="150">
        <f>+IF(YEAR(X357)=MIN(YEAR('Assumptions and Sensis'!$G$51),2026),SUM($F$385:$Z$385),0)</f>
        <v>0</v>
      </c>
      <c r="Y375" s="150">
        <f>+IF(YEAR(Y357)=MIN(YEAR('Assumptions and Sensis'!$G$51),2026),SUM($F$385:$Z$385),0)</f>
        <v>0</v>
      </c>
      <c r="Z375" s="150">
        <f>+IF(YEAR(Z357)=MIN(YEAR('Assumptions and Sensis'!$G$51),2026),SUM($F$385:$Z$385),0)</f>
        <v>0</v>
      </c>
    </row>
    <row r="376" spans="2:26" x14ac:dyDescent="0.2">
      <c r="B376" s="32" t="s">
        <v>408</v>
      </c>
      <c r="D376" s="47"/>
      <c r="E376" s="47"/>
      <c r="F376" s="150">
        <f ca="1">+F363</f>
        <v>0</v>
      </c>
      <c r="G376" s="150">
        <f t="shared" ref="G376:Z378" ca="1" si="197">+G363</f>
        <v>0</v>
      </c>
      <c r="H376" s="150">
        <f t="shared" ca="1" si="197"/>
        <v>0</v>
      </c>
      <c r="I376" s="150">
        <f t="shared" ca="1" si="197"/>
        <v>-1458832.6752157856</v>
      </c>
      <c r="J376" s="150">
        <f t="shared" ca="1" si="197"/>
        <v>-1687255.7149474642</v>
      </c>
      <c r="K376" s="150">
        <f t="shared" ca="1" si="197"/>
        <v>-1778307.2450654984</v>
      </c>
      <c r="L376" s="150">
        <f t="shared" ca="1" si="197"/>
        <v>-1968348.65417953</v>
      </c>
      <c r="M376" s="150">
        <f t="shared" ca="1" si="197"/>
        <v>-2018587.8113177898</v>
      </c>
      <c r="N376" s="150">
        <f t="shared" ca="1" si="197"/>
        <v>-2085596.2840256167</v>
      </c>
      <c r="O376" s="150">
        <f t="shared" si="197"/>
        <v>0</v>
      </c>
      <c r="P376" s="150">
        <f t="shared" si="197"/>
        <v>0</v>
      </c>
      <c r="Q376" s="150">
        <f t="shared" si="197"/>
        <v>0</v>
      </c>
      <c r="R376" s="150">
        <f t="shared" si="197"/>
        <v>0</v>
      </c>
      <c r="S376" s="150">
        <f t="shared" si="197"/>
        <v>0</v>
      </c>
      <c r="T376" s="150">
        <f t="shared" si="197"/>
        <v>0</v>
      </c>
      <c r="U376" s="150">
        <f t="shared" si="197"/>
        <v>0</v>
      </c>
      <c r="V376" s="150">
        <f t="shared" si="197"/>
        <v>0</v>
      </c>
      <c r="W376" s="150">
        <f t="shared" si="197"/>
        <v>0</v>
      </c>
      <c r="X376" s="150">
        <f t="shared" si="197"/>
        <v>0</v>
      </c>
      <c r="Y376" s="150">
        <f t="shared" si="197"/>
        <v>0</v>
      </c>
      <c r="Z376" s="150">
        <f t="shared" si="197"/>
        <v>0</v>
      </c>
    </row>
    <row r="377" spans="2:26" x14ac:dyDescent="0.2">
      <c r="B377" s="32" t="s">
        <v>409</v>
      </c>
      <c r="D377" s="47"/>
      <c r="E377" s="47"/>
      <c r="F377" s="150">
        <f ca="1">+F364</f>
        <v>0</v>
      </c>
      <c r="G377" s="150">
        <f t="shared" ca="1" si="197"/>
        <v>0</v>
      </c>
      <c r="H377" s="150">
        <f t="shared" ca="1" si="197"/>
        <v>0</v>
      </c>
      <c r="I377" s="150">
        <f t="shared" ca="1" si="197"/>
        <v>6946822.2629323117</v>
      </c>
      <c r="J377" s="150">
        <f t="shared" ca="1" si="197"/>
        <v>14485528.459140714</v>
      </c>
      <c r="K377" s="150">
        <f t="shared" ca="1" si="197"/>
        <v>14919107.173988493</v>
      </c>
      <c r="L377" s="150">
        <f t="shared" ca="1" si="197"/>
        <v>15824066.265007693</v>
      </c>
      <c r="M377" s="150">
        <f t="shared" ca="1" si="197"/>
        <v>16063300.346618453</v>
      </c>
      <c r="N377" s="150">
        <f t="shared" ca="1" si="197"/>
        <v>16382388.311893821</v>
      </c>
      <c r="O377" s="150">
        <f t="shared" si="197"/>
        <v>0</v>
      </c>
      <c r="P377" s="150">
        <f t="shared" si="197"/>
        <v>0</v>
      </c>
      <c r="Q377" s="150">
        <f t="shared" si="197"/>
        <v>0</v>
      </c>
      <c r="R377" s="150">
        <f t="shared" si="197"/>
        <v>0</v>
      </c>
      <c r="S377" s="150">
        <f t="shared" si="197"/>
        <v>0</v>
      </c>
      <c r="T377" s="150">
        <f t="shared" si="197"/>
        <v>0</v>
      </c>
      <c r="U377" s="150">
        <f t="shared" si="197"/>
        <v>0</v>
      </c>
      <c r="V377" s="150">
        <f t="shared" si="197"/>
        <v>0</v>
      </c>
      <c r="W377" s="150">
        <f t="shared" si="197"/>
        <v>0</v>
      </c>
      <c r="X377" s="150">
        <f t="shared" si="197"/>
        <v>0</v>
      </c>
      <c r="Y377" s="150">
        <f t="shared" si="197"/>
        <v>0</v>
      </c>
      <c r="Z377" s="150">
        <f t="shared" si="197"/>
        <v>0</v>
      </c>
    </row>
    <row r="378" spans="2:26" x14ac:dyDescent="0.2">
      <c r="B378" s="32" t="s">
        <v>403</v>
      </c>
      <c r="D378" s="47"/>
      <c r="E378" s="47"/>
      <c r="F378" s="150">
        <f>+F365</f>
        <v>0</v>
      </c>
      <c r="G378" s="150">
        <f t="shared" si="197"/>
        <v>0</v>
      </c>
      <c r="H378" s="150">
        <f t="shared" si="197"/>
        <v>0</v>
      </c>
      <c r="I378" s="150">
        <f t="shared" si="197"/>
        <v>0</v>
      </c>
      <c r="J378" s="150">
        <f t="shared" si="197"/>
        <v>0</v>
      </c>
      <c r="K378" s="150">
        <f t="shared" si="197"/>
        <v>0</v>
      </c>
      <c r="L378" s="150">
        <f t="shared" si="197"/>
        <v>0</v>
      </c>
      <c r="M378" s="150">
        <f t="shared" si="197"/>
        <v>0</v>
      </c>
      <c r="N378" s="150">
        <f t="shared" ca="1" si="197"/>
        <v>257544358.77723855</v>
      </c>
      <c r="O378" s="150">
        <f t="shared" si="197"/>
        <v>0</v>
      </c>
      <c r="P378" s="150">
        <f t="shared" si="197"/>
        <v>0</v>
      </c>
      <c r="Q378" s="150">
        <f t="shared" si="197"/>
        <v>0</v>
      </c>
      <c r="R378" s="150">
        <f t="shared" si="197"/>
        <v>0</v>
      </c>
      <c r="S378" s="150">
        <f t="shared" si="197"/>
        <v>0</v>
      </c>
      <c r="T378" s="150">
        <f t="shared" si="197"/>
        <v>0</v>
      </c>
      <c r="U378" s="150">
        <f t="shared" si="197"/>
        <v>0</v>
      </c>
      <c r="V378" s="150">
        <f t="shared" si="197"/>
        <v>0</v>
      </c>
      <c r="W378" s="150">
        <f t="shared" si="197"/>
        <v>0</v>
      </c>
      <c r="X378" s="150">
        <f t="shared" si="197"/>
        <v>0</v>
      </c>
      <c r="Y378" s="150">
        <f t="shared" si="197"/>
        <v>0</v>
      </c>
      <c r="Z378" s="150">
        <f t="shared" si="197"/>
        <v>0</v>
      </c>
    </row>
    <row r="379" spans="2:26" x14ac:dyDescent="0.2">
      <c r="B379" s="32" t="s">
        <v>415</v>
      </c>
      <c r="D379" s="47"/>
      <c r="E379" s="47"/>
      <c r="F379" s="150">
        <f>+IF(F359&gt;=10,0,F366)</f>
        <v>0</v>
      </c>
      <c r="G379" s="150">
        <f t="shared" ref="G379:Z379" si="198">+IF(G359&gt;=10,0,G366)</f>
        <v>0</v>
      </c>
      <c r="H379" s="150">
        <f t="shared" si="198"/>
        <v>0</v>
      </c>
      <c r="I379" s="150">
        <f t="shared" si="198"/>
        <v>0</v>
      </c>
      <c r="J379" s="150">
        <f t="shared" si="198"/>
        <v>0</v>
      </c>
      <c r="K379" s="150">
        <f t="shared" si="198"/>
        <v>0</v>
      </c>
      <c r="L379" s="150">
        <f t="shared" si="198"/>
        <v>0</v>
      </c>
      <c r="M379" s="150">
        <f t="shared" si="198"/>
        <v>0</v>
      </c>
      <c r="N379" s="150">
        <f t="shared" ca="1" si="198"/>
        <v>-28669382.203702819</v>
      </c>
      <c r="O379" s="150">
        <f t="shared" si="198"/>
        <v>0</v>
      </c>
      <c r="P379" s="150">
        <f t="shared" si="198"/>
        <v>0</v>
      </c>
      <c r="Q379" s="150">
        <f t="shared" si="198"/>
        <v>0</v>
      </c>
      <c r="R379" s="150">
        <f t="shared" si="198"/>
        <v>0</v>
      </c>
      <c r="S379" s="150">
        <f t="shared" si="198"/>
        <v>0</v>
      </c>
      <c r="T379" s="150">
        <f t="shared" si="198"/>
        <v>0</v>
      </c>
      <c r="U379" s="150">
        <f t="shared" si="198"/>
        <v>0</v>
      </c>
      <c r="V379" s="150">
        <f t="shared" si="198"/>
        <v>0</v>
      </c>
      <c r="W379" s="150">
        <f t="shared" si="198"/>
        <v>0</v>
      </c>
      <c r="X379" s="150">
        <f t="shared" si="198"/>
        <v>0</v>
      </c>
      <c r="Y379" s="150">
        <f t="shared" si="198"/>
        <v>0</v>
      </c>
      <c r="Z379" s="150">
        <f t="shared" si="198"/>
        <v>0</v>
      </c>
    </row>
    <row r="380" spans="2:26" x14ac:dyDescent="0.2">
      <c r="B380" s="137" t="s">
        <v>406</v>
      </c>
      <c r="C380" s="137"/>
      <c r="D380" s="138">
        <f t="shared" ref="D380" ca="1" si="199">+SUM(F380:Z380)</f>
        <v>153601826.28764465</v>
      </c>
      <c r="E380" s="138"/>
      <c r="F380" s="138">
        <f t="shared" ref="F380:Z380" ca="1" si="200">+SUM(F372:F379)</f>
        <v>-14910286.24805651</v>
      </c>
      <c r="G380" s="138">
        <f t="shared" ca="1" si="200"/>
        <v>-72523727.64858079</v>
      </c>
      <c r="H380" s="138">
        <f t="shared" ca="1" si="200"/>
        <v>-33655904.974950276</v>
      </c>
      <c r="I380" s="138">
        <f t="shared" ca="1" si="200"/>
        <v>5487989.5877165264</v>
      </c>
      <c r="J380" s="138">
        <f t="shared" ca="1" si="200"/>
        <v>-15009243.10494012</v>
      </c>
      <c r="K380" s="138">
        <f t="shared" ca="1" si="200"/>
        <v>13140799.928922994</v>
      </c>
      <c r="L380" s="138">
        <f t="shared" ca="1" si="200"/>
        <v>13855717.610828163</v>
      </c>
      <c r="M380" s="138">
        <f t="shared" ca="1" si="200"/>
        <v>14044712.535300663</v>
      </c>
      <c r="N380" s="138">
        <f t="shared" ca="1" si="200"/>
        <v>243171768.60140395</v>
      </c>
      <c r="O380" s="138">
        <f t="shared" ca="1" si="200"/>
        <v>0</v>
      </c>
      <c r="P380" s="138">
        <f t="shared" ca="1" si="200"/>
        <v>0</v>
      </c>
      <c r="Q380" s="138">
        <f t="shared" ca="1" si="200"/>
        <v>0</v>
      </c>
      <c r="R380" s="138">
        <f t="shared" ca="1" si="200"/>
        <v>0</v>
      </c>
      <c r="S380" s="138">
        <f t="shared" ca="1" si="200"/>
        <v>0</v>
      </c>
      <c r="T380" s="138">
        <f t="shared" ca="1" si="200"/>
        <v>0</v>
      </c>
      <c r="U380" s="138">
        <f t="shared" ca="1" si="200"/>
        <v>0</v>
      </c>
      <c r="V380" s="138">
        <f t="shared" ca="1" si="200"/>
        <v>0</v>
      </c>
      <c r="W380" s="138">
        <f t="shared" ca="1" si="200"/>
        <v>0</v>
      </c>
      <c r="X380" s="138">
        <f t="shared" ca="1" si="200"/>
        <v>0</v>
      </c>
      <c r="Y380" s="138">
        <f t="shared" ca="1" si="200"/>
        <v>0</v>
      </c>
      <c r="Z380" s="138">
        <f t="shared" ca="1" si="200"/>
        <v>0</v>
      </c>
    </row>
    <row r="382" spans="2:26" x14ac:dyDescent="0.2">
      <c r="B382" s="188" t="s">
        <v>421</v>
      </c>
      <c r="C382" s="188"/>
      <c r="D382" s="189">
        <f ca="1">+IRR(F380:Z380)</f>
        <v>0.13060699643748319</v>
      </c>
    </row>
    <row r="383" spans="2:26" x14ac:dyDescent="0.2">
      <c r="B383" s="192" t="s">
        <v>422</v>
      </c>
      <c r="C383" s="191"/>
      <c r="D383" s="225">
        <f ca="1">+D382/(1-'Assumptions and Sensis'!$M$227)</f>
        <v>0.16532531194618125</v>
      </c>
    </row>
    <row r="385" spans="2:26" x14ac:dyDescent="0.2">
      <c r="B385" s="40" t="s">
        <v>419</v>
      </c>
      <c r="F385" s="150">
        <f ca="1">IFERROR(IF(YEAR(F357)&lt;=YEAR('Assumptions and Sensis'!$G$51),10%*(OFFSET(F373,0,-5))+5%*(OFFSET(F373,0,-7)),0),0)</f>
        <v>0</v>
      </c>
      <c r="G385" s="150">
        <f ca="1">IFERROR(IF(YEAR(G357)&lt;=YEAR('Assumptions and Sensis'!$G$51),10%*(OFFSET(G373,0,-5))+5%*(OFFSET(G373,0,-7)),0),0)</f>
        <v>0</v>
      </c>
      <c r="H385" s="150">
        <f ca="1">IFERROR(IF(YEAR(H357)&lt;=YEAR('Assumptions and Sensis'!$G$51),10%*(OFFSET(H373,0,-5))+5%*(OFFSET(H373,0,-7)),0),0)</f>
        <v>0</v>
      </c>
      <c r="I385" s="150">
        <f ca="1">IFERROR(IF(YEAR(I357)&lt;=YEAR('Assumptions and Sensis'!$G$51),10%*(OFFSET(I373,0,-5))+5%*(OFFSET(I373,0,-7)),0),0)</f>
        <v>0</v>
      </c>
      <c r="J385" s="150">
        <f ca="1">IFERROR(IF(YEAR(J357)&lt;=YEAR('Assumptions and Sensis'!$G$51),10%*(OFFSET(J373,0,-5))+5%*(OFFSET(J373,0,-7)),0),0)</f>
        <v>0</v>
      </c>
      <c r="K385" s="150">
        <f ca="1">IFERROR(IF(YEAR(K357)&lt;=YEAR('Assumptions and Sensis'!$G$51),10%*(OFFSET(K373,0,-5))+5%*(OFFSET(K373,0,-7)),0),0)</f>
        <v>396349.38127745152</v>
      </c>
      <c r="L385" s="150">
        <f ca="1">IFERROR(IF(YEAR(L357)&lt;=YEAR('Assumptions and Sensis'!$G$51),10%*(OFFSET(L373,0,-5))+5%*(OFFSET(L373,0,-7)),0),0)</f>
        <v>1927845.9248356922</v>
      </c>
      <c r="M385" s="150">
        <f ca="1">IFERROR(IF(YEAR(M357)&lt;=YEAR('Assumptions and Sensis'!$G$51),10%*(OFFSET(M373,0,-5))+5%*(OFFSET(M373,0,-7)),0),0)</f>
        <v>1092825.3292133533</v>
      </c>
      <c r="N385" s="150">
        <f ca="1">IFERROR(IF(YEAR(N357)&lt;=YEAR('Assumptions and Sensis'!$G$51),10%*(OFFSET(N373,0,-5))+5%*(OFFSET(N373,0,-7)),0),0)</f>
        <v>963922.96241784608</v>
      </c>
      <c r="O385" s="150">
        <f ca="1">IFERROR(IF(YEAR(O357)&lt;=YEAR('Assumptions and Sensis'!$G$51),10%*(OFFSET(O373,0,-5))+5%*(OFFSET(O373,0,-7)),0),0)</f>
        <v>0</v>
      </c>
      <c r="P385" s="150">
        <f ca="1">IFERROR(IF(YEAR(P357)&lt;=YEAR('Assumptions and Sensis'!$G$51),10%*(OFFSET(P373,0,-5))+5%*(OFFSET(P373,0,-7)),0),0)</f>
        <v>0</v>
      </c>
      <c r="Q385" s="150">
        <f ca="1">IFERROR(IF(YEAR(Q357)&lt;=YEAR('Assumptions and Sensis'!$G$51),10%*(OFFSET(Q373,0,-5))+5%*(OFFSET(Q373,0,-7)),0),0)</f>
        <v>0</v>
      </c>
      <c r="R385" s="150">
        <f ca="1">IFERROR(IF(YEAR(R357)&lt;=YEAR('Assumptions and Sensis'!$G$51),10%*(OFFSET(R373,0,-5))+5%*(OFFSET(R373,0,-7)),0),0)</f>
        <v>0</v>
      </c>
      <c r="S385" s="150">
        <f ca="1">IFERROR(IF(YEAR(S357)&lt;=YEAR('Assumptions and Sensis'!$G$51),10%*(OFFSET(S373,0,-5))+5%*(OFFSET(S373,0,-7)),0),0)</f>
        <v>0</v>
      </c>
      <c r="T385" s="150">
        <f ca="1">IFERROR(IF(YEAR(T357)&lt;=YEAR('Assumptions and Sensis'!$G$51),10%*(OFFSET(T373,0,-5))+5%*(OFFSET(T373,0,-7)),0),0)</f>
        <v>0</v>
      </c>
      <c r="U385" s="150">
        <f ca="1">IFERROR(IF(YEAR(U357)&lt;=YEAR('Assumptions and Sensis'!$G$51),10%*(OFFSET(U373,0,-5))+5%*(OFFSET(U373,0,-7)),0),0)</f>
        <v>0</v>
      </c>
      <c r="V385" s="150">
        <f ca="1">IFERROR(IF(YEAR(V357)&lt;=YEAR('Assumptions and Sensis'!$G$51),10%*(OFFSET(V373,0,-5))+5%*(OFFSET(V373,0,-7)),0),0)</f>
        <v>0</v>
      </c>
      <c r="W385" s="150">
        <f ca="1">IFERROR(IF(YEAR(W357)&lt;=YEAR('Assumptions and Sensis'!$G$51),10%*(OFFSET(W373,0,-5))+5%*(OFFSET(W373,0,-7)),0),0)</f>
        <v>0</v>
      </c>
      <c r="X385" s="150">
        <f ca="1">IFERROR(IF(YEAR(X357)&lt;=YEAR('Assumptions and Sensis'!$G$51),10%*(OFFSET(X373,0,-5))+5%*(OFFSET(X373,0,-7)),0),0)</f>
        <v>0</v>
      </c>
      <c r="Y385" s="150">
        <f ca="1">IFERROR(IF(YEAR(Y357)&lt;=YEAR('Assumptions and Sensis'!$G$51),10%*(OFFSET(Y373,0,-5))+5%*(OFFSET(Y373,0,-7)),0),0)</f>
        <v>0</v>
      </c>
      <c r="Z385" s="150">
        <f ca="1">IFERROR(IF(YEAR(Z357)&lt;=YEAR('Assumptions and Sensis'!$G$51),10%*(OFFSET(Z373,0,-5))+5%*(OFFSET(Z373,0,-7)),0),0)</f>
        <v>0</v>
      </c>
    </row>
    <row r="387" spans="2:26" x14ac:dyDescent="0.2">
      <c r="B387" s="147" t="s">
        <v>399</v>
      </c>
    </row>
    <row r="388" spans="2:26" x14ac:dyDescent="0.2">
      <c r="B388" s="32" t="s">
        <v>400</v>
      </c>
      <c r="D388" s="47">
        <f ca="1">+SUM(F388:Z388)</f>
        <v>984710242.573578</v>
      </c>
      <c r="E388" s="47"/>
      <c r="F388" s="33">
        <v>0</v>
      </c>
      <c r="G388" s="33">
        <f ca="1">+F395</f>
        <v>18873780.060831025</v>
      </c>
      <c r="H388" s="33">
        <f t="shared" ref="H388:Z388" ca="1" si="201">+G395</f>
        <v>110675966.95776874</v>
      </c>
      <c r="I388" s="33">
        <f t="shared" ca="1" si="201"/>
        <v>153278378.31846529</v>
      </c>
      <c r="J388" s="33">
        <f t="shared" ca="1" si="201"/>
        <v>153278378.31846529</v>
      </c>
      <c r="K388" s="33">
        <f t="shared" ca="1" si="201"/>
        <v>146827400.88288394</v>
      </c>
      <c r="L388" s="33">
        <f t="shared" ca="1" si="201"/>
        <v>140376423.44730258</v>
      </c>
      <c r="M388" s="33">
        <f t="shared" ca="1" si="201"/>
        <v>133925446.01172124</v>
      </c>
      <c r="N388" s="33">
        <f t="shared" ca="1" si="201"/>
        <v>127474468.57613988</v>
      </c>
      <c r="O388" s="33">
        <f t="shared" ca="1" si="201"/>
        <v>0</v>
      </c>
      <c r="P388" s="33">
        <f t="shared" ca="1" si="201"/>
        <v>0</v>
      </c>
      <c r="Q388" s="33">
        <f t="shared" ca="1" si="201"/>
        <v>0</v>
      </c>
      <c r="R388" s="33">
        <f t="shared" ca="1" si="201"/>
        <v>0</v>
      </c>
      <c r="S388" s="33">
        <f t="shared" ca="1" si="201"/>
        <v>0</v>
      </c>
      <c r="T388" s="33">
        <f t="shared" ca="1" si="201"/>
        <v>0</v>
      </c>
      <c r="U388" s="33">
        <f t="shared" ca="1" si="201"/>
        <v>0</v>
      </c>
      <c r="V388" s="33">
        <f t="shared" ca="1" si="201"/>
        <v>0</v>
      </c>
      <c r="W388" s="33">
        <f t="shared" ca="1" si="201"/>
        <v>0</v>
      </c>
      <c r="X388" s="33">
        <f t="shared" ca="1" si="201"/>
        <v>0</v>
      </c>
      <c r="Y388" s="33">
        <f t="shared" ca="1" si="201"/>
        <v>0</v>
      </c>
      <c r="Z388" s="33">
        <f t="shared" ca="1" si="201"/>
        <v>0</v>
      </c>
    </row>
    <row r="389" spans="2:26" x14ac:dyDescent="0.2">
      <c r="B389" s="32" t="s">
        <v>398</v>
      </c>
      <c r="D389" s="47">
        <f t="shared" ref="D389:D394" ca="1" si="202">+SUM(F389:Z389)</f>
        <v>153278378.31846529</v>
      </c>
      <c r="E389" s="47"/>
      <c r="F389" s="150">
        <f ca="1">-F360</f>
        <v>18873780.060831025</v>
      </c>
      <c r="G389" s="150">
        <f t="shared" ref="G389:Z389" ca="1" si="203">-G360</f>
        <v>91802186.896937713</v>
      </c>
      <c r="H389" s="150">
        <f t="shared" ca="1" si="203"/>
        <v>42602411.360696554</v>
      </c>
      <c r="I389" s="150">
        <f t="shared" ca="1" si="203"/>
        <v>0</v>
      </c>
      <c r="J389" s="150">
        <f t="shared" ca="1" si="203"/>
        <v>0</v>
      </c>
      <c r="K389" s="150">
        <f t="shared" ca="1" si="203"/>
        <v>0</v>
      </c>
      <c r="L389" s="150">
        <f t="shared" ca="1" si="203"/>
        <v>0</v>
      </c>
      <c r="M389" s="150">
        <f t="shared" ca="1" si="203"/>
        <v>0</v>
      </c>
      <c r="N389" s="150">
        <f t="shared" ca="1" si="203"/>
        <v>0</v>
      </c>
      <c r="O389" s="150">
        <f t="shared" ca="1" si="203"/>
        <v>0</v>
      </c>
      <c r="P389" s="150">
        <f t="shared" ca="1" si="203"/>
        <v>0</v>
      </c>
      <c r="Q389" s="150">
        <f t="shared" ca="1" si="203"/>
        <v>0</v>
      </c>
      <c r="R389" s="150">
        <f t="shared" ca="1" si="203"/>
        <v>0</v>
      </c>
      <c r="S389" s="150">
        <f t="shared" ca="1" si="203"/>
        <v>0</v>
      </c>
      <c r="T389" s="150">
        <f t="shared" ca="1" si="203"/>
        <v>0</v>
      </c>
      <c r="U389" s="150">
        <f t="shared" ca="1" si="203"/>
        <v>0</v>
      </c>
      <c r="V389" s="150">
        <f t="shared" ca="1" si="203"/>
        <v>0</v>
      </c>
      <c r="W389" s="150">
        <f t="shared" ca="1" si="203"/>
        <v>0</v>
      </c>
      <c r="X389" s="150">
        <f t="shared" ca="1" si="203"/>
        <v>0</v>
      </c>
      <c r="Y389" s="150">
        <f t="shared" ca="1" si="203"/>
        <v>0</v>
      </c>
      <c r="Z389" s="150">
        <f t="shared" ca="1" si="203"/>
        <v>0</v>
      </c>
    </row>
    <row r="390" spans="2:26" x14ac:dyDescent="0.2">
      <c r="B390" s="32" t="s">
        <v>248</v>
      </c>
      <c r="D390" s="47">
        <f t="shared" ca="1" si="202"/>
        <v>84621212.819581494</v>
      </c>
      <c r="E390" s="47"/>
      <c r="F390" s="150">
        <f ca="1">IF(F357&lt;='Assumptions and Sensis'!$G$51,F321,0)</f>
        <v>0</v>
      </c>
      <c r="G390" s="150">
        <f ca="1">IF(G357&lt;='Assumptions and Sensis'!$G$51,G321,0)</f>
        <v>0</v>
      </c>
      <c r="H390" s="150">
        <f ca="1">IF(H357&lt;='Assumptions and Sensis'!$G$51,H321,0)</f>
        <v>0</v>
      </c>
      <c r="I390" s="150">
        <f ca="1">IF(I357&lt;='Assumptions and Sensis'!$G$51,I321,0)</f>
        <v>6946822.2629323117</v>
      </c>
      <c r="J390" s="150">
        <f ca="1">IF(J357&lt;='Assumptions and Sensis'!$G$51,J321,0)</f>
        <v>14485528.459140714</v>
      </c>
      <c r="K390" s="150">
        <f ca="1">IF(K357&lt;='Assumptions and Sensis'!$G$51,K321,0)</f>
        <v>14919107.173988493</v>
      </c>
      <c r="L390" s="150">
        <f ca="1">IF(L357&lt;='Assumptions and Sensis'!$G$51,L321,0)</f>
        <v>15824066.265007693</v>
      </c>
      <c r="M390" s="150">
        <f ca="1">IF(M357&lt;='Assumptions and Sensis'!$G$51,M321,0)</f>
        <v>16063300.346618453</v>
      </c>
      <c r="N390" s="150">
        <f ca="1">IF(N357&lt;='Assumptions and Sensis'!$G$51,N321,0)</f>
        <v>16382388.311893821</v>
      </c>
      <c r="O390" s="150">
        <f>IF(O357&lt;='Assumptions and Sensis'!$G$51,O321,0)</f>
        <v>0</v>
      </c>
      <c r="P390" s="150">
        <f>IF(P357&lt;='Assumptions and Sensis'!$G$51,P321,0)</f>
        <v>0</v>
      </c>
      <c r="Q390" s="150">
        <f>IF(Q357&lt;='Assumptions and Sensis'!$G$51,Q321,0)</f>
        <v>0</v>
      </c>
      <c r="R390" s="150">
        <f>IF(R357&lt;='Assumptions and Sensis'!$G$51,R321,0)</f>
        <v>0</v>
      </c>
      <c r="S390" s="150">
        <f>IF(S357&lt;='Assumptions and Sensis'!$G$51,S321,0)</f>
        <v>0</v>
      </c>
      <c r="T390" s="150">
        <f>IF(T357&lt;='Assumptions and Sensis'!$G$51,T321,0)</f>
        <v>0</v>
      </c>
      <c r="U390" s="150">
        <f>IF(U357&lt;='Assumptions and Sensis'!$G$51,U321,0)</f>
        <v>0</v>
      </c>
      <c r="V390" s="150">
        <f>IF(V357&lt;='Assumptions and Sensis'!$G$51,V321,0)</f>
        <v>0</v>
      </c>
      <c r="W390" s="150">
        <f>IF(W357&lt;='Assumptions and Sensis'!$G$51,W321,0)</f>
        <v>0</v>
      </c>
      <c r="X390" s="150">
        <f>IF(X357&lt;='Assumptions and Sensis'!$G$51,X321,0)</f>
        <v>0</v>
      </c>
      <c r="Y390" s="150">
        <f>IF(Y357&lt;='Assumptions and Sensis'!$G$51,Y321,0)</f>
        <v>0</v>
      </c>
      <c r="Z390" s="150">
        <f>IF(Z357&lt;='Assumptions and Sensis'!$G$51,Z321,0)</f>
        <v>0</v>
      </c>
    </row>
    <row r="391" spans="2:26" x14ac:dyDescent="0.2">
      <c r="B391" s="32" t="s">
        <v>410</v>
      </c>
      <c r="D391" s="47">
        <f t="shared" ca="1" si="202"/>
        <v>-32254887.177906796</v>
      </c>
      <c r="E391" s="47"/>
      <c r="F391" s="150">
        <f>-IF(AND(F357&gt;'Assumptions and Sensis'!$G$47,F357&lt;='Assumptions and Sensis'!$G$51),Budget!$I$82*'Assumptions and Sensis'!$M$229/'Assumptions and Sensis'!$M$228,0)</f>
        <v>0</v>
      </c>
      <c r="G391" s="150">
        <f>-IF(AND(G357&gt;'Assumptions and Sensis'!$G$47,G357&lt;='Assumptions and Sensis'!$G$51),Budget!$I$82*'Assumptions and Sensis'!$M$229/'Assumptions and Sensis'!$M$228,0)</f>
        <v>0</v>
      </c>
      <c r="H391" s="150">
        <f>-IF(AND(H357&gt;'Assumptions and Sensis'!$G$47,H357&lt;='Assumptions and Sensis'!$G$51),Budget!$I$82*'Assumptions and Sensis'!$M$229/'Assumptions and Sensis'!$M$228,0)</f>
        <v>0</v>
      </c>
      <c r="I391" s="150">
        <f>-IF(AND(I357&gt;'Assumptions and Sensis'!$G$47,I357&lt;='Assumptions and Sensis'!$G$51),Budget!$I$82*'Assumptions and Sensis'!$M$229/'Assumptions and Sensis'!$M$228,0)</f>
        <v>0</v>
      </c>
      <c r="J391" s="150">
        <f ca="1">-IF(AND(J357&gt;'Assumptions and Sensis'!$G$47,J357&lt;='Assumptions and Sensis'!$G$51),Budget!$I$82*'Assumptions and Sensis'!$M$229/'Assumptions and Sensis'!$M$228,0)</f>
        <v>-6450977.4355813591</v>
      </c>
      <c r="K391" s="150">
        <f ca="1">-IF(AND(K357&gt;'Assumptions and Sensis'!$G$47,K357&lt;='Assumptions and Sensis'!$G$51),Budget!$I$82*'Assumptions and Sensis'!$M$229/'Assumptions and Sensis'!$M$228,0)</f>
        <v>-6450977.4355813591</v>
      </c>
      <c r="L391" s="150">
        <f ca="1">-IF(AND(L357&gt;'Assumptions and Sensis'!$G$47,L357&lt;='Assumptions and Sensis'!$G$51),Budget!$I$82*'Assumptions and Sensis'!$M$229/'Assumptions and Sensis'!$M$228,0)</f>
        <v>-6450977.4355813591</v>
      </c>
      <c r="M391" s="150">
        <f ca="1">-IF(AND(M357&gt;'Assumptions and Sensis'!$G$47,M357&lt;='Assumptions and Sensis'!$G$51),Budget!$I$82*'Assumptions and Sensis'!$M$229/'Assumptions and Sensis'!$M$228,0)</f>
        <v>-6450977.4355813591</v>
      </c>
      <c r="N391" s="150">
        <f ca="1">-IF(AND(N357&gt;'Assumptions and Sensis'!$G$47,N357&lt;='Assumptions and Sensis'!$G$51),Budget!$I$82*'Assumptions and Sensis'!$M$229/'Assumptions and Sensis'!$M$228,0)</f>
        <v>-6450977.4355813591</v>
      </c>
      <c r="O391" s="150">
        <f>-IF(AND(O357&gt;'Assumptions and Sensis'!$G$47,O357&lt;='Assumptions and Sensis'!$G$51),Budget!$I$82*'Assumptions and Sensis'!$M$229/'Assumptions and Sensis'!$M$228,0)</f>
        <v>0</v>
      </c>
      <c r="P391" s="150">
        <f>-IF(AND(P357&gt;'Assumptions and Sensis'!$G$47,P357&lt;='Assumptions and Sensis'!$G$51),Budget!$I$82*'Assumptions and Sensis'!$M$229/'Assumptions and Sensis'!$M$228,0)</f>
        <v>0</v>
      </c>
      <c r="Q391" s="150">
        <f>-IF(AND(Q357&gt;'Assumptions and Sensis'!$G$47,Q357&lt;='Assumptions and Sensis'!$G$51),Budget!$I$82*'Assumptions and Sensis'!$M$229/'Assumptions and Sensis'!$M$228,0)</f>
        <v>0</v>
      </c>
      <c r="R391" s="150">
        <f>-IF(AND(R357&gt;'Assumptions and Sensis'!$G$47,R357&lt;='Assumptions and Sensis'!$G$51),Budget!$I$82*'Assumptions and Sensis'!$M$229/'Assumptions and Sensis'!$M$228,0)</f>
        <v>0</v>
      </c>
      <c r="S391" s="150">
        <f>-IF(AND(S357&gt;'Assumptions and Sensis'!$G$47,S357&lt;='Assumptions and Sensis'!$G$51),Budget!$I$82*'Assumptions and Sensis'!$M$229/'Assumptions and Sensis'!$M$228,0)</f>
        <v>0</v>
      </c>
      <c r="T391" s="150">
        <f>-IF(AND(T357&gt;'Assumptions and Sensis'!$G$47,T357&lt;='Assumptions and Sensis'!$G$51),Budget!$I$82*'Assumptions and Sensis'!$M$229/'Assumptions and Sensis'!$M$228,0)</f>
        <v>0</v>
      </c>
      <c r="U391" s="150">
        <f>-IF(AND(U357&gt;'Assumptions and Sensis'!$G$47,U357&lt;='Assumptions and Sensis'!$G$51),Budget!$I$82*'Assumptions and Sensis'!$M$229/'Assumptions and Sensis'!$M$228,0)</f>
        <v>0</v>
      </c>
      <c r="V391" s="150">
        <f>-IF(AND(V357&gt;'Assumptions and Sensis'!$G$47,V357&lt;='Assumptions and Sensis'!$G$51),Budget!$I$82*'Assumptions and Sensis'!$M$229/'Assumptions and Sensis'!$M$228,0)</f>
        <v>0</v>
      </c>
      <c r="W391" s="150">
        <f>-IF(AND(W357&gt;'Assumptions and Sensis'!$G$47,W357&lt;='Assumptions and Sensis'!$G$51),Budget!$I$82*'Assumptions and Sensis'!$M$229/'Assumptions and Sensis'!$M$228,0)</f>
        <v>0</v>
      </c>
      <c r="X391" s="150">
        <f>-IF(AND(X357&gt;'Assumptions and Sensis'!$G$47,X357&lt;='Assumptions and Sensis'!$G$51),Budget!$I$82*'Assumptions and Sensis'!$M$229/'Assumptions and Sensis'!$M$228,0)</f>
        <v>0</v>
      </c>
      <c r="Y391" s="150">
        <f>-IF(AND(Y357&gt;'Assumptions and Sensis'!$G$47,Y357&lt;='Assumptions and Sensis'!$G$51),Budget!$I$82*'Assumptions and Sensis'!$M$229/'Assumptions and Sensis'!$M$228,0)</f>
        <v>0</v>
      </c>
      <c r="Z391" s="150">
        <f>-IF(AND(Z357&gt;'Assumptions and Sensis'!$G$47,Z357&lt;='Assumptions and Sensis'!$G$51),Budget!$I$82*'Assumptions and Sensis'!$M$229/'Assumptions and Sensis'!$M$228,0)</f>
        <v>0</v>
      </c>
    </row>
    <row r="392" spans="2:26" x14ac:dyDescent="0.2">
      <c r="B392" s="32" t="s">
        <v>401</v>
      </c>
      <c r="D392" s="47">
        <f t="shared" ca="1" si="202"/>
        <v>-84621212.819581494</v>
      </c>
      <c r="E392" s="47"/>
      <c r="F392" s="150">
        <f ca="1">-F364</f>
        <v>0</v>
      </c>
      <c r="G392" s="150">
        <f t="shared" ref="G392:Z393" ca="1" si="204">-G364</f>
        <v>0</v>
      </c>
      <c r="H392" s="150">
        <f t="shared" ca="1" si="204"/>
        <v>0</v>
      </c>
      <c r="I392" s="150">
        <f t="shared" ca="1" si="204"/>
        <v>-6946822.2629323117</v>
      </c>
      <c r="J392" s="150">
        <f t="shared" ca="1" si="204"/>
        <v>-14485528.459140714</v>
      </c>
      <c r="K392" s="150">
        <f t="shared" ca="1" si="204"/>
        <v>-14919107.173988493</v>
      </c>
      <c r="L392" s="150">
        <f t="shared" ca="1" si="204"/>
        <v>-15824066.265007693</v>
      </c>
      <c r="M392" s="150">
        <f t="shared" ca="1" si="204"/>
        <v>-16063300.346618453</v>
      </c>
      <c r="N392" s="150">
        <f t="shared" ca="1" si="204"/>
        <v>-16382388.311893821</v>
      </c>
      <c r="O392" s="150">
        <f t="shared" si="204"/>
        <v>0</v>
      </c>
      <c r="P392" s="150">
        <f t="shared" si="204"/>
        <v>0</v>
      </c>
      <c r="Q392" s="150">
        <f t="shared" si="204"/>
        <v>0</v>
      </c>
      <c r="R392" s="150">
        <f t="shared" si="204"/>
        <v>0</v>
      </c>
      <c r="S392" s="150">
        <f t="shared" si="204"/>
        <v>0</v>
      </c>
      <c r="T392" s="150">
        <f t="shared" si="204"/>
        <v>0</v>
      </c>
      <c r="U392" s="150">
        <f t="shared" si="204"/>
        <v>0</v>
      </c>
      <c r="V392" s="150">
        <f t="shared" si="204"/>
        <v>0</v>
      </c>
      <c r="W392" s="150">
        <f t="shared" si="204"/>
        <v>0</v>
      </c>
      <c r="X392" s="150">
        <f t="shared" si="204"/>
        <v>0</v>
      </c>
      <c r="Y392" s="150">
        <f t="shared" si="204"/>
        <v>0</v>
      </c>
      <c r="Z392" s="150">
        <f t="shared" si="204"/>
        <v>0</v>
      </c>
    </row>
    <row r="393" spans="2:26" x14ac:dyDescent="0.2">
      <c r="B393" s="32" t="s">
        <v>403</v>
      </c>
      <c r="D393" s="47">
        <f t="shared" ca="1" si="202"/>
        <v>-257544358.77723861</v>
      </c>
      <c r="E393" s="47"/>
      <c r="F393" s="150">
        <f>-F365</f>
        <v>0</v>
      </c>
      <c r="G393" s="150">
        <f t="shared" si="204"/>
        <v>0</v>
      </c>
      <c r="H393" s="150">
        <f t="shared" si="204"/>
        <v>0</v>
      </c>
      <c r="I393" s="150">
        <f t="shared" si="204"/>
        <v>0</v>
      </c>
      <c r="J393" s="150">
        <f t="shared" si="204"/>
        <v>0</v>
      </c>
      <c r="K393" s="150">
        <f t="shared" si="204"/>
        <v>0</v>
      </c>
      <c r="L393" s="150">
        <f t="shared" si="204"/>
        <v>0</v>
      </c>
      <c r="M393" s="150">
        <f t="shared" si="204"/>
        <v>0</v>
      </c>
      <c r="N393" s="150">
        <f t="shared" ca="1" si="204"/>
        <v>-257544358.77723855</v>
      </c>
      <c r="O393" s="150">
        <f t="shared" si="204"/>
        <v>0</v>
      </c>
      <c r="P393" s="150">
        <f t="shared" si="204"/>
        <v>0</v>
      </c>
      <c r="Q393" s="150">
        <f t="shared" si="204"/>
        <v>0</v>
      </c>
      <c r="R393" s="150">
        <f t="shared" si="204"/>
        <v>0</v>
      </c>
      <c r="S393" s="150">
        <f t="shared" si="204"/>
        <v>0</v>
      </c>
      <c r="T393" s="150">
        <f t="shared" si="204"/>
        <v>0</v>
      </c>
      <c r="U393" s="150">
        <f t="shared" si="204"/>
        <v>0</v>
      </c>
      <c r="V393" s="150">
        <f t="shared" si="204"/>
        <v>0</v>
      </c>
      <c r="W393" s="150">
        <f t="shared" si="204"/>
        <v>0</v>
      </c>
      <c r="X393" s="150">
        <f t="shared" si="204"/>
        <v>0</v>
      </c>
      <c r="Y393" s="150">
        <f t="shared" si="204"/>
        <v>0</v>
      </c>
      <c r="Z393" s="150">
        <f t="shared" si="204"/>
        <v>0</v>
      </c>
    </row>
    <row r="394" spans="2:26" x14ac:dyDescent="0.2">
      <c r="B394" s="32" t="s">
        <v>414</v>
      </c>
      <c r="D394" s="47">
        <f t="shared" ca="1" si="202"/>
        <v>136520867.6366801</v>
      </c>
      <c r="E394" s="47"/>
      <c r="F394" s="150">
        <f>-IF(YEAR(F357)=YEAR('Assumptions and Sensis'!$G$51),SUM(F388:F393),0)</f>
        <v>0</v>
      </c>
      <c r="G394" s="150">
        <f>-IF(YEAR(G357)=YEAR('Assumptions and Sensis'!$G$51),SUM(G388:G393),0)</f>
        <v>0</v>
      </c>
      <c r="H394" s="150">
        <f>-IF(YEAR(H357)=YEAR('Assumptions and Sensis'!$G$51),SUM(H388:H393),0)</f>
        <v>0</v>
      </c>
      <c r="I394" s="150">
        <f>-IF(YEAR(I357)=YEAR('Assumptions and Sensis'!$G$51),SUM(I388:I393),0)</f>
        <v>0</v>
      </c>
      <c r="J394" s="150">
        <f>-IF(YEAR(J357)=YEAR('Assumptions and Sensis'!$G$51),SUM(J388:J393),0)</f>
        <v>0</v>
      </c>
      <c r="K394" s="150">
        <f>-IF(YEAR(K357)=YEAR('Assumptions and Sensis'!$G$51),SUM(K388:K393),0)</f>
        <v>0</v>
      </c>
      <c r="L394" s="150">
        <f>-IF(YEAR(L357)=YEAR('Assumptions and Sensis'!$G$51),SUM(L388:L393),0)</f>
        <v>0</v>
      </c>
      <c r="M394" s="150">
        <f>-IF(YEAR(M357)=YEAR('Assumptions and Sensis'!$G$51),SUM(M388:M393),0)</f>
        <v>0</v>
      </c>
      <c r="N394" s="150">
        <f ca="1">-IF(YEAR(N357)=YEAR('Assumptions and Sensis'!$G$51),SUM(N388:N393),0)</f>
        <v>136520867.63668004</v>
      </c>
      <c r="O394" s="150">
        <f>-IF(YEAR(O357)=YEAR('Assumptions and Sensis'!$G$51),SUM(O388:O393),0)</f>
        <v>0</v>
      </c>
      <c r="P394" s="150">
        <f>-IF(YEAR(P357)=YEAR('Assumptions and Sensis'!$G$51),SUM(P388:P393),0)</f>
        <v>0</v>
      </c>
      <c r="Q394" s="150">
        <f>-IF(YEAR(Q357)=YEAR('Assumptions and Sensis'!$G$51),SUM(Q388:Q393),0)</f>
        <v>0</v>
      </c>
      <c r="R394" s="150">
        <f>-IF(YEAR(R357)=YEAR('Assumptions and Sensis'!$G$51),SUM(R388:R393),0)</f>
        <v>0</v>
      </c>
      <c r="S394" s="150">
        <f>-IF(YEAR(S357)=YEAR('Assumptions and Sensis'!$G$51),SUM(S388:S393),0)</f>
        <v>0</v>
      </c>
      <c r="T394" s="150">
        <f>-IF(YEAR(T357)=YEAR('Assumptions and Sensis'!$G$51),SUM(T388:T393),0)</f>
        <v>0</v>
      </c>
      <c r="U394" s="150">
        <f>-IF(YEAR(U357)=YEAR('Assumptions and Sensis'!$G$51),SUM(U388:U393),0)</f>
        <v>0</v>
      </c>
      <c r="V394" s="150">
        <f>-IF(YEAR(V357)=YEAR('Assumptions and Sensis'!$G$51),SUM(V388:V393),0)</f>
        <v>0</v>
      </c>
      <c r="W394" s="150">
        <f>-IF(YEAR(W357)=YEAR('Assumptions and Sensis'!$G$51),SUM(W388:W393),0)</f>
        <v>0</v>
      </c>
      <c r="X394" s="150">
        <f>-IF(YEAR(X357)=YEAR('Assumptions and Sensis'!$G$51),SUM(X388:X393),0)</f>
        <v>0</v>
      </c>
      <c r="Y394" s="150">
        <f>-IF(YEAR(Y357)=YEAR('Assumptions and Sensis'!$G$51),SUM(Y388:Y393),0)</f>
        <v>0</v>
      </c>
      <c r="Z394" s="150">
        <f>-IF(YEAR(Z357)=YEAR('Assumptions and Sensis'!$G$51),SUM(Z388:Z393),0)</f>
        <v>0</v>
      </c>
    </row>
    <row r="395" spans="2:26" x14ac:dyDescent="0.2">
      <c r="B395" s="136" t="s">
        <v>402</v>
      </c>
      <c r="C395" s="136"/>
      <c r="D395" s="35">
        <f t="shared" ref="D395" ca="1" si="205">+SUM(F395:Z395)</f>
        <v>984710242.573578</v>
      </c>
      <c r="E395" s="128"/>
      <c r="F395" s="128">
        <f ca="1">+SUM(F388:F394)</f>
        <v>18873780.060831025</v>
      </c>
      <c r="G395" s="128">
        <f t="shared" ref="G395:Z395" ca="1" si="206">+SUM(G388:G394)</f>
        <v>110675966.95776874</v>
      </c>
      <c r="H395" s="128">
        <f t="shared" ca="1" si="206"/>
        <v>153278378.31846529</v>
      </c>
      <c r="I395" s="128">
        <f t="shared" ca="1" si="206"/>
        <v>153278378.31846529</v>
      </c>
      <c r="J395" s="128">
        <f t="shared" ca="1" si="206"/>
        <v>146827400.88288394</v>
      </c>
      <c r="K395" s="128">
        <f t="shared" ca="1" si="206"/>
        <v>140376423.44730258</v>
      </c>
      <c r="L395" s="128">
        <f t="shared" ca="1" si="206"/>
        <v>133925446.01172124</v>
      </c>
      <c r="M395" s="128">
        <f t="shared" ca="1" si="206"/>
        <v>127474468.57613988</v>
      </c>
      <c r="N395" s="128">
        <f t="shared" ca="1" si="206"/>
        <v>0</v>
      </c>
      <c r="O395" s="128">
        <f t="shared" ca="1" si="206"/>
        <v>0</v>
      </c>
      <c r="P395" s="128">
        <f t="shared" ca="1" si="206"/>
        <v>0</v>
      </c>
      <c r="Q395" s="128">
        <f t="shared" ca="1" si="206"/>
        <v>0</v>
      </c>
      <c r="R395" s="128">
        <f t="shared" ca="1" si="206"/>
        <v>0</v>
      </c>
      <c r="S395" s="128">
        <f t="shared" ca="1" si="206"/>
        <v>0</v>
      </c>
      <c r="T395" s="128">
        <f t="shared" ca="1" si="206"/>
        <v>0</v>
      </c>
      <c r="U395" s="128">
        <f t="shared" ca="1" si="206"/>
        <v>0</v>
      </c>
      <c r="V395" s="128">
        <f t="shared" ca="1" si="206"/>
        <v>0</v>
      </c>
      <c r="W395" s="128">
        <f t="shared" ca="1" si="206"/>
        <v>0</v>
      </c>
      <c r="X395" s="128">
        <f t="shared" ca="1" si="206"/>
        <v>0</v>
      </c>
      <c r="Y395" s="128">
        <f t="shared" ca="1" si="206"/>
        <v>0</v>
      </c>
      <c r="Z395" s="128">
        <f t="shared" ca="1" si="206"/>
        <v>0</v>
      </c>
    </row>
    <row r="397" spans="2:26" x14ac:dyDescent="0.2">
      <c r="B397" s="36" t="s">
        <v>636</v>
      </c>
      <c r="C397" s="37"/>
      <c r="D397" s="37"/>
      <c r="E397" s="37"/>
      <c r="F397" s="135">
        <f>+F357</f>
        <v>44926</v>
      </c>
      <c r="G397" s="135">
        <f t="shared" ref="G397:Z397" si="207">+G357</f>
        <v>45291</v>
      </c>
      <c r="H397" s="135">
        <f t="shared" si="207"/>
        <v>45657</v>
      </c>
      <c r="I397" s="135">
        <f t="shared" si="207"/>
        <v>46022</v>
      </c>
      <c r="J397" s="135">
        <f t="shared" si="207"/>
        <v>46387</v>
      </c>
      <c r="K397" s="135">
        <f t="shared" si="207"/>
        <v>46752</v>
      </c>
      <c r="L397" s="135">
        <f t="shared" si="207"/>
        <v>47118</v>
      </c>
      <c r="M397" s="135">
        <f t="shared" si="207"/>
        <v>47483</v>
      </c>
      <c r="N397" s="135">
        <f t="shared" si="207"/>
        <v>47848</v>
      </c>
      <c r="O397" s="135">
        <f t="shared" si="207"/>
        <v>48213</v>
      </c>
      <c r="P397" s="135">
        <f t="shared" si="207"/>
        <v>48579</v>
      </c>
      <c r="Q397" s="135">
        <f t="shared" si="207"/>
        <v>48944</v>
      </c>
      <c r="R397" s="135">
        <f t="shared" si="207"/>
        <v>49309</v>
      </c>
      <c r="S397" s="135">
        <f t="shared" si="207"/>
        <v>49674</v>
      </c>
      <c r="T397" s="135">
        <f t="shared" si="207"/>
        <v>50040</v>
      </c>
      <c r="U397" s="135">
        <f t="shared" si="207"/>
        <v>50405</v>
      </c>
      <c r="V397" s="135">
        <f t="shared" si="207"/>
        <v>50770</v>
      </c>
      <c r="W397" s="135">
        <f t="shared" si="207"/>
        <v>51135</v>
      </c>
      <c r="X397" s="135">
        <f t="shared" si="207"/>
        <v>51501</v>
      </c>
      <c r="Y397" s="135">
        <f t="shared" si="207"/>
        <v>51866</v>
      </c>
      <c r="Z397" s="135">
        <f t="shared" si="207"/>
        <v>52231</v>
      </c>
    </row>
    <row r="398" spans="2:26" x14ac:dyDescent="0.2">
      <c r="B398" s="118"/>
    </row>
    <row r="399" spans="2:26" x14ac:dyDescent="0.2">
      <c r="B399" s="147" t="s">
        <v>646</v>
      </c>
      <c r="F399" s="147">
        <v>0</v>
      </c>
      <c r="G399" s="147">
        <f>+F399+1</f>
        <v>1</v>
      </c>
      <c r="H399" s="147">
        <f t="shared" ref="H399:Z399" si="208">+G399+1</f>
        <v>2</v>
      </c>
      <c r="I399" s="147">
        <f t="shared" si="208"/>
        <v>3</v>
      </c>
      <c r="J399" s="147">
        <f t="shared" si="208"/>
        <v>4</v>
      </c>
      <c r="K399" s="147">
        <f t="shared" si="208"/>
        <v>5</v>
      </c>
      <c r="L399" s="147">
        <f t="shared" si="208"/>
        <v>6</v>
      </c>
      <c r="M399" s="147">
        <f t="shared" si="208"/>
        <v>7</v>
      </c>
      <c r="N399" s="147">
        <f t="shared" si="208"/>
        <v>8</v>
      </c>
      <c r="O399" s="147">
        <f t="shared" si="208"/>
        <v>9</v>
      </c>
      <c r="P399" s="147">
        <f t="shared" si="208"/>
        <v>10</v>
      </c>
      <c r="Q399" s="147">
        <f t="shared" si="208"/>
        <v>11</v>
      </c>
      <c r="R399" s="147">
        <f t="shared" si="208"/>
        <v>12</v>
      </c>
      <c r="S399" s="147">
        <f t="shared" si="208"/>
        <v>13</v>
      </c>
      <c r="T399" s="147">
        <f t="shared" si="208"/>
        <v>14</v>
      </c>
      <c r="U399" s="147">
        <f t="shared" si="208"/>
        <v>15</v>
      </c>
      <c r="V399" s="147">
        <f t="shared" si="208"/>
        <v>16</v>
      </c>
      <c r="W399" s="147">
        <f t="shared" si="208"/>
        <v>17</v>
      </c>
      <c r="X399" s="147">
        <f t="shared" si="208"/>
        <v>18</v>
      </c>
      <c r="Y399" s="147">
        <f t="shared" si="208"/>
        <v>19</v>
      </c>
      <c r="Z399" s="147">
        <f t="shared" si="208"/>
        <v>20</v>
      </c>
    </row>
    <row r="400" spans="2:26" x14ac:dyDescent="0.2">
      <c r="B400" s="32" t="s">
        <v>398</v>
      </c>
      <c r="D400" s="47"/>
      <c r="E400" s="47"/>
      <c r="F400" s="33">
        <f ca="1">+F$307</f>
        <v>-18873780.060831025</v>
      </c>
      <c r="G400" s="33">
        <f t="shared" ref="G400:Z400" ca="1" si="209">+G$307</f>
        <v>-17409907.78914772</v>
      </c>
      <c r="H400" s="33">
        <f t="shared" ca="1" si="209"/>
        <v>0</v>
      </c>
      <c r="I400" s="33">
        <f t="shared" ca="1" si="209"/>
        <v>0</v>
      </c>
      <c r="J400" s="33">
        <f t="shared" ca="1" si="209"/>
        <v>0</v>
      </c>
      <c r="K400" s="33">
        <f t="shared" ca="1" si="209"/>
        <v>0</v>
      </c>
      <c r="L400" s="33">
        <f t="shared" ca="1" si="209"/>
        <v>0</v>
      </c>
      <c r="M400" s="33">
        <f t="shared" ca="1" si="209"/>
        <v>0</v>
      </c>
      <c r="N400" s="33">
        <f t="shared" ca="1" si="209"/>
        <v>0</v>
      </c>
      <c r="O400" s="33">
        <f t="shared" ca="1" si="209"/>
        <v>0</v>
      </c>
      <c r="P400" s="33">
        <f t="shared" ca="1" si="209"/>
        <v>0</v>
      </c>
      <c r="Q400" s="33">
        <f t="shared" ca="1" si="209"/>
        <v>0</v>
      </c>
      <c r="R400" s="33">
        <f t="shared" ca="1" si="209"/>
        <v>0</v>
      </c>
      <c r="S400" s="33">
        <f t="shared" ca="1" si="209"/>
        <v>0</v>
      </c>
      <c r="T400" s="33">
        <f t="shared" ca="1" si="209"/>
        <v>0</v>
      </c>
      <c r="U400" s="33">
        <f t="shared" ca="1" si="209"/>
        <v>0</v>
      </c>
      <c r="V400" s="33">
        <f t="shared" ca="1" si="209"/>
        <v>0</v>
      </c>
      <c r="W400" s="33">
        <f t="shared" ca="1" si="209"/>
        <v>0</v>
      </c>
      <c r="X400" s="33">
        <f t="shared" ca="1" si="209"/>
        <v>0</v>
      </c>
      <c r="Y400" s="33">
        <f t="shared" ca="1" si="209"/>
        <v>0</v>
      </c>
      <c r="Z400" s="33">
        <f t="shared" ca="1" si="209"/>
        <v>0</v>
      </c>
    </row>
    <row r="401" spans="2:26" x14ac:dyDescent="0.2">
      <c r="B401" s="32" t="s">
        <v>416</v>
      </c>
      <c r="D401" s="47"/>
      <c r="E401" s="47"/>
      <c r="F401" s="150">
        <v>0</v>
      </c>
      <c r="G401" s="150">
        <v>0</v>
      </c>
      <c r="H401" s="150">
        <v>0</v>
      </c>
      <c r="I401" s="150">
        <v>0</v>
      </c>
      <c r="J401" s="150">
        <v>0</v>
      </c>
      <c r="K401" s="150">
        <v>0</v>
      </c>
      <c r="L401" s="150">
        <v>0</v>
      </c>
      <c r="M401" s="150">
        <v>0</v>
      </c>
      <c r="N401" s="150">
        <v>0</v>
      </c>
      <c r="O401" s="150">
        <v>0</v>
      </c>
      <c r="P401" s="150">
        <v>0</v>
      </c>
      <c r="Q401" s="150">
        <v>0</v>
      </c>
      <c r="R401" s="150">
        <v>0</v>
      </c>
      <c r="S401" s="150">
        <v>0</v>
      </c>
      <c r="T401" s="150">
        <v>0</v>
      </c>
      <c r="U401" s="150">
        <v>0</v>
      </c>
      <c r="V401" s="150">
        <v>0</v>
      </c>
      <c r="W401" s="150">
        <v>0</v>
      </c>
      <c r="X401" s="150">
        <v>0</v>
      </c>
      <c r="Y401" s="150">
        <v>0</v>
      </c>
      <c r="Z401" s="150">
        <v>0</v>
      </c>
    </row>
    <row r="402" spans="2:26" x14ac:dyDescent="0.2">
      <c r="B402" s="32" t="s">
        <v>417</v>
      </c>
      <c r="D402" s="47"/>
      <c r="E402" s="47"/>
      <c r="F402" s="150">
        <v>0</v>
      </c>
      <c r="G402" s="150">
        <v>0</v>
      </c>
      <c r="H402" s="150">
        <v>0</v>
      </c>
      <c r="I402" s="150">
        <v>0</v>
      </c>
      <c r="J402" s="150">
        <v>0</v>
      </c>
      <c r="K402" s="150">
        <v>0</v>
      </c>
      <c r="L402" s="150">
        <v>0</v>
      </c>
      <c r="M402" s="150">
        <v>0</v>
      </c>
      <c r="N402" s="150">
        <v>0</v>
      </c>
      <c r="O402" s="150">
        <v>0</v>
      </c>
      <c r="P402" s="150">
        <v>0</v>
      </c>
      <c r="Q402" s="150">
        <v>0</v>
      </c>
      <c r="R402" s="150">
        <v>0</v>
      </c>
      <c r="S402" s="150">
        <v>0</v>
      </c>
      <c r="T402" s="150">
        <v>0</v>
      </c>
      <c r="U402" s="150">
        <v>0</v>
      </c>
      <c r="V402" s="150">
        <v>0</v>
      </c>
      <c r="W402" s="150">
        <v>0</v>
      </c>
      <c r="X402" s="150">
        <v>0</v>
      </c>
      <c r="Y402" s="150">
        <v>0</v>
      </c>
      <c r="Z402" s="150">
        <v>0</v>
      </c>
    </row>
    <row r="403" spans="2:26" x14ac:dyDescent="0.2">
      <c r="B403" s="32" t="s">
        <v>641</v>
      </c>
      <c r="D403" s="47"/>
      <c r="E403" s="47"/>
      <c r="F403" s="150">
        <f ca="1">-SUM(F430:F431)*'Assumptions and Sensis'!$M$227</f>
        <v>0</v>
      </c>
      <c r="G403" s="150">
        <f ca="1">-SUM(G430:G431)*'Assumptions and Sensis'!$M$227</f>
        <v>0</v>
      </c>
      <c r="H403" s="150">
        <f ca="1">-SUM(H430:H431)*'Assumptions and Sensis'!$M$227</f>
        <v>0</v>
      </c>
      <c r="I403" s="150">
        <f ca="1">-SUM(I430:I431)*'Assumptions and Sensis'!$M$227</f>
        <v>653578.54896604293</v>
      </c>
      <c r="J403" s="150">
        <f ca="1">-SUM(J430:J431)*'Assumptions and Sensis'!$M$227</f>
        <v>406328.98644949793</v>
      </c>
      <c r="K403" s="150">
        <f ca="1">-SUM(K430:K431)*'Assumptions and Sensis'!$M$227</f>
        <v>295227.20956558059</v>
      </c>
      <c r="L403" s="150">
        <f ca="1">-SUM(L430:L431)*'Assumptions and Sensis'!$M$227</f>
        <v>83832.287645882679</v>
      </c>
      <c r="M403" s="150">
        <f ca="1">-SUM(M430:M431)*'Assumptions and Sensis'!$M$227</f>
        <v>10851.639369589089</v>
      </c>
      <c r="N403" s="150">
        <f ca="1">-SUM(N430:N431)*'Assumptions and Sensis'!$M$227</f>
        <v>-80376.521400244834</v>
      </c>
      <c r="O403" s="150">
        <f>-SUM(O430:O431)*'Assumptions and Sensis'!$M$227</f>
        <v>0</v>
      </c>
      <c r="P403" s="150">
        <f>-SUM(P430:P431)*'Assumptions and Sensis'!$M$227</f>
        <v>0</v>
      </c>
      <c r="Q403" s="150">
        <f>-SUM(Q430:Q431)*'Assumptions and Sensis'!$M$227</f>
        <v>0</v>
      </c>
      <c r="R403" s="150">
        <f>-SUM(R430:R431)*'Assumptions and Sensis'!$M$227</f>
        <v>0</v>
      </c>
      <c r="S403" s="150">
        <f>-SUM(S430:S431)*'Assumptions and Sensis'!$M$227</f>
        <v>0</v>
      </c>
      <c r="T403" s="150">
        <f>-SUM(T430:T431)*'Assumptions and Sensis'!$M$227</f>
        <v>0</v>
      </c>
      <c r="U403" s="150">
        <f>-SUM(U430:U431)*'Assumptions and Sensis'!$M$227</f>
        <v>0</v>
      </c>
      <c r="V403" s="150">
        <f>-SUM(V430:V431)*'Assumptions and Sensis'!$M$227</f>
        <v>0</v>
      </c>
      <c r="W403" s="150">
        <f>-SUM(W430:W431)*'Assumptions and Sensis'!$M$227</f>
        <v>0</v>
      </c>
      <c r="X403" s="150">
        <f>-SUM(X430:X431)*'Assumptions and Sensis'!$M$227</f>
        <v>0</v>
      </c>
      <c r="Y403" s="150">
        <f>-SUM(Y430:Y431)*'Assumptions and Sensis'!$M$227</f>
        <v>0</v>
      </c>
      <c r="Z403" s="150">
        <f>-SUM(Z430:Z431)*'Assumptions and Sensis'!$M$227</f>
        <v>0</v>
      </c>
    </row>
    <row r="404" spans="2:26" x14ac:dyDescent="0.2">
      <c r="B404" s="32" t="s">
        <v>643</v>
      </c>
      <c r="D404" s="47"/>
      <c r="E404" s="47"/>
      <c r="F404" s="150">
        <f ca="1">+IF(YEAR(F$140)&lt;=YEAR('Assumptions and Sensis'!$G$51),F267+F222+F152,0)</f>
        <v>0</v>
      </c>
      <c r="G404" s="150">
        <f ca="1">+IF(YEAR(G$140)&lt;=YEAR('Assumptions and Sensis'!$G$51),G267+G222+G152,0)</f>
        <v>0</v>
      </c>
      <c r="H404" s="150">
        <f ca="1">+IF(YEAR(H$140)&lt;=YEAR('Assumptions and Sensis'!$G$51),H267+H222+H152,0)</f>
        <v>0</v>
      </c>
      <c r="I404" s="150">
        <f ca="1">+IF(YEAR(I$140)&lt;=YEAR('Assumptions and Sensis'!$G$51),I267+I222+I152,0)</f>
        <v>-5770924.7064398667</v>
      </c>
      <c r="J404" s="150">
        <f ca="1">+IF(YEAR(J$140)&lt;=YEAR('Assumptions and Sensis'!$G$51),J267+J222+J152,0)</f>
        <v>3047194.9531564033</v>
      </c>
      <c r="K404" s="150">
        <f ca="1">+IF(YEAR(K$140)&lt;=YEAR('Assumptions and Sensis'!$G$51),K267+K222+K152,0)</f>
        <v>3480773.6680041822</v>
      </c>
      <c r="L404" s="150">
        <f ca="1">+IF(YEAR(L$140)&lt;=YEAR('Assumptions and Sensis'!$G$51),L267+L222+L152,0)</f>
        <v>4385732.7590233833</v>
      </c>
      <c r="M404" s="150">
        <f ca="1">+IF(YEAR(M$140)&lt;=YEAR('Assumptions and Sensis'!$G$51),M267+M222+M152,0)</f>
        <v>4624966.840634143</v>
      </c>
      <c r="N404" s="150">
        <f ca="1">+IF(YEAR(N$140)&lt;=YEAR('Assumptions and Sensis'!$G$51),N267+N222+N152,0)</f>
        <v>4944054.8059095126</v>
      </c>
      <c r="O404" s="150">
        <f>+IF(YEAR(O$140)&lt;=YEAR('Assumptions and Sensis'!$G$51),O267+O222+O152,0)</f>
        <v>0</v>
      </c>
      <c r="P404" s="150">
        <f>+IF(YEAR(P$140)&lt;=YEAR('Assumptions and Sensis'!$G$51),P267+P222+P152,0)</f>
        <v>0</v>
      </c>
      <c r="Q404" s="150">
        <f>+IF(YEAR(Q$140)&lt;=YEAR('Assumptions and Sensis'!$G$51),Q267+Q222+Q152,0)</f>
        <v>0</v>
      </c>
      <c r="R404" s="150">
        <f>+IF(YEAR(R$140)&lt;=YEAR('Assumptions and Sensis'!$G$51),R267+R222+R152,0)</f>
        <v>0</v>
      </c>
      <c r="S404" s="150">
        <f>+IF(YEAR(S$140)&lt;=YEAR('Assumptions and Sensis'!$G$51),S267+S222+S152,0)</f>
        <v>0</v>
      </c>
      <c r="T404" s="150">
        <f>+IF(YEAR(T$140)&lt;=YEAR('Assumptions and Sensis'!$G$51),T267+T222+T152,0)</f>
        <v>0</v>
      </c>
      <c r="U404" s="150">
        <f>+IF(YEAR(U$140)&lt;=YEAR('Assumptions and Sensis'!$G$51),U267+U222+U152,0)</f>
        <v>0</v>
      </c>
      <c r="V404" s="150">
        <f>+IF(YEAR(V$140)&lt;=YEAR('Assumptions and Sensis'!$G$51),V267+V222+V152,0)</f>
        <v>0</v>
      </c>
      <c r="W404" s="150">
        <f>+IF(YEAR(W$140)&lt;=YEAR('Assumptions and Sensis'!$G$51),W267+W222+W152,0)</f>
        <v>0</v>
      </c>
      <c r="X404" s="150">
        <f>+IF(YEAR(X$140)&lt;=YEAR('Assumptions and Sensis'!$G$51),X267+X222+X152,0)</f>
        <v>0</v>
      </c>
      <c r="Y404" s="150">
        <f>+IF(YEAR(Y$140)&lt;=YEAR('Assumptions and Sensis'!$G$51),Y267+Y222+Y152,0)</f>
        <v>0</v>
      </c>
      <c r="Z404" s="150">
        <f>+IF(YEAR(Z$140)&lt;=YEAR('Assumptions and Sensis'!$G$51),Z267+Z222+Z152,0)</f>
        <v>0</v>
      </c>
    </row>
    <row r="405" spans="2:26" x14ac:dyDescent="0.2">
      <c r="B405" s="32" t="s">
        <v>642</v>
      </c>
      <c r="D405" s="47"/>
      <c r="E405" s="47"/>
      <c r="F405" s="150">
        <f>-IF(YEAR(F$140)&lt;=YEAR('Assumptions and Sensis'!$G$51),F433,0)</f>
        <v>0</v>
      </c>
      <c r="G405" s="150">
        <f>-IF(YEAR(G$140)&lt;=YEAR('Assumptions and Sensis'!$G$51),G433,0)</f>
        <v>0</v>
      </c>
      <c r="H405" s="150">
        <f>-IF(YEAR(H$140)&lt;=YEAR('Assumptions and Sensis'!$G$51),H433,0)</f>
        <v>0</v>
      </c>
      <c r="I405" s="150">
        <f ca="1">-IF(YEAR(I$140)&lt;=YEAR('Assumptions and Sensis'!$G$51),I433,0)</f>
        <v>24672690.320007652</v>
      </c>
      <c r="J405" s="150">
        <f>-IF(YEAR(J$140)&lt;=YEAR('Assumptions and Sensis'!$G$51),J433,0)</f>
        <v>0</v>
      </c>
      <c r="K405" s="150">
        <f>-IF(YEAR(K$140)&lt;=YEAR('Assumptions and Sensis'!$G$51),K433,0)</f>
        <v>0</v>
      </c>
      <c r="L405" s="150">
        <f>-IF(YEAR(L$140)&lt;=YEAR('Assumptions and Sensis'!$G$51),L433,0)</f>
        <v>0</v>
      </c>
      <c r="M405" s="150">
        <f>-IF(YEAR(M$140)&lt;=YEAR('Assumptions and Sensis'!$G$51),M433,0)</f>
        <v>0</v>
      </c>
      <c r="N405" s="150">
        <f ca="1">-IF(YEAR(N$140)&lt;=YEAR('Assumptions and Sensis'!$G$51),N433,0)</f>
        <v>109562781.14451878</v>
      </c>
      <c r="O405" s="150">
        <f>-IF(YEAR(O$140)&lt;=YEAR('Assumptions and Sensis'!$G$51),O433,0)</f>
        <v>0</v>
      </c>
      <c r="P405" s="150">
        <f>-IF(YEAR(P$140)&lt;=YEAR('Assumptions and Sensis'!$G$51),P433,0)</f>
        <v>0</v>
      </c>
      <c r="Q405" s="150">
        <f>-IF(YEAR(Q$140)&lt;=YEAR('Assumptions and Sensis'!$G$51),Q433,0)</f>
        <v>0</v>
      </c>
      <c r="R405" s="150">
        <f>-IF(YEAR(R$140)&lt;=YEAR('Assumptions and Sensis'!$G$51),R433,0)</f>
        <v>0</v>
      </c>
      <c r="S405" s="150">
        <f>-IF(YEAR(S$140)&lt;=YEAR('Assumptions and Sensis'!$G$51),S433,0)</f>
        <v>0</v>
      </c>
      <c r="T405" s="150">
        <f>-IF(YEAR(T$140)&lt;=YEAR('Assumptions and Sensis'!$G$51),T433,0)</f>
        <v>0</v>
      </c>
      <c r="U405" s="150">
        <f>-IF(YEAR(U$140)&lt;=YEAR('Assumptions and Sensis'!$G$51),U433,0)</f>
        <v>0</v>
      </c>
      <c r="V405" s="150">
        <f>-IF(YEAR(V$140)&lt;=YEAR('Assumptions and Sensis'!$G$51),V433,0)</f>
        <v>0</v>
      </c>
      <c r="W405" s="150">
        <f>-IF(YEAR(W$140)&lt;=YEAR('Assumptions and Sensis'!$G$51),W433,0)</f>
        <v>0</v>
      </c>
      <c r="X405" s="150">
        <f>-IF(YEAR(X$140)&lt;=YEAR('Assumptions and Sensis'!$G$51),X433,0)</f>
        <v>0</v>
      </c>
      <c r="Y405" s="150">
        <f>-IF(YEAR(Y$140)&lt;=YEAR('Assumptions and Sensis'!$G$51),Y433,0)</f>
        <v>0</v>
      </c>
      <c r="Z405" s="150">
        <f>-IF(YEAR(Z$140)&lt;=YEAR('Assumptions and Sensis'!$G$51),Z433,0)</f>
        <v>0</v>
      </c>
    </row>
    <row r="406" spans="2:26" x14ac:dyDescent="0.2">
      <c r="B406" s="32" t="s">
        <v>415</v>
      </c>
      <c r="D406" s="47"/>
      <c r="E406" s="47"/>
      <c r="F406" s="150">
        <f>-F434*'Assumptions and Sensis'!$M$227</f>
        <v>0</v>
      </c>
      <c r="G406" s="150">
        <f>-G434*'Assumptions and Sensis'!$M$227</f>
        <v>0</v>
      </c>
      <c r="H406" s="150">
        <f>-H434*'Assumptions and Sensis'!$M$227</f>
        <v>0</v>
      </c>
      <c r="I406" s="150">
        <f>-I434*'Assumptions and Sensis'!$M$227</f>
        <v>0</v>
      </c>
      <c r="J406" s="150">
        <f>-J434*'Assumptions and Sensis'!$M$227</f>
        <v>0</v>
      </c>
      <c r="K406" s="150">
        <f>-K434*'Assumptions and Sensis'!$M$227</f>
        <v>0</v>
      </c>
      <c r="L406" s="150">
        <f>-L434*'Assumptions and Sensis'!$M$227</f>
        <v>0</v>
      </c>
      <c r="M406" s="150">
        <f>-M434*'Assumptions and Sensis'!$M$227</f>
        <v>0</v>
      </c>
      <c r="N406" s="150">
        <f ca="1">-N434*'Assumptions and Sensis'!$M$227</f>
        <v>-25028794.356911793</v>
      </c>
      <c r="O406" s="150">
        <f>-O434*'Assumptions and Sensis'!$M$227</f>
        <v>0</v>
      </c>
      <c r="P406" s="150">
        <f>-P434*'Assumptions and Sensis'!$M$227</f>
        <v>0</v>
      </c>
      <c r="Q406" s="150">
        <f>-Q434*'Assumptions and Sensis'!$M$227</f>
        <v>0</v>
      </c>
      <c r="R406" s="150">
        <f>-R434*'Assumptions and Sensis'!$M$227</f>
        <v>0</v>
      </c>
      <c r="S406" s="150">
        <f>-S434*'Assumptions and Sensis'!$M$227</f>
        <v>0</v>
      </c>
      <c r="T406" s="150">
        <f>-T434*'Assumptions and Sensis'!$M$227</f>
        <v>0</v>
      </c>
      <c r="U406" s="150">
        <f>-U434*'Assumptions and Sensis'!$M$227</f>
        <v>0</v>
      </c>
      <c r="V406" s="150">
        <f>-V434*'Assumptions and Sensis'!$M$227</f>
        <v>0</v>
      </c>
      <c r="W406" s="150">
        <f>-W434*'Assumptions and Sensis'!$M$227</f>
        <v>0</v>
      </c>
      <c r="X406" s="150">
        <f>-X434*'Assumptions and Sensis'!$M$227</f>
        <v>0</v>
      </c>
      <c r="Y406" s="150">
        <f>-Y434*'Assumptions and Sensis'!$M$227</f>
        <v>0</v>
      </c>
      <c r="Z406" s="150">
        <f>-Z434*'Assumptions and Sensis'!$M$227</f>
        <v>0</v>
      </c>
    </row>
    <row r="407" spans="2:26" x14ac:dyDescent="0.2">
      <c r="B407" s="137" t="s">
        <v>407</v>
      </c>
      <c r="C407" s="137"/>
      <c r="D407" s="138">
        <f t="shared" ref="D407" ca="1" si="210">+SUM(F407:Z407)</f>
        <v>89004229.728519946</v>
      </c>
      <c r="E407" s="138"/>
      <c r="F407" s="138">
        <f t="shared" ref="F407:Z407" ca="1" si="211">+SUM(F400:F406)</f>
        <v>-18873780.060831025</v>
      </c>
      <c r="G407" s="138">
        <f t="shared" ca="1" si="211"/>
        <v>-17409907.78914772</v>
      </c>
      <c r="H407" s="138">
        <f t="shared" ca="1" si="211"/>
        <v>0</v>
      </c>
      <c r="I407" s="138">
        <f t="shared" ca="1" si="211"/>
        <v>19555344.162533827</v>
      </c>
      <c r="J407" s="138">
        <f t="shared" ca="1" si="211"/>
        <v>3453523.939605901</v>
      </c>
      <c r="K407" s="138">
        <f t="shared" ca="1" si="211"/>
        <v>3776000.877569763</v>
      </c>
      <c r="L407" s="138">
        <f t="shared" ca="1" si="211"/>
        <v>4469565.0466692662</v>
      </c>
      <c r="M407" s="138">
        <f t="shared" ca="1" si="211"/>
        <v>4635818.4800037323</v>
      </c>
      <c r="N407" s="138">
        <f t="shared" ca="1" si="211"/>
        <v>89397665.072116256</v>
      </c>
      <c r="O407" s="138">
        <f t="shared" ca="1" si="211"/>
        <v>0</v>
      </c>
      <c r="P407" s="138">
        <f t="shared" ca="1" si="211"/>
        <v>0</v>
      </c>
      <c r="Q407" s="138">
        <f t="shared" ca="1" si="211"/>
        <v>0</v>
      </c>
      <c r="R407" s="138">
        <f t="shared" ca="1" si="211"/>
        <v>0</v>
      </c>
      <c r="S407" s="138">
        <f t="shared" ca="1" si="211"/>
        <v>0</v>
      </c>
      <c r="T407" s="138">
        <f t="shared" ca="1" si="211"/>
        <v>0</v>
      </c>
      <c r="U407" s="138">
        <f t="shared" ca="1" si="211"/>
        <v>0</v>
      </c>
      <c r="V407" s="138">
        <f t="shared" ca="1" si="211"/>
        <v>0</v>
      </c>
      <c r="W407" s="138">
        <f t="shared" ca="1" si="211"/>
        <v>0</v>
      </c>
      <c r="X407" s="138">
        <f t="shared" ca="1" si="211"/>
        <v>0</v>
      </c>
      <c r="Y407" s="138">
        <f t="shared" ca="1" si="211"/>
        <v>0</v>
      </c>
      <c r="Z407" s="138">
        <f t="shared" ca="1" si="211"/>
        <v>0</v>
      </c>
    </row>
    <row r="408" spans="2:26" x14ac:dyDescent="0.2">
      <c r="B408" s="118"/>
    </row>
    <row r="409" spans="2:26" x14ac:dyDescent="0.2">
      <c r="B409" s="223" t="s">
        <v>644</v>
      </c>
      <c r="C409" s="223"/>
      <c r="D409" s="224">
        <f ca="1">+IRR(F407:Z407)</f>
        <v>0.22847994267131844</v>
      </c>
      <c r="F409" s="550"/>
      <c r="G409" s="33"/>
    </row>
    <row r="410" spans="2:26" x14ac:dyDescent="0.2">
      <c r="B410" s="118"/>
      <c r="D410" s="107"/>
    </row>
    <row r="411" spans="2:26" x14ac:dyDescent="0.2">
      <c r="B411" s="147" t="s">
        <v>645</v>
      </c>
      <c r="F411" s="147">
        <f>+F399</f>
        <v>0</v>
      </c>
      <c r="G411" s="147">
        <f t="shared" ref="G411:Z412" si="212">+G399</f>
        <v>1</v>
      </c>
      <c r="H411" s="147">
        <f t="shared" si="212"/>
        <v>2</v>
      </c>
      <c r="I411" s="147">
        <f t="shared" si="212"/>
        <v>3</v>
      </c>
      <c r="J411" s="147">
        <f t="shared" si="212"/>
        <v>4</v>
      </c>
      <c r="K411" s="147">
        <f t="shared" si="212"/>
        <v>5</v>
      </c>
      <c r="L411" s="147">
        <f t="shared" si="212"/>
        <v>6</v>
      </c>
      <c r="M411" s="147">
        <f t="shared" si="212"/>
        <v>7</v>
      </c>
      <c r="N411" s="147">
        <f t="shared" si="212"/>
        <v>8</v>
      </c>
      <c r="O411" s="147">
        <f t="shared" si="212"/>
        <v>9</v>
      </c>
      <c r="P411" s="147">
        <f t="shared" si="212"/>
        <v>10</v>
      </c>
      <c r="Q411" s="147">
        <f t="shared" si="212"/>
        <v>11</v>
      </c>
      <c r="R411" s="147">
        <f t="shared" si="212"/>
        <v>12</v>
      </c>
      <c r="S411" s="147">
        <f t="shared" si="212"/>
        <v>13</v>
      </c>
      <c r="T411" s="147">
        <f t="shared" si="212"/>
        <v>14</v>
      </c>
      <c r="U411" s="147">
        <f t="shared" si="212"/>
        <v>15</v>
      </c>
      <c r="V411" s="147">
        <f t="shared" si="212"/>
        <v>16</v>
      </c>
      <c r="W411" s="147">
        <f t="shared" si="212"/>
        <v>17</v>
      </c>
      <c r="X411" s="147">
        <f t="shared" si="212"/>
        <v>18</v>
      </c>
      <c r="Y411" s="147">
        <f t="shared" si="212"/>
        <v>19</v>
      </c>
      <c r="Z411" s="147">
        <f t="shared" si="212"/>
        <v>20</v>
      </c>
    </row>
    <row r="412" spans="2:26" x14ac:dyDescent="0.2">
      <c r="B412" s="32" t="s">
        <v>398</v>
      </c>
      <c r="D412" s="47"/>
      <c r="E412" s="47"/>
      <c r="F412" s="33">
        <f ca="1">+F400</f>
        <v>-18873780.060831025</v>
      </c>
      <c r="G412" s="33">
        <f t="shared" ca="1" si="212"/>
        <v>-17409907.78914772</v>
      </c>
      <c r="H412" s="33">
        <f t="shared" ca="1" si="212"/>
        <v>0</v>
      </c>
      <c r="I412" s="33">
        <f t="shared" ca="1" si="212"/>
        <v>0</v>
      </c>
      <c r="J412" s="33">
        <f t="shared" ca="1" si="212"/>
        <v>0</v>
      </c>
      <c r="K412" s="33">
        <f t="shared" ca="1" si="212"/>
        <v>0</v>
      </c>
      <c r="L412" s="33">
        <f t="shared" ca="1" si="212"/>
        <v>0</v>
      </c>
      <c r="M412" s="33">
        <f t="shared" ca="1" si="212"/>
        <v>0</v>
      </c>
      <c r="N412" s="33">
        <f t="shared" ca="1" si="212"/>
        <v>0</v>
      </c>
      <c r="O412" s="33">
        <f t="shared" ca="1" si="212"/>
        <v>0</v>
      </c>
      <c r="P412" s="33">
        <f t="shared" ca="1" si="212"/>
        <v>0</v>
      </c>
      <c r="Q412" s="33">
        <f t="shared" ca="1" si="212"/>
        <v>0</v>
      </c>
      <c r="R412" s="33">
        <f t="shared" ca="1" si="212"/>
        <v>0</v>
      </c>
      <c r="S412" s="33">
        <f t="shared" ca="1" si="212"/>
        <v>0</v>
      </c>
      <c r="T412" s="33">
        <f t="shared" ca="1" si="212"/>
        <v>0</v>
      </c>
      <c r="U412" s="33">
        <f t="shared" ca="1" si="212"/>
        <v>0</v>
      </c>
      <c r="V412" s="33">
        <f t="shared" ca="1" si="212"/>
        <v>0</v>
      </c>
      <c r="W412" s="33">
        <f t="shared" ca="1" si="212"/>
        <v>0</v>
      </c>
      <c r="X412" s="33">
        <f t="shared" ca="1" si="212"/>
        <v>0</v>
      </c>
      <c r="Y412" s="33">
        <f t="shared" ca="1" si="212"/>
        <v>0</v>
      </c>
      <c r="Z412" s="33">
        <f t="shared" ca="1" si="212"/>
        <v>0</v>
      </c>
    </row>
    <row r="413" spans="2:26" x14ac:dyDescent="0.2">
      <c r="B413" s="32" t="s">
        <v>416</v>
      </c>
      <c r="D413" s="47"/>
      <c r="E413" s="47"/>
      <c r="F413" s="150">
        <f ca="1">-F412*'Assumptions and Sensis'!$M$227</f>
        <v>3963493.8127745152</v>
      </c>
      <c r="G413" s="150">
        <f ca="1">-G412*'Assumptions and Sensis'!$M$227</f>
        <v>3656080.6357210209</v>
      </c>
      <c r="H413" s="150">
        <f ca="1">-H412*'Assumptions and Sensis'!$M$227</f>
        <v>0</v>
      </c>
      <c r="I413" s="150">
        <f ca="1">-I412*'Assumptions and Sensis'!$M$227</f>
        <v>0</v>
      </c>
      <c r="J413" s="150">
        <f ca="1">-J412*'Assumptions and Sensis'!$M$227</f>
        <v>0</v>
      </c>
      <c r="K413" s="150">
        <f ca="1">-K412*'Assumptions and Sensis'!$M$227</f>
        <v>0</v>
      </c>
      <c r="L413" s="150">
        <f ca="1">-L412*'Assumptions and Sensis'!$M$227</f>
        <v>0</v>
      </c>
      <c r="M413" s="150">
        <f ca="1">-M412*'Assumptions and Sensis'!$M$227</f>
        <v>0</v>
      </c>
      <c r="N413" s="150">
        <f ca="1">-N412*'Assumptions and Sensis'!$M$227</f>
        <v>0</v>
      </c>
      <c r="O413" s="150">
        <f ca="1">-O412*'Assumptions and Sensis'!$M$227</f>
        <v>0</v>
      </c>
      <c r="P413" s="150">
        <f ca="1">-P412*'Assumptions and Sensis'!$M$227</f>
        <v>0</v>
      </c>
      <c r="Q413" s="150">
        <f ca="1">-Q412*'Assumptions and Sensis'!$M$227</f>
        <v>0</v>
      </c>
      <c r="R413" s="150">
        <f ca="1">-R412*'Assumptions and Sensis'!$M$227</f>
        <v>0</v>
      </c>
      <c r="S413" s="150">
        <f ca="1">-S412*'Assumptions and Sensis'!$M$227</f>
        <v>0</v>
      </c>
      <c r="T413" s="150">
        <f ca="1">-T412*'Assumptions and Sensis'!$M$227</f>
        <v>0</v>
      </c>
      <c r="U413" s="150">
        <f ca="1">-U412*'Assumptions and Sensis'!$M$227</f>
        <v>0</v>
      </c>
      <c r="V413" s="150">
        <f ca="1">-V412*'Assumptions and Sensis'!$M$227</f>
        <v>0</v>
      </c>
      <c r="W413" s="150">
        <f ca="1">-W412*'Assumptions and Sensis'!$M$227</f>
        <v>0</v>
      </c>
      <c r="X413" s="150">
        <f ca="1">-X412*'Assumptions and Sensis'!$M$227</f>
        <v>0</v>
      </c>
      <c r="Y413" s="150">
        <f ca="1">-Y412*'Assumptions and Sensis'!$M$227</f>
        <v>0</v>
      </c>
      <c r="Z413" s="150">
        <f ca="1">-Z412*'Assumptions and Sensis'!$M$227</f>
        <v>0</v>
      </c>
    </row>
    <row r="414" spans="2:26" x14ac:dyDescent="0.2">
      <c r="B414" s="32" t="s">
        <v>417</v>
      </c>
      <c r="D414" s="47"/>
      <c r="E414" s="47"/>
      <c r="F414" s="150">
        <f ca="1">IFERROR(-IF(YEAR(F397)&lt;MIN(YEAR('Assumptions and Sensis'!$G$51),2026),(OFFSET(F413,0,-10)),IF(YEAR(F397)=MIN(YEAR('Assumptions and Sensis'!$G$51),2026),SUM($E$413:F$413)-SUM($E$414:E$414),0)),0)</f>
        <v>0</v>
      </c>
      <c r="G414" s="150">
        <f ca="1">IFERROR(-IF(YEAR(G397)&lt;MIN(YEAR('Assumptions and Sensis'!$G$51),2026),(OFFSET(G413,0,-10)),IF(YEAR(G397)=MIN(YEAR('Assumptions and Sensis'!$G$51),2026),SUM($E$413:G$413)-SUM($E$414:F$414),0)),0)</f>
        <v>0</v>
      </c>
      <c r="H414" s="150">
        <f ca="1">IFERROR(-IF(YEAR(H397)&lt;MIN(YEAR('Assumptions and Sensis'!$G$51),2026),(OFFSET(H413,0,-10)),IF(YEAR(H397)=MIN(YEAR('Assumptions and Sensis'!$G$51),2026),SUM($E$413:H$413)-SUM($E$414:G$414),0)),0)</f>
        <v>0</v>
      </c>
      <c r="I414" s="150">
        <f ca="1">IFERROR(-IF(YEAR(I397)&lt;MIN(YEAR('Assumptions and Sensis'!$G$51),2026),(OFFSET(I413,0,-10)),IF(YEAR(I397)=MIN(YEAR('Assumptions and Sensis'!$G$51),2026),SUM($E$413:I$413)-SUM($E$414:H$414),0)),0)</f>
        <v>0</v>
      </c>
      <c r="J414" s="150">
        <f ca="1">IFERROR(-IF(YEAR(J397)&lt;MIN(YEAR('Assumptions and Sensis'!$G$51),2026),(OFFSET(J413,0,-10)),IF(YEAR(J397)=MIN(YEAR('Assumptions and Sensis'!$G$51),2026),SUM($E$413:J$413)-SUM($E$414:I$414),0)),0)</f>
        <v>-7619574.4484955361</v>
      </c>
      <c r="K414" s="150">
        <f ca="1">IFERROR(-IF(YEAR(K397)&lt;MIN(YEAR('Assumptions and Sensis'!$G$51),2026),(OFFSET(K413,0,-10)),IF(YEAR(K397)=MIN(YEAR('Assumptions and Sensis'!$G$51),2026),SUM($E$413:K$413)-SUM($E$414:J$414),0)),0)</f>
        <v>0</v>
      </c>
      <c r="L414" s="150">
        <f ca="1">IFERROR(-IF(YEAR(L397)&lt;MIN(YEAR('Assumptions and Sensis'!$G$51),2026),(OFFSET(L413,0,-10)),IF(YEAR(L397)=MIN(YEAR('Assumptions and Sensis'!$G$51),2026),SUM($E$413:L$413)-SUM($E$414:K$414),0)),0)</f>
        <v>0</v>
      </c>
      <c r="M414" s="150">
        <f ca="1">IFERROR(-IF(YEAR(M397)&lt;MIN(YEAR('Assumptions and Sensis'!$G$51),2026),(OFFSET(M413,0,-10)),IF(YEAR(M397)=MIN(YEAR('Assumptions and Sensis'!$G$51),2026),SUM($E$413:M$413)-SUM($E$414:L$414),0)),0)</f>
        <v>0</v>
      </c>
      <c r="N414" s="150">
        <f ca="1">IFERROR(-IF(YEAR(N397)&lt;MIN(YEAR('Assumptions and Sensis'!$G$51),2026),(OFFSET(N413,0,-10)),IF(YEAR(N397)=MIN(YEAR('Assumptions and Sensis'!$G$51),2026),SUM($E$413:N$413)-SUM($E$414:M$414),0)),0)</f>
        <v>0</v>
      </c>
      <c r="O414" s="150">
        <f ca="1">IFERROR(-IF(YEAR(O397)&lt;MIN(YEAR('Assumptions and Sensis'!$G$51),2026),(OFFSET(O413,0,-10)),IF(YEAR(O397)=MIN(YEAR('Assumptions and Sensis'!$G$51),2026),SUM($E$413:O$413)-SUM($E$414:N$414),0)),0)</f>
        <v>0</v>
      </c>
      <c r="P414" s="150">
        <f ca="1">IFERROR(-IF(YEAR(P397)&lt;MIN(YEAR('Assumptions and Sensis'!$G$51),2026),(OFFSET(P413,0,-10)),IF(YEAR(P397)=MIN(YEAR('Assumptions and Sensis'!$G$51),2026),SUM($E$413:P$413)-SUM($E$414:O$414),0)),0)</f>
        <v>0</v>
      </c>
      <c r="Q414" s="150">
        <f ca="1">IFERROR(-IF(YEAR(Q397)&lt;MIN(YEAR('Assumptions and Sensis'!$G$51),2026),(OFFSET(Q413,0,-10)),IF(YEAR(Q397)=MIN(YEAR('Assumptions and Sensis'!$G$51),2026),SUM($E$413:Q$413)-SUM($E$414:P$414),0)),0)</f>
        <v>0</v>
      </c>
      <c r="R414" s="150">
        <f ca="1">IFERROR(-IF(YEAR(R397)&lt;MIN(YEAR('Assumptions and Sensis'!$G$51),2026),(OFFSET(R413,0,-10)),IF(YEAR(R397)=MIN(YEAR('Assumptions and Sensis'!$G$51),2026),SUM($E$413:R$413)-SUM($E$414:Q$414),0)),0)</f>
        <v>0</v>
      </c>
      <c r="S414" s="150">
        <f ca="1">IFERROR(-IF(YEAR(S397)&lt;MIN(YEAR('Assumptions and Sensis'!$G$51),2026),(OFFSET(S413,0,-10)),IF(YEAR(S397)=MIN(YEAR('Assumptions and Sensis'!$G$51),2026),SUM($E$413:S$413)-SUM($E$414:R$414),0)),0)</f>
        <v>0</v>
      </c>
      <c r="T414" s="150">
        <f ca="1">IFERROR(-IF(YEAR(T397)&lt;MIN(YEAR('Assumptions and Sensis'!$G$51),2026),(OFFSET(T413,0,-10)),IF(YEAR(T397)=MIN(YEAR('Assumptions and Sensis'!$G$51),2026),SUM($E$413:T$413)-SUM($E$414:S$414),0)),0)</f>
        <v>0</v>
      </c>
      <c r="U414" s="150">
        <f ca="1">IFERROR(-IF(YEAR(U397)&lt;MIN(YEAR('Assumptions and Sensis'!$G$51),2026),(OFFSET(U413,0,-10)),IF(YEAR(U397)=MIN(YEAR('Assumptions and Sensis'!$G$51),2026),SUM($E$413:U$413)-SUM($E$414:T$414),0)),0)</f>
        <v>0</v>
      </c>
      <c r="V414" s="150">
        <f ca="1">IFERROR(-IF(YEAR(V397)&lt;MIN(YEAR('Assumptions and Sensis'!$G$51),2026),(OFFSET(V413,0,-10)),IF(YEAR(V397)=MIN(YEAR('Assumptions and Sensis'!$G$51),2026),SUM($E$413:V$413)-SUM($E$414:U$414),0)),0)</f>
        <v>0</v>
      </c>
      <c r="W414" s="150">
        <f ca="1">IFERROR(-IF(YEAR(W397)&lt;MIN(YEAR('Assumptions and Sensis'!$G$51),2026),(OFFSET(W413,0,-10)),IF(YEAR(W397)=MIN(YEAR('Assumptions and Sensis'!$G$51),2026),SUM($E$413:W$413)-SUM($E$414:V$414),0)),0)</f>
        <v>0</v>
      </c>
      <c r="X414" s="150">
        <f ca="1">IFERROR(-IF(YEAR(X397)&lt;MIN(YEAR('Assumptions and Sensis'!$G$51),2026),(OFFSET(X413,0,-10)),IF(YEAR(X397)=MIN(YEAR('Assumptions and Sensis'!$G$51),2026),SUM($E$413:X$413)-SUM($E$414:W$414),0)),0)</f>
        <v>0</v>
      </c>
      <c r="Y414" s="150">
        <f ca="1">IFERROR(-IF(YEAR(Y397)&lt;MIN(YEAR('Assumptions and Sensis'!$G$51),2026),(OFFSET(Y413,0,-10)),IF(YEAR(Y397)=MIN(YEAR('Assumptions and Sensis'!$G$51),2026),SUM($E$413:Y$413)-SUM($E$414:X$414),0)),0)</f>
        <v>0</v>
      </c>
      <c r="Z414" s="150">
        <f ca="1">IFERROR(-IF(YEAR(Z397)&lt;MIN(YEAR('Assumptions and Sensis'!$G$51),2026),(OFFSET(Z413,0,-10)),IF(YEAR(Z397)=MIN(YEAR('Assumptions and Sensis'!$G$51),2026),SUM($E$413:Z$413)-SUM($E$414:Y$414),0)),0)</f>
        <v>0</v>
      </c>
    </row>
    <row r="415" spans="2:26" x14ac:dyDescent="0.2">
      <c r="B415" s="32" t="s">
        <v>418</v>
      </c>
      <c r="D415" s="47"/>
      <c r="E415" s="47"/>
      <c r="F415" s="150">
        <f>+IF(YEAR(F397)=MIN(YEAR('Assumptions and Sensis'!$G$51),2026),SUM($F$425:$Z$425),0)</f>
        <v>0</v>
      </c>
      <c r="G415" s="150">
        <f>+IF(YEAR(G397)=MIN(YEAR('Assumptions and Sensis'!$G$51),2026),SUM($F$425:$Z$425),0)</f>
        <v>0</v>
      </c>
      <c r="H415" s="150">
        <f>+IF(YEAR(H397)=MIN(YEAR('Assumptions and Sensis'!$G$51),2026),SUM($F$425:$Z$425),0)</f>
        <v>0</v>
      </c>
      <c r="I415" s="150">
        <f>+IF(YEAR(I397)=MIN(YEAR('Assumptions and Sensis'!$G$51),2026),SUM($F$425:$Z$425),0)</f>
        <v>0</v>
      </c>
      <c r="J415" s="150">
        <f ca="1">+IF(YEAR(J397)=MIN(YEAR('Assumptions and Sensis'!$G$51),2026),SUM($F$425:$Z$425),0)</f>
        <v>1142936.1672743305</v>
      </c>
      <c r="K415" s="150">
        <f>+IF(YEAR(K397)=MIN(YEAR('Assumptions and Sensis'!$G$51),2026),SUM($F$425:$Z$425),0)</f>
        <v>0</v>
      </c>
      <c r="L415" s="150">
        <f>+IF(YEAR(L397)=MIN(YEAR('Assumptions and Sensis'!$G$51),2026),SUM($F$425:$Z$425),0)</f>
        <v>0</v>
      </c>
      <c r="M415" s="150">
        <f>+IF(YEAR(M397)=MIN(YEAR('Assumptions and Sensis'!$G$51),2026),SUM($F$425:$Z$425),0)</f>
        <v>0</v>
      </c>
      <c r="N415" s="150">
        <f>+IF(YEAR(N397)=MIN(YEAR('Assumptions and Sensis'!$G$51),2026),SUM($F$425:$Z$425),0)</f>
        <v>0</v>
      </c>
      <c r="O415" s="150">
        <f>+IF(YEAR(O397)=MIN(YEAR('Assumptions and Sensis'!$G$51),2026),SUM($F$425:$Z$425),0)</f>
        <v>0</v>
      </c>
      <c r="P415" s="150">
        <f>+IF(YEAR(P397)=MIN(YEAR('Assumptions and Sensis'!$G$51),2026),SUM($F$425:$Z$425),0)</f>
        <v>0</v>
      </c>
      <c r="Q415" s="150">
        <f>+IF(YEAR(Q397)=MIN(YEAR('Assumptions and Sensis'!$G$51),2026),SUM($F$425:$Z$425),0)</f>
        <v>0</v>
      </c>
      <c r="R415" s="150">
        <f>+IF(YEAR(R397)=MIN(YEAR('Assumptions and Sensis'!$G$51),2026),SUM($F$425:$Z$425),0)</f>
        <v>0</v>
      </c>
      <c r="S415" s="150">
        <f>+IF(YEAR(S397)=MIN(YEAR('Assumptions and Sensis'!$G$51),2026),SUM($F$425:$Z$425),0)</f>
        <v>0</v>
      </c>
      <c r="T415" s="150">
        <f>+IF(YEAR(T397)=MIN(YEAR('Assumptions and Sensis'!$G$51),2026),SUM($F$425:$Z$425),0)</f>
        <v>0</v>
      </c>
      <c r="U415" s="150">
        <f>+IF(YEAR(U397)=MIN(YEAR('Assumptions and Sensis'!$G$51),2026),SUM($F$425:$Z$425),0)</f>
        <v>0</v>
      </c>
      <c r="V415" s="150">
        <f>+IF(YEAR(V397)=MIN(YEAR('Assumptions and Sensis'!$G$51),2026),SUM($F$425:$Z$425),0)</f>
        <v>0</v>
      </c>
      <c r="W415" s="150">
        <f>+IF(YEAR(W397)=MIN(YEAR('Assumptions and Sensis'!$G$51),2026),SUM($F$425:$Z$425),0)</f>
        <v>0</v>
      </c>
      <c r="X415" s="150">
        <f>+IF(YEAR(X397)=MIN(YEAR('Assumptions and Sensis'!$G$51),2026),SUM($F$425:$Z$425),0)</f>
        <v>0</v>
      </c>
      <c r="Y415" s="150">
        <f>+IF(YEAR(Y397)=MIN(YEAR('Assumptions and Sensis'!$G$51),2026),SUM($F$425:$Z$425),0)</f>
        <v>0</v>
      </c>
      <c r="Z415" s="150">
        <f>+IF(YEAR(Z397)=MIN(YEAR('Assumptions and Sensis'!$G$51),2026),SUM($F$425:$Z$425),0)</f>
        <v>0</v>
      </c>
    </row>
    <row r="416" spans="2:26" x14ac:dyDescent="0.2">
      <c r="B416" s="32" t="s">
        <v>641</v>
      </c>
      <c r="D416" s="47"/>
      <c r="E416" s="47"/>
      <c r="F416" s="150">
        <f ca="1">+F403</f>
        <v>0</v>
      </c>
      <c r="G416" s="150">
        <f t="shared" ref="G416:Z418" ca="1" si="213">+G403</f>
        <v>0</v>
      </c>
      <c r="H416" s="150">
        <f t="shared" ca="1" si="213"/>
        <v>0</v>
      </c>
      <c r="I416" s="150">
        <f t="shared" ca="1" si="213"/>
        <v>653578.54896604293</v>
      </c>
      <c r="J416" s="150">
        <f t="shared" ca="1" si="213"/>
        <v>406328.98644949793</v>
      </c>
      <c r="K416" s="150">
        <f t="shared" ca="1" si="213"/>
        <v>295227.20956558059</v>
      </c>
      <c r="L416" s="150">
        <f t="shared" ca="1" si="213"/>
        <v>83832.287645882679</v>
      </c>
      <c r="M416" s="150">
        <f t="shared" ca="1" si="213"/>
        <v>10851.639369589089</v>
      </c>
      <c r="N416" s="150">
        <f t="shared" ca="1" si="213"/>
        <v>-80376.521400244834</v>
      </c>
      <c r="O416" s="150">
        <f t="shared" si="213"/>
        <v>0</v>
      </c>
      <c r="P416" s="150">
        <f t="shared" si="213"/>
        <v>0</v>
      </c>
      <c r="Q416" s="150">
        <f t="shared" si="213"/>
        <v>0</v>
      </c>
      <c r="R416" s="150">
        <f t="shared" si="213"/>
        <v>0</v>
      </c>
      <c r="S416" s="150">
        <f t="shared" si="213"/>
        <v>0</v>
      </c>
      <c r="T416" s="150">
        <f t="shared" si="213"/>
        <v>0</v>
      </c>
      <c r="U416" s="150">
        <f t="shared" si="213"/>
        <v>0</v>
      </c>
      <c r="V416" s="150">
        <f t="shared" si="213"/>
        <v>0</v>
      </c>
      <c r="W416" s="150">
        <f t="shared" si="213"/>
        <v>0</v>
      </c>
      <c r="X416" s="150">
        <f t="shared" si="213"/>
        <v>0</v>
      </c>
      <c r="Y416" s="150">
        <f t="shared" si="213"/>
        <v>0</v>
      </c>
      <c r="Z416" s="150">
        <f t="shared" si="213"/>
        <v>0</v>
      </c>
    </row>
    <row r="417" spans="2:26" x14ac:dyDescent="0.2">
      <c r="B417" s="32" t="s">
        <v>643</v>
      </c>
      <c r="D417" s="47"/>
      <c r="E417" s="47"/>
      <c r="F417" s="150">
        <f ca="1">+F404</f>
        <v>0</v>
      </c>
      <c r="G417" s="150">
        <f t="shared" ca="1" si="213"/>
        <v>0</v>
      </c>
      <c r="H417" s="150">
        <f t="shared" ca="1" si="213"/>
        <v>0</v>
      </c>
      <c r="I417" s="150">
        <f t="shared" ca="1" si="213"/>
        <v>-5770924.7064398667</v>
      </c>
      <c r="J417" s="150">
        <f t="shared" ca="1" si="213"/>
        <v>3047194.9531564033</v>
      </c>
      <c r="K417" s="150">
        <f t="shared" ca="1" si="213"/>
        <v>3480773.6680041822</v>
      </c>
      <c r="L417" s="150">
        <f t="shared" ca="1" si="213"/>
        <v>4385732.7590233833</v>
      </c>
      <c r="M417" s="150">
        <f t="shared" ca="1" si="213"/>
        <v>4624966.840634143</v>
      </c>
      <c r="N417" s="150">
        <f t="shared" ca="1" si="213"/>
        <v>4944054.8059095126</v>
      </c>
      <c r="O417" s="150">
        <f t="shared" si="213"/>
        <v>0</v>
      </c>
      <c r="P417" s="150">
        <f t="shared" si="213"/>
        <v>0</v>
      </c>
      <c r="Q417" s="150">
        <f t="shared" si="213"/>
        <v>0</v>
      </c>
      <c r="R417" s="150">
        <f t="shared" si="213"/>
        <v>0</v>
      </c>
      <c r="S417" s="150">
        <f t="shared" si="213"/>
        <v>0</v>
      </c>
      <c r="T417" s="150">
        <f t="shared" si="213"/>
        <v>0</v>
      </c>
      <c r="U417" s="150">
        <f t="shared" si="213"/>
        <v>0</v>
      </c>
      <c r="V417" s="150">
        <f t="shared" si="213"/>
        <v>0</v>
      </c>
      <c r="W417" s="150">
        <f t="shared" si="213"/>
        <v>0</v>
      </c>
      <c r="X417" s="150">
        <f t="shared" si="213"/>
        <v>0</v>
      </c>
      <c r="Y417" s="150">
        <f t="shared" si="213"/>
        <v>0</v>
      </c>
      <c r="Z417" s="150">
        <f t="shared" si="213"/>
        <v>0</v>
      </c>
    </row>
    <row r="418" spans="2:26" x14ac:dyDescent="0.2">
      <c r="B418" s="32" t="s">
        <v>642</v>
      </c>
      <c r="D418" s="47"/>
      <c r="E418" s="47"/>
      <c r="F418" s="150">
        <f>-F273-F228-F159</f>
        <v>0</v>
      </c>
      <c r="G418" s="150">
        <f t="shared" si="213"/>
        <v>0</v>
      </c>
      <c r="H418" s="150">
        <f t="shared" si="213"/>
        <v>0</v>
      </c>
      <c r="I418" s="150">
        <f t="shared" ca="1" si="213"/>
        <v>24672690.320007652</v>
      </c>
      <c r="J418" s="150">
        <f t="shared" si="213"/>
        <v>0</v>
      </c>
      <c r="K418" s="150">
        <f t="shared" si="213"/>
        <v>0</v>
      </c>
      <c r="L418" s="150">
        <f t="shared" si="213"/>
        <v>0</v>
      </c>
      <c r="M418" s="150">
        <f t="shared" si="213"/>
        <v>0</v>
      </c>
      <c r="N418" s="150">
        <f t="shared" ca="1" si="213"/>
        <v>109562781.14451878</v>
      </c>
      <c r="O418" s="150">
        <f t="shared" si="213"/>
        <v>0</v>
      </c>
      <c r="P418" s="150">
        <f t="shared" si="213"/>
        <v>0</v>
      </c>
      <c r="Q418" s="150">
        <f t="shared" si="213"/>
        <v>0</v>
      </c>
      <c r="R418" s="150">
        <f t="shared" si="213"/>
        <v>0</v>
      </c>
      <c r="S418" s="150">
        <f t="shared" si="213"/>
        <v>0</v>
      </c>
      <c r="T418" s="150">
        <f t="shared" si="213"/>
        <v>0</v>
      </c>
      <c r="U418" s="150">
        <f t="shared" si="213"/>
        <v>0</v>
      </c>
      <c r="V418" s="150">
        <f t="shared" si="213"/>
        <v>0</v>
      </c>
      <c r="W418" s="150">
        <f t="shared" si="213"/>
        <v>0</v>
      </c>
      <c r="X418" s="150">
        <f t="shared" si="213"/>
        <v>0</v>
      </c>
      <c r="Y418" s="150">
        <f t="shared" si="213"/>
        <v>0</v>
      </c>
      <c r="Z418" s="150">
        <f t="shared" si="213"/>
        <v>0</v>
      </c>
    </row>
    <row r="419" spans="2:26" x14ac:dyDescent="0.2">
      <c r="B419" s="32" t="s">
        <v>415</v>
      </c>
      <c r="D419" s="47"/>
      <c r="E419" s="47"/>
      <c r="F419" s="150">
        <f>+IF(F399&gt;=10,0,F406)</f>
        <v>0</v>
      </c>
      <c r="G419" s="150">
        <f t="shared" ref="G419:Z419" si="214">+IF(G399&gt;=10,0,G406)</f>
        <v>0</v>
      </c>
      <c r="H419" s="150">
        <f t="shared" si="214"/>
        <v>0</v>
      </c>
      <c r="I419" s="150">
        <f t="shared" si="214"/>
        <v>0</v>
      </c>
      <c r="J419" s="150">
        <f t="shared" si="214"/>
        <v>0</v>
      </c>
      <c r="K419" s="150">
        <f t="shared" si="214"/>
        <v>0</v>
      </c>
      <c r="L419" s="150">
        <f t="shared" si="214"/>
        <v>0</v>
      </c>
      <c r="M419" s="150">
        <f t="shared" si="214"/>
        <v>0</v>
      </c>
      <c r="N419" s="150">
        <f t="shared" ca="1" si="214"/>
        <v>-25028794.356911793</v>
      </c>
      <c r="O419" s="150">
        <f t="shared" si="214"/>
        <v>0</v>
      </c>
      <c r="P419" s="150">
        <f t="shared" si="214"/>
        <v>0</v>
      </c>
      <c r="Q419" s="150">
        <f t="shared" si="214"/>
        <v>0</v>
      </c>
      <c r="R419" s="150">
        <f t="shared" si="214"/>
        <v>0</v>
      </c>
      <c r="S419" s="150">
        <f t="shared" si="214"/>
        <v>0</v>
      </c>
      <c r="T419" s="150">
        <f t="shared" si="214"/>
        <v>0</v>
      </c>
      <c r="U419" s="150">
        <f t="shared" si="214"/>
        <v>0</v>
      </c>
      <c r="V419" s="150">
        <f t="shared" si="214"/>
        <v>0</v>
      </c>
      <c r="W419" s="150">
        <f t="shared" si="214"/>
        <v>0</v>
      </c>
      <c r="X419" s="150">
        <f t="shared" si="214"/>
        <v>0</v>
      </c>
      <c r="Y419" s="150">
        <f t="shared" si="214"/>
        <v>0</v>
      </c>
      <c r="Z419" s="150">
        <f t="shared" si="214"/>
        <v>0</v>
      </c>
    </row>
    <row r="420" spans="2:26" x14ac:dyDescent="0.2">
      <c r="B420" s="137" t="s">
        <v>406</v>
      </c>
      <c r="C420" s="137"/>
      <c r="D420" s="138">
        <f t="shared" ref="D420" ca="1" si="215">+SUM(F420:Z420)</f>
        <v>90147165.895794287</v>
      </c>
      <c r="E420" s="138"/>
      <c r="F420" s="138">
        <f t="shared" ref="F420:Z420" ca="1" si="216">+SUM(F412:F419)</f>
        <v>-14910286.24805651</v>
      </c>
      <c r="G420" s="138">
        <f t="shared" ca="1" si="216"/>
        <v>-13753827.153426699</v>
      </c>
      <c r="H420" s="138">
        <f t="shared" ca="1" si="216"/>
        <v>0</v>
      </c>
      <c r="I420" s="138">
        <f t="shared" ca="1" si="216"/>
        <v>19555344.162533827</v>
      </c>
      <c r="J420" s="138">
        <f t="shared" ca="1" si="216"/>
        <v>-3023114.3416153044</v>
      </c>
      <c r="K420" s="138">
        <f t="shared" ca="1" si="216"/>
        <v>3776000.877569763</v>
      </c>
      <c r="L420" s="138">
        <f t="shared" ca="1" si="216"/>
        <v>4469565.0466692662</v>
      </c>
      <c r="M420" s="138">
        <f t="shared" ca="1" si="216"/>
        <v>4635818.4800037323</v>
      </c>
      <c r="N420" s="138">
        <f t="shared" ca="1" si="216"/>
        <v>89397665.072116256</v>
      </c>
      <c r="O420" s="138">
        <f t="shared" ca="1" si="216"/>
        <v>0</v>
      </c>
      <c r="P420" s="138">
        <f t="shared" ca="1" si="216"/>
        <v>0</v>
      </c>
      <c r="Q420" s="138">
        <f t="shared" ca="1" si="216"/>
        <v>0</v>
      </c>
      <c r="R420" s="138">
        <f t="shared" ca="1" si="216"/>
        <v>0</v>
      </c>
      <c r="S420" s="138">
        <f t="shared" ca="1" si="216"/>
        <v>0</v>
      </c>
      <c r="T420" s="138">
        <f t="shared" ca="1" si="216"/>
        <v>0</v>
      </c>
      <c r="U420" s="138">
        <f t="shared" ca="1" si="216"/>
        <v>0</v>
      </c>
      <c r="V420" s="138">
        <f t="shared" ca="1" si="216"/>
        <v>0</v>
      </c>
      <c r="W420" s="138">
        <f t="shared" ca="1" si="216"/>
        <v>0</v>
      </c>
      <c r="X420" s="138">
        <f t="shared" ca="1" si="216"/>
        <v>0</v>
      </c>
      <c r="Y420" s="138">
        <f t="shared" ca="1" si="216"/>
        <v>0</v>
      </c>
      <c r="Z420" s="138">
        <f t="shared" ca="1" si="216"/>
        <v>0</v>
      </c>
    </row>
    <row r="422" spans="2:26" x14ac:dyDescent="0.2">
      <c r="B422" s="188" t="s">
        <v>638</v>
      </c>
      <c r="C422" s="188"/>
      <c r="D422" s="189">
        <f ca="1">+IRR(F420:Z420)</f>
        <v>0.26041695416206712</v>
      </c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 spans="2:26" x14ac:dyDescent="0.2">
      <c r="B423" s="192" t="s">
        <v>639</v>
      </c>
      <c r="C423" s="191"/>
      <c r="D423" s="225">
        <f ca="1">+D422/(1-'Assumptions and Sensis'!$M$227)</f>
        <v>0.32964171412919885</v>
      </c>
    </row>
    <row r="425" spans="2:26" x14ac:dyDescent="0.2">
      <c r="B425" s="40" t="s">
        <v>419</v>
      </c>
      <c r="F425" s="150">
        <f ca="1">IFERROR(IF(YEAR(F397)&lt;=YEAR('Assumptions and Sensis'!$G$51),10%*(OFFSET(F413,0,-5))+5%*(OFFSET(F413,0,-7)),0),0)</f>
        <v>0</v>
      </c>
      <c r="G425" s="150">
        <f ca="1">IFERROR(IF(YEAR(G397)&lt;=YEAR('Assumptions and Sensis'!$G$51),10%*(OFFSET(G413,0,-5))+5%*(OFFSET(G413,0,-7)),0),0)</f>
        <v>0</v>
      </c>
      <c r="H425" s="150">
        <f ca="1">IFERROR(IF(YEAR(H397)&lt;=YEAR('Assumptions and Sensis'!$G$51),10%*(OFFSET(H413,0,-5))+5%*(OFFSET(H413,0,-7)),0),0)</f>
        <v>0</v>
      </c>
      <c r="I425" s="150">
        <f ca="1">IFERROR(IF(YEAR(I397)&lt;=YEAR('Assumptions and Sensis'!$G$51),10%*(OFFSET(I413,0,-5))+5%*(OFFSET(I413,0,-7)),0),0)</f>
        <v>0</v>
      </c>
      <c r="J425" s="150">
        <f ca="1">IFERROR(IF(YEAR(J397)&lt;=YEAR('Assumptions and Sensis'!$G$51),10%*(OFFSET(J413,0,-5))+5%*(OFFSET(J413,0,-7)),0),0)</f>
        <v>0</v>
      </c>
      <c r="K425" s="150">
        <f ca="1">IFERROR(IF(YEAR(K397)&lt;=YEAR('Assumptions and Sensis'!$G$51),10%*(OFFSET(K413,0,-5))+5%*(OFFSET(K413,0,-7)),0),0)</f>
        <v>396349.38127745152</v>
      </c>
      <c r="L425" s="150">
        <f ca="1">IFERROR(IF(YEAR(L397)&lt;=YEAR('Assumptions and Sensis'!$G$51),10%*(OFFSET(L413,0,-5))+5%*(OFFSET(L413,0,-7)),0),0)</f>
        <v>365608.06357210211</v>
      </c>
      <c r="M425" s="150">
        <f ca="1">IFERROR(IF(YEAR(M397)&lt;=YEAR('Assumptions and Sensis'!$G$51),10%*(OFFSET(M413,0,-5))+5%*(OFFSET(M413,0,-7)),0),0)</f>
        <v>198174.69063872576</v>
      </c>
      <c r="N425" s="150">
        <f ca="1">IFERROR(IF(YEAR(N397)&lt;=YEAR('Assumptions and Sensis'!$G$51),10%*(OFFSET(N413,0,-5))+5%*(OFFSET(N413,0,-7)),0),0)</f>
        <v>182804.03178605105</v>
      </c>
      <c r="O425" s="150">
        <f ca="1">IFERROR(IF(YEAR(O397)&lt;=YEAR('Assumptions and Sensis'!$G$51),10%*(OFFSET(O413,0,-5))+5%*(OFFSET(O413,0,-7)),0),0)</f>
        <v>0</v>
      </c>
      <c r="P425" s="150">
        <f ca="1">IFERROR(IF(YEAR(P397)&lt;=YEAR('Assumptions and Sensis'!$G$51),10%*(OFFSET(P413,0,-5))+5%*(OFFSET(P413,0,-7)),0),0)</f>
        <v>0</v>
      </c>
      <c r="Q425" s="150">
        <f ca="1">IFERROR(IF(YEAR(Q397)&lt;=YEAR('Assumptions and Sensis'!$G$51),10%*(OFFSET(Q413,0,-5))+5%*(OFFSET(Q413,0,-7)),0),0)</f>
        <v>0</v>
      </c>
      <c r="R425" s="150">
        <f ca="1">IFERROR(IF(YEAR(R397)&lt;=YEAR('Assumptions and Sensis'!$G$51),10%*(OFFSET(R413,0,-5))+5%*(OFFSET(R413,0,-7)),0),0)</f>
        <v>0</v>
      </c>
      <c r="S425" s="150">
        <f ca="1">IFERROR(IF(YEAR(S397)&lt;=YEAR('Assumptions and Sensis'!$G$51),10%*(OFFSET(S413,0,-5))+5%*(OFFSET(S413,0,-7)),0),0)</f>
        <v>0</v>
      </c>
      <c r="T425" s="150">
        <f ca="1">IFERROR(IF(YEAR(T397)&lt;=YEAR('Assumptions and Sensis'!$G$51),10%*(OFFSET(T413,0,-5))+5%*(OFFSET(T413,0,-7)),0),0)</f>
        <v>0</v>
      </c>
      <c r="U425" s="150">
        <f ca="1">IFERROR(IF(YEAR(U397)&lt;=YEAR('Assumptions and Sensis'!$G$51),10%*(OFFSET(U413,0,-5))+5%*(OFFSET(U413,0,-7)),0),0)</f>
        <v>0</v>
      </c>
      <c r="V425" s="150">
        <f ca="1">IFERROR(IF(YEAR(V397)&lt;=YEAR('Assumptions and Sensis'!$G$51),10%*(OFFSET(V413,0,-5))+5%*(OFFSET(V413,0,-7)),0),0)</f>
        <v>0</v>
      </c>
      <c r="W425" s="150">
        <f ca="1">IFERROR(IF(YEAR(W397)&lt;=YEAR('Assumptions and Sensis'!$G$51),10%*(OFFSET(W413,0,-5))+5%*(OFFSET(W413,0,-7)),0),0)</f>
        <v>0</v>
      </c>
      <c r="X425" s="150">
        <f ca="1">IFERROR(IF(YEAR(X397)&lt;=YEAR('Assumptions and Sensis'!$G$51),10%*(OFFSET(X413,0,-5))+5%*(OFFSET(X413,0,-7)),0),0)</f>
        <v>0</v>
      </c>
      <c r="Y425" s="150">
        <f ca="1">IFERROR(IF(YEAR(Y397)&lt;=YEAR('Assumptions and Sensis'!$G$51),10%*(OFFSET(Y413,0,-5))+5%*(OFFSET(Y413,0,-7)),0),0)</f>
        <v>0</v>
      </c>
      <c r="Z425" s="150">
        <f ca="1">IFERROR(IF(YEAR(Z397)&lt;=YEAR('Assumptions and Sensis'!$G$51),10%*(OFFSET(Z413,0,-5))+5%*(OFFSET(Z413,0,-7)),0),0)</f>
        <v>0</v>
      </c>
    </row>
    <row r="427" spans="2:26" x14ac:dyDescent="0.2">
      <c r="B427" s="147" t="s">
        <v>399</v>
      </c>
    </row>
    <row r="428" spans="2:26" x14ac:dyDescent="0.2">
      <c r="B428" s="32" t="s">
        <v>400</v>
      </c>
      <c r="D428" s="47">
        <f ca="1">+SUM(F428:Z428)</f>
        <v>113954631.22473231</v>
      </c>
      <c r="E428" s="47"/>
      <c r="F428" s="33">
        <v>0</v>
      </c>
      <c r="G428" s="33">
        <f ca="1">+F435</f>
        <v>18873780.060831025</v>
      </c>
      <c r="H428" s="33">
        <f t="shared" ref="H428:Z428" ca="1" si="217">+G435</f>
        <v>36283687.849978745</v>
      </c>
      <c r="I428" s="33">
        <f t="shared" ca="1" si="217"/>
        <v>36283687.849978745</v>
      </c>
      <c r="J428" s="33">
        <f t="shared" ca="1" si="217"/>
        <v>14269643.431810752</v>
      </c>
      <c r="K428" s="33">
        <f t="shared" ca="1" si="217"/>
        <v>9287548.5431805514</v>
      </c>
      <c r="L428" s="33">
        <f t="shared" ca="1" si="217"/>
        <v>4400931.0201021731</v>
      </c>
      <c r="M428" s="33">
        <f t="shared" ca="1" si="217"/>
        <v>-384003.10866350587</v>
      </c>
      <c r="N428" s="33">
        <f t="shared" ca="1" si="217"/>
        <v>-5060644.4224861721</v>
      </c>
      <c r="O428" s="33">
        <f t="shared" ca="1" si="217"/>
        <v>0</v>
      </c>
      <c r="P428" s="33">
        <f t="shared" ca="1" si="217"/>
        <v>0</v>
      </c>
      <c r="Q428" s="33">
        <f t="shared" ca="1" si="217"/>
        <v>0</v>
      </c>
      <c r="R428" s="33">
        <f t="shared" ca="1" si="217"/>
        <v>0</v>
      </c>
      <c r="S428" s="33">
        <f t="shared" ca="1" si="217"/>
        <v>0</v>
      </c>
      <c r="T428" s="33">
        <f t="shared" ca="1" si="217"/>
        <v>0</v>
      </c>
      <c r="U428" s="33">
        <f t="shared" ca="1" si="217"/>
        <v>0</v>
      </c>
      <c r="V428" s="33">
        <f t="shared" ca="1" si="217"/>
        <v>0</v>
      </c>
      <c r="W428" s="33">
        <f t="shared" ca="1" si="217"/>
        <v>0</v>
      </c>
      <c r="X428" s="33">
        <f t="shared" ca="1" si="217"/>
        <v>0</v>
      </c>
      <c r="Y428" s="33">
        <f t="shared" ca="1" si="217"/>
        <v>0</v>
      </c>
      <c r="Z428" s="33">
        <f t="shared" ca="1" si="217"/>
        <v>0</v>
      </c>
    </row>
    <row r="429" spans="2:26" x14ac:dyDescent="0.2">
      <c r="B429" s="32" t="s">
        <v>398</v>
      </c>
      <c r="D429" s="47">
        <f t="shared" ref="D429:D434" ca="1" si="218">+SUM(F429:Z429)</f>
        <v>36283687.849978745</v>
      </c>
      <c r="E429" s="47"/>
      <c r="F429" s="150">
        <f ca="1">-F400</f>
        <v>18873780.060831025</v>
      </c>
      <c r="G429" s="150">
        <f t="shared" ref="G429:Z429" ca="1" si="219">-G400</f>
        <v>17409907.78914772</v>
      </c>
      <c r="H429" s="150">
        <f t="shared" ca="1" si="219"/>
        <v>0</v>
      </c>
      <c r="I429" s="150">
        <f t="shared" ca="1" si="219"/>
        <v>0</v>
      </c>
      <c r="J429" s="150">
        <f t="shared" ca="1" si="219"/>
        <v>0</v>
      </c>
      <c r="K429" s="150">
        <f t="shared" ca="1" si="219"/>
        <v>0</v>
      </c>
      <c r="L429" s="150">
        <f t="shared" ca="1" si="219"/>
        <v>0</v>
      </c>
      <c r="M429" s="150">
        <f t="shared" ca="1" si="219"/>
        <v>0</v>
      </c>
      <c r="N429" s="150">
        <f t="shared" ca="1" si="219"/>
        <v>0</v>
      </c>
      <c r="O429" s="150">
        <f t="shared" ca="1" si="219"/>
        <v>0</v>
      </c>
      <c r="P429" s="150">
        <f t="shared" ca="1" si="219"/>
        <v>0</v>
      </c>
      <c r="Q429" s="150">
        <f t="shared" ca="1" si="219"/>
        <v>0</v>
      </c>
      <c r="R429" s="150">
        <f t="shared" ca="1" si="219"/>
        <v>0</v>
      </c>
      <c r="S429" s="150">
        <f t="shared" ca="1" si="219"/>
        <v>0</v>
      </c>
      <c r="T429" s="150">
        <f t="shared" ca="1" si="219"/>
        <v>0</v>
      </c>
      <c r="U429" s="150">
        <f t="shared" ca="1" si="219"/>
        <v>0</v>
      </c>
      <c r="V429" s="150">
        <f t="shared" ca="1" si="219"/>
        <v>0</v>
      </c>
      <c r="W429" s="150">
        <f t="shared" ca="1" si="219"/>
        <v>0</v>
      </c>
      <c r="X429" s="150">
        <f t="shared" ca="1" si="219"/>
        <v>0</v>
      </c>
      <c r="Y429" s="150">
        <f t="shared" ca="1" si="219"/>
        <v>0</v>
      </c>
      <c r="Z429" s="150">
        <f t="shared" ca="1" si="219"/>
        <v>0</v>
      </c>
    </row>
    <row r="430" spans="2:26" x14ac:dyDescent="0.2">
      <c r="B430" s="32" t="s">
        <v>637</v>
      </c>
      <c r="D430" s="47">
        <f t="shared" ca="1" si="218"/>
        <v>25733734.079828948</v>
      </c>
      <c r="E430" s="47"/>
      <c r="F430" s="150">
        <f ca="1">IF(F397&lt;='Assumptions and Sensis'!$G$51,F390-F146-F216-F261,0)</f>
        <v>0</v>
      </c>
      <c r="G430" s="150">
        <f ca="1">IF(G397&lt;='Assumptions and Sensis'!$G$51,G390-G146-G216-G261,0)</f>
        <v>0</v>
      </c>
      <c r="H430" s="150">
        <f ca="1">IF(H397&lt;='Assumptions and Sensis'!$G$51,H390-H146-H216-H261,0)</f>
        <v>0</v>
      </c>
      <c r="I430" s="150">
        <f ca="1">IF(I397&lt;='Assumptions and Sensis'!$G$51,I390-I146-I216-I261,0)</f>
        <v>-3112278.8046002057</v>
      </c>
      <c r="J430" s="150">
        <f ca="1">IF(J397&lt;='Assumptions and Sensis'!$G$51,J390-J146-J216-J261,0)</f>
        <v>4516077.5001075612</v>
      </c>
      <c r="K430" s="150">
        <f ca="1">IF(K397&lt;='Assumptions and Sensis'!$G$51,K390-K146-K216-K261,0)</f>
        <v>5045133.5805071658</v>
      </c>
      <c r="L430" s="150">
        <f ca="1">IF(L397&lt;='Assumptions and Sensis'!$G$51,L390-L146-L216-L261,0)</f>
        <v>6051776.0658390606</v>
      </c>
      <c r="M430" s="150">
        <f ca="1">IF(M397&lt;='Assumptions and Sensis'!$G$51,M390-M146-M216-M261,0)</f>
        <v>6399302.9623928396</v>
      </c>
      <c r="N430" s="150">
        <f ca="1">IF(N397&lt;='Assumptions and Sensis'!$G$51,N390-N146-N216-N261,0)</f>
        <v>6833722.7755825249</v>
      </c>
      <c r="O430" s="150">
        <f>IF(O397&lt;='Assumptions and Sensis'!$G$51,O390-O146-O216-O261,0)</f>
        <v>0</v>
      </c>
      <c r="P430" s="150">
        <f>IF(P397&lt;='Assumptions and Sensis'!$G$51,P390-P146-P216-P261,0)</f>
        <v>0</v>
      </c>
      <c r="Q430" s="150">
        <f>IF(Q397&lt;='Assumptions and Sensis'!$G$51,Q390-Q146-Q216-Q261,0)</f>
        <v>0</v>
      </c>
      <c r="R430" s="150">
        <f>IF(R397&lt;='Assumptions and Sensis'!$G$51,R390-R146-R216-R261,0)</f>
        <v>0</v>
      </c>
      <c r="S430" s="150">
        <f>IF(S397&lt;='Assumptions and Sensis'!$G$51,S390-S146-S216-S261,0)</f>
        <v>0</v>
      </c>
      <c r="T430" s="150">
        <f>IF(T397&lt;='Assumptions and Sensis'!$G$51,T390-T146-T216-T261,0)</f>
        <v>0</v>
      </c>
      <c r="U430" s="150">
        <f>IF(U397&lt;='Assumptions and Sensis'!$G$51,U390-U146-U216-U261,0)</f>
        <v>0</v>
      </c>
      <c r="V430" s="150">
        <f>IF(V397&lt;='Assumptions and Sensis'!$G$51,V390-V146-V216-V261,0)</f>
        <v>0</v>
      </c>
      <c r="W430" s="150">
        <f>IF(W397&lt;='Assumptions and Sensis'!$G$51,W390-W146-W216-W261,0)</f>
        <v>0</v>
      </c>
      <c r="X430" s="150">
        <f>IF(X397&lt;='Assumptions and Sensis'!$G$51,X390-X146-X216-X261,0)</f>
        <v>0</v>
      </c>
      <c r="Y430" s="150">
        <f>IF(Y397&lt;='Assumptions and Sensis'!$G$51,Y390-Y146-Y216-Y261,0)</f>
        <v>0</v>
      </c>
      <c r="Z430" s="150">
        <f>IF(Z397&lt;='Assumptions and Sensis'!$G$51,Z390-Z146-Z216-Z261,0)</f>
        <v>0</v>
      </c>
    </row>
    <row r="431" spans="2:26" x14ac:dyDescent="0.2">
      <c r="B431" s="32" t="s">
        <v>410</v>
      </c>
      <c r="D431" s="47">
        <f t="shared" ca="1" si="218"/>
        <v>-32254887.177906796</v>
      </c>
      <c r="E431" s="47"/>
      <c r="F431" s="150">
        <f>+F391</f>
        <v>0</v>
      </c>
      <c r="G431" s="150">
        <f t="shared" ref="G431:Z431" si="220">+G391</f>
        <v>0</v>
      </c>
      <c r="H431" s="150">
        <f t="shared" si="220"/>
        <v>0</v>
      </c>
      <c r="I431" s="150">
        <f t="shared" si="220"/>
        <v>0</v>
      </c>
      <c r="J431" s="150">
        <f t="shared" ca="1" si="220"/>
        <v>-6450977.4355813591</v>
      </c>
      <c r="K431" s="150">
        <f t="shared" ca="1" si="220"/>
        <v>-6450977.4355813591</v>
      </c>
      <c r="L431" s="150">
        <f t="shared" ca="1" si="220"/>
        <v>-6450977.4355813591</v>
      </c>
      <c r="M431" s="150">
        <f t="shared" ca="1" si="220"/>
        <v>-6450977.4355813591</v>
      </c>
      <c r="N431" s="150">
        <f t="shared" ca="1" si="220"/>
        <v>-6450977.4355813591</v>
      </c>
      <c r="O431" s="150">
        <f t="shared" si="220"/>
        <v>0</v>
      </c>
      <c r="P431" s="150">
        <f t="shared" si="220"/>
        <v>0</v>
      </c>
      <c r="Q431" s="150">
        <f t="shared" si="220"/>
        <v>0</v>
      </c>
      <c r="R431" s="150">
        <f t="shared" si="220"/>
        <v>0</v>
      </c>
      <c r="S431" s="150">
        <f t="shared" si="220"/>
        <v>0</v>
      </c>
      <c r="T431" s="150">
        <f t="shared" si="220"/>
        <v>0</v>
      </c>
      <c r="U431" s="150">
        <f t="shared" si="220"/>
        <v>0</v>
      </c>
      <c r="V431" s="150">
        <f t="shared" si="220"/>
        <v>0</v>
      </c>
      <c r="W431" s="150">
        <f t="shared" si="220"/>
        <v>0</v>
      </c>
      <c r="X431" s="150">
        <f t="shared" si="220"/>
        <v>0</v>
      </c>
      <c r="Y431" s="150">
        <f t="shared" si="220"/>
        <v>0</v>
      </c>
      <c r="Z431" s="150">
        <f t="shared" si="220"/>
        <v>0</v>
      </c>
    </row>
    <row r="432" spans="2:26" x14ac:dyDescent="0.2">
      <c r="B432" s="32" t="s">
        <v>643</v>
      </c>
      <c r="D432" s="47">
        <f t="shared" ca="1" si="218"/>
        <v>-14711798.320287757</v>
      </c>
      <c r="E432" s="47"/>
      <c r="F432" s="150">
        <f ca="1">-F404</f>
        <v>0</v>
      </c>
      <c r="G432" s="150">
        <f t="shared" ref="G432:Z432" ca="1" si="221">-G404</f>
        <v>0</v>
      </c>
      <c r="H432" s="150">
        <f t="shared" ca="1" si="221"/>
        <v>0</v>
      </c>
      <c r="I432" s="150">
        <f t="shared" ca="1" si="221"/>
        <v>5770924.7064398667</v>
      </c>
      <c r="J432" s="150">
        <f t="shared" ca="1" si="221"/>
        <v>-3047194.9531564033</v>
      </c>
      <c r="K432" s="150">
        <f t="shared" ca="1" si="221"/>
        <v>-3480773.6680041822</v>
      </c>
      <c r="L432" s="150">
        <f t="shared" ca="1" si="221"/>
        <v>-4385732.7590233833</v>
      </c>
      <c r="M432" s="150">
        <f t="shared" ca="1" si="221"/>
        <v>-4624966.840634143</v>
      </c>
      <c r="N432" s="150">
        <f t="shared" ca="1" si="221"/>
        <v>-4944054.8059095126</v>
      </c>
      <c r="O432" s="150">
        <f t="shared" si="221"/>
        <v>0</v>
      </c>
      <c r="P432" s="150">
        <f t="shared" si="221"/>
        <v>0</v>
      </c>
      <c r="Q432" s="150">
        <f t="shared" si="221"/>
        <v>0</v>
      </c>
      <c r="R432" s="150">
        <f t="shared" si="221"/>
        <v>0</v>
      </c>
      <c r="S432" s="150">
        <f t="shared" si="221"/>
        <v>0</v>
      </c>
      <c r="T432" s="150">
        <f t="shared" si="221"/>
        <v>0</v>
      </c>
      <c r="U432" s="150">
        <f t="shared" si="221"/>
        <v>0</v>
      </c>
      <c r="V432" s="150">
        <f t="shared" si="221"/>
        <v>0</v>
      </c>
      <c r="W432" s="150">
        <f t="shared" si="221"/>
        <v>0</v>
      </c>
      <c r="X432" s="150">
        <f t="shared" si="221"/>
        <v>0</v>
      </c>
      <c r="Y432" s="150">
        <f t="shared" si="221"/>
        <v>0</v>
      </c>
      <c r="Z432" s="150">
        <f t="shared" si="221"/>
        <v>0</v>
      </c>
    </row>
    <row r="433" spans="2:26" x14ac:dyDescent="0.2">
      <c r="B433" s="32" t="s">
        <v>640</v>
      </c>
      <c r="D433" s="47">
        <f t="shared" ca="1" si="218"/>
        <v>-134235471.46452641</v>
      </c>
      <c r="E433" s="47"/>
      <c r="F433" s="150">
        <f>-F273-F228-F159</f>
        <v>0</v>
      </c>
      <c r="G433" s="150">
        <f t="shared" ref="G433:Z433" si="222">-G273-G228-G159</f>
        <v>0</v>
      </c>
      <c r="H433" s="150">
        <f t="shared" si="222"/>
        <v>0</v>
      </c>
      <c r="I433" s="150">
        <f t="shared" ca="1" si="222"/>
        <v>-24672690.320007652</v>
      </c>
      <c r="J433" s="150">
        <f t="shared" si="222"/>
        <v>0</v>
      </c>
      <c r="K433" s="150">
        <f t="shared" si="222"/>
        <v>0</v>
      </c>
      <c r="L433" s="150">
        <f t="shared" si="222"/>
        <v>0</v>
      </c>
      <c r="M433" s="150">
        <f t="shared" si="222"/>
        <v>0</v>
      </c>
      <c r="N433" s="150">
        <f t="shared" ca="1" si="222"/>
        <v>-109562781.14451872</v>
      </c>
      <c r="O433" s="150">
        <f t="shared" si="222"/>
        <v>0</v>
      </c>
      <c r="P433" s="150">
        <f t="shared" si="222"/>
        <v>0</v>
      </c>
      <c r="Q433" s="150">
        <f t="shared" si="222"/>
        <v>0</v>
      </c>
      <c r="R433" s="150">
        <f t="shared" si="222"/>
        <v>0</v>
      </c>
      <c r="S433" s="150">
        <f t="shared" si="222"/>
        <v>0</v>
      </c>
      <c r="T433" s="150">
        <f t="shared" si="222"/>
        <v>0</v>
      </c>
      <c r="U433" s="150">
        <f t="shared" si="222"/>
        <v>0</v>
      </c>
      <c r="V433" s="150">
        <f t="shared" si="222"/>
        <v>0</v>
      </c>
      <c r="W433" s="150">
        <f t="shared" si="222"/>
        <v>0</v>
      </c>
      <c r="X433" s="150">
        <f t="shared" si="222"/>
        <v>0</v>
      </c>
      <c r="Y433" s="150">
        <f t="shared" si="222"/>
        <v>0</v>
      </c>
      <c r="Z433" s="150">
        <f t="shared" si="222"/>
        <v>0</v>
      </c>
    </row>
    <row r="434" spans="2:26" x14ac:dyDescent="0.2">
      <c r="B434" s="32" t="s">
        <v>414</v>
      </c>
      <c r="D434" s="47">
        <f t="shared" ca="1" si="218"/>
        <v>119184735.0329133</v>
      </c>
      <c r="E434" s="47"/>
      <c r="F434" s="150">
        <f>-IF(YEAR(F397)=YEAR('Assumptions and Sensis'!$G$51),SUM(F428:F433),0)</f>
        <v>0</v>
      </c>
      <c r="G434" s="150">
        <f>-IF(YEAR(G397)=YEAR('Assumptions and Sensis'!$G$51),SUM(G428:G433),0)</f>
        <v>0</v>
      </c>
      <c r="H434" s="150">
        <f>-IF(YEAR(H397)=YEAR('Assumptions and Sensis'!$G$51),SUM(H428:H433),0)</f>
        <v>0</v>
      </c>
      <c r="I434" s="150">
        <f>-IF(YEAR(I397)=YEAR('Assumptions and Sensis'!$G$51),SUM(I428:I433),0)</f>
        <v>0</v>
      </c>
      <c r="J434" s="150">
        <f>-IF(YEAR(J397)=YEAR('Assumptions and Sensis'!$G$51),SUM(J428:J433),0)</f>
        <v>0</v>
      </c>
      <c r="K434" s="150">
        <f>-IF(YEAR(K397)=YEAR('Assumptions and Sensis'!$G$51),SUM(K428:K433),0)</f>
        <v>0</v>
      </c>
      <c r="L434" s="150">
        <f>-IF(YEAR(L397)=YEAR('Assumptions and Sensis'!$G$51),SUM(L428:L433),0)</f>
        <v>0</v>
      </c>
      <c r="M434" s="150">
        <f>-IF(YEAR(M397)=YEAR('Assumptions and Sensis'!$G$51),SUM(M428:M433),0)</f>
        <v>0</v>
      </c>
      <c r="N434" s="150">
        <f ca="1">-IF(YEAR(N397)=YEAR('Assumptions and Sensis'!$G$51),SUM(N428:N433),0)</f>
        <v>119184735.03291324</v>
      </c>
      <c r="O434" s="150">
        <f>-IF(YEAR(O397)=YEAR('Assumptions and Sensis'!$G$51),SUM(O428:O433),0)</f>
        <v>0</v>
      </c>
      <c r="P434" s="150">
        <f>-IF(YEAR(P397)=YEAR('Assumptions and Sensis'!$G$51),SUM(P428:P433),0)</f>
        <v>0</v>
      </c>
      <c r="Q434" s="150">
        <f>-IF(YEAR(Q397)=YEAR('Assumptions and Sensis'!$G$51),SUM(Q428:Q433),0)</f>
        <v>0</v>
      </c>
      <c r="R434" s="150">
        <f>-IF(YEAR(R397)=YEAR('Assumptions and Sensis'!$G$51),SUM(R428:R433),0)</f>
        <v>0</v>
      </c>
      <c r="S434" s="150">
        <f>-IF(YEAR(S397)=YEAR('Assumptions and Sensis'!$G$51),SUM(S428:S433),0)</f>
        <v>0</v>
      </c>
      <c r="T434" s="150">
        <f>-IF(YEAR(T397)=YEAR('Assumptions and Sensis'!$G$51),SUM(T428:T433),0)</f>
        <v>0</v>
      </c>
      <c r="U434" s="150">
        <f>-IF(YEAR(U397)=YEAR('Assumptions and Sensis'!$G$51),SUM(U428:U433),0)</f>
        <v>0</v>
      </c>
      <c r="V434" s="150">
        <f>-IF(YEAR(V397)=YEAR('Assumptions and Sensis'!$G$51),SUM(V428:V433),0)</f>
        <v>0</v>
      </c>
      <c r="W434" s="150">
        <f>-IF(YEAR(W397)=YEAR('Assumptions and Sensis'!$G$51),SUM(W428:W433),0)</f>
        <v>0</v>
      </c>
      <c r="X434" s="150">
        <f>-IF(YEAR(X397)=YEAR('Assumptions and Sensis'!$G$51),SUM(X428:X433),0)</f>
        <v>0</v>
      </c>
      <c r="Y434" s="150">
        <f>-IF(YEAR(Y397)=YEAR('Assumptions and Sensis'!$G$51),SUM(Y428:Y433),0)</f>
        <v>0</v>
      </c>
      <c r="Z434" s="150">
        <f>-IF(YEAR(Z397)=YEAR('Assumptions and Sensis'!$G$51),SUM(Z428:Z433),0)</f>
        <v>0</v>
      </c>
    </row>
    <row r="435" spans="2:26" x14ac:dyDescent="0.2">
      <c r="B435" s="136" t="s">
        <v>402</v>
      </c>
      <c r="C435" s="136"/>
      <c r="D435" s="35">
        <f t="shared" ref="D435" ca="1" si="223">+SUM(F435:Z435)</f>
        <v>113954631.22473232</v>
      </c>
      <c r="E435" s="128"/>
      <c r="F435" s="128">
        <f ca="1">+SUM(F428:F434)</f>
        <v>18873780.060831025</v>
      </c>
      <c r="G435" s="128">
        <f t="shared" ref="G435:Z435" ca="1" si="224">+SUM(G428:G434)</f>
        <v>36283687.849978745</v>
      </c>
      <c r="H435" s="128">
        <f t="shared" ca="1" si="224"/>
        <v>36283687.849978745</v>
      </c>
      <c r="I435" s="128">
        <f t="shared" ca="1" si="224"/>
        <v>14269643.431810752</v>
      </c>
      <c r="J435" s="128">
        <f t="shared" ca="1" si="224"/>
        <v>9287548.5431805477</v>
      </c>
      <c r="K435" s="128">
        <f t="shared" ca="1" si="224"/>
        <v>4400931.0201021768</v>
      </c>
      <c r="L435" s="128">
        <f t="shared" ca="1" si="224"/>
        <v>-384003.1086635096</v>
      </c>
      <c r="M435" s="128">
        <f t="shared" ca="1" si="224"/>
        <v>-5060644.4224861683</v>
      </c>
      <c r="N435" s="128">
        <f t="shared" ca="1" si="224"/>
        <v>0</v>
      </c>
      <c r="O435" s="128">
        <f t="shared" ca="1" si="224"/>
        <v>0</v>
      </c>
      <c r="P435" s="128">
        <f t="shared" ca="1" si="224"/>
        <v>0</v>
      </c>
      <c r="Q435" s="128">
        <f t="shared" ca="1" si="224"/>
        <v>0</v>
      </c>
      <c r="R435" s="128">
        <f t="shared" ca="1" si="224"/>
        <v>0</v>
      </c>
      <c r="S435" s="128">
        <f t="shared" ca="1" si="224"/>
        <v>0</v>
      </c>
      <c r="T435" s="128">
        <f t="shared" ca="1" si="224"/>
        <v>0</v>
      </c>
      <c r="U435" s="128">
        <f t="shared" ca="1" si="224"/>
        <v>0</v>
      </c>
      <c r="V435" s="128">
        <f t="shared" ca="1" si="224"/>
        <v>0</v>
      </c>
      <c r="W435" s="128">
        <f t="shared" ca="1" si="224"/>
        <v>0</v>
      </c>
      <c r="X435" s="128">
        <f t="shared" ca="1" si="224"/>
        <v>0</v>
      </c>
      <c r="Y435" s="128">
        <f t="shared" ca="1" si="224"/>
        <v>0</v>
      </c>
      <c r="Z435" s="128">
        <f t="shared" ca="1" si="224"/>
        <v>0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2:Z438"/>
  <sheetViews>
    <sheetView showGridLines="0" topLeftCell="A423" zoomScale="55" zoomScaleNormal="55" workbookViewId="0">
      <selection activeCell="B400" sqref="B400:N438"/>
    </sheetView>
  </sheetViews>
  <sheetFormatPr baseColWidth="10" defaultColWidth="14.5" defaultRowHeight="16" outlineLevelRow="7" outlineLevelCol="1" x14ac:dyDescent="0.2"/>
  <cols>
    <col min="1" max="1" width="8.5" style="40" customWidth="1"/>
    <col min="2" max="2" width="17.83203125" style="40" customWidth="1"/>
    <col min="3" max="3" width="32.6640625" style="40" customWidth="1"/>
    <col min="4" max="4" width="17.5" style="40" hidden="1" customWidth="1" outlineLevel="1"/>
    <col min="5" max="5" width="14.83203125" style="40" hidden="1" customWidth="1" outlineLevel="1"/>
    <col min="6" max="6" width="18" style="40" bestFit="1" customWidth="1" collapsed="1"/>
    <col min="7" max="8" width="15.5" style="40" bestFit="1" customWidth="1"/>
    <col min="9" max="10" width="14.5" style="40"/>
    <col min="11" max="11" width="15.5" style="40" bestFit="1" customWidth="1"/>
    <col min="12" max="16384" width="14.5" style="40"/>
  </cols>
  <sheetData>
    <row r="2" spans="1:26" x14ac:dyDescent="0.2">
      <c r="B2" s="145" t="s">
        <v>258</v>
      </c>
      <c r="E2" s="145">
        <f>+'Phase II Pro Forma'!E2</f>
        <v>0</v>
      </c>
      <c r="F2" s="146">
        <f>+'Phase II Pro Forma'!F2</f>
        <v>0</v>
      </c>
      <c r="G2" s="146">
        <f>+'Phase II Pro Forma'!G2</f>
        <v>0</v>
      </c>
      <c r="H2" s="146">
        <f>+'Phase II Pro Forma'!H2</f>
        <v>0</v>
      </c>
      <c r="I2" s="146">
        <f>+'Phase II Pro Forma'!I2</f>
        <v>1</v>
      </c>
      <c r="J2" s="146">
        <f>+'Phase II Pro Forma'!J2</f>
        <v>2</v>
      </c>
      <c r="K2" s="146">
        <f>+'Phase II Pro Forma'!K2</f>
        <v>3</v>
      </c>
      <c r="L2" s="146">
        <f>+'Phase II Pro Forma'!L2</f>
        <v>4</v>
      </c>
      <c r="M2" s="146">
        <f>+'Phase II Pro Forma'!M2</f>
        <v>5</v>
      </c>
      <c r="N2" s="146">
        <f>+'Phase II Pro Forma'!N2</f>
        <v>6</v>
      </c>
      <c r="O2" s="146">
        <f>+'Phase II Pro Forma'!O2</f>
        <v>7</v>
      </c>
      <c r="P2" s="146">
        <f>+'Phase II Pro Forma'!P2</f>
        <v>8</v>
      </c>
      <c r="Q2" s="146">
        <f>+'Phase II Pro Forma'!Q2</f>
        <v>9</v>
      </c>
      <c r="R2" s="146">
        <f>+'Phase II Pro Forma'!R2</f>
        <v>10</v>
      </c>
      <c r="S2" s="146">
        <f>+'Phase II Pro Forma'!S2</f>
        <v>11</v>
      </c>
      <c r="T2" s="146">
        <f>+'Phase II Pro Forma'!T2</f>
        <v>12</v>
      </c>
      <c r="U2" s="146">
        <f>+'Phase II Pro Forma'!U2</f>
        <v>13</v>
      </c>
      <c r="V2" s="146">
        <f>+'Phase II Pro Forma'!V2</f>
        <v>14</v>
      </c>
      <c r="W2" s="146">
        <f>+'Phase II Pro Forma'!W2</f>
        <v>15</v>
      </c>
      <c r="X2" s="146">
        <f>+'Phase II Pro Forma'!X2</f>
        <v>16</v>
      </c>
      <c r="Y2" s="146">
        <f>+'Phase II Pro Forma'!Y2</f>
        <v>17</v>
      </c>
      <c r="Z2" s="146">
        <f>+'Phase II Pro Forma'!Z2</f>
        <v>18</v>
      </c>
    </row>
    <row r="3" spans="1:26" x14ac:dyDescent="0.2">
      <c r="B3" s="145" t="s">
        <v>278</v>
      </c>
      <c r="F3" s="146">
        <f>+'Phase II Pro Forma'!F3</f>
        <v>0</v>
      </c>
      <c r="G3" s="146">
        <f>+'Phase II Pro Forma'!G3</f>
        <v>0</v>
      </c>
      <c r="H3" s="146">
        <f>+'Phase II Pro Forma'!H3</f>
        <v>0</v>
      </c>
      <c r="I3" s="146">
        <f>+'Phase II Pro Forma'!I3</f>
        <v>0</v>
      </c>
      <c r="J3" s="146">
        <f>+'Phase II Pro Forma'!J3</f>
        <v>0</v>
      </c>
      <c r="K3" s="146">
        <f>+'Phase II Pro Forma'!K3</f>
        <v>1</v>
      </c>
      <c r="L3" s="146">
        <f>+'Phase II Pro Forma'!L3</f>
        <v>2</v>
      </c>
      <c r="M3" s="146">
        <f>+'Phase II Pro Forma'!M3</f>
        <v>3</v>
      </c>
      <c r="N3" s="146">
        <f>+'Phase II Pro Forma'!N3</f>
        <v>4</v>
      </c>
      <c r="O3" s="146">
        <f>+'Phase II Pro Forma'!O3</f>
        <v>5</v>
      </c>
      <c r="P3" s="146">
        <f>+'Phase II Pro Forma'!P3</f>
        <v>6</v>
      </c>
      <c r="Q3" s="146">
        <f>+'Phase II Pro Forma'!Q3</f>
        <v>7</v>
      </c>
      <c r="R3" s="146">
        <f>+'Phase II Pro Forma'!R3</f>
        <v>8</v>
      </c>
      <c r="S3" s="146">
        <f>+'Phase II Pro Forma'!S3</f>
        <v>9</v>
      </c>
      <c r="T3" s="146">
        <f>+'Phase II Pro Forma'!T3</f>
        <v>10</v>
      </c>
      <c r="U3" s="146">
        <f>+'Phase II Pro Forma'!U3</f>
        <v>11</v>
      </c>
      <c r="V3" s="146">
        <f>+'Phase II Pro Forma'!V3</f>
        <v>12</v>
      </c>
      <c r="W3" s="146">
        <f>+'Phase II Pro Forma'!W3</f>
        <v>13</v>
      </c>
      <c r="X3" s="146">
        <f>+'Phase II Pro Forma'!X3</f>
        <v>14</v>
      </c>
      <c r="Y3" s="146">
        <f>+'Phase II Pro Forma'!Y3</f>
        <v>15</v>
      </c>
      <c r="Z3" s="146">
        <f>+'Phase II Pro Forma'!Z3</f>
        <v>16</v>
      </c>
    </row>
    <row r="4" spans="1:26" x14ac:dyDescent="0.2"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">
      <c r="B5" s="147" t="s">
        <v>790</v>
      </c>
      <c r="F5" s="41"/>
      <c r="G5" s="41"/>
      <c r="H5" s="41"/>
      <c r="I5" s="41"/>
      <c r="J5" s="41"/>
      <c r="K5" s="41"/>
      <c r="L5" s="41"/>
      <c r="M5" s="41"/>
      <c r="N5" s="41"/>
    </row>
    <row r="6" spans="1:26" x14ac:dyDescent="0.2">
      <c r="B6" s="36" t="s">
        <v>782</v>
      </c>
      <c r="C6" s="37"/>
      <c r="D6" s="37"/>
      <c r="E6" s="37"/>
      <c r="F6" s="135">
        <f>+F8</f>
        <v>44926</v>
      </c>
      <c r="G6" s="135">
        <f t="shared" ref="G6:Z6" si="0">+G8</f>
        <v>45291</v>
      </c>
      <c r="H6" s="135">
        <f t="shared" si="0"/>
        <v>45657</v>
      </c>
      <c r="I6" s="135">
        <f t="shared" si="0"/>
        <v>46022</v>
      </c>
      <c r="J6" s="135">
        <f t="shared" si="0"/>
        <v>46387</v>
      </c>
      <c r="K6" s="135">
        <f t="shared" si="0"/>
        <v>46752</v>
      </c>
      <c r="L6" s="135">
        <f t="shared" si="0"/>
        <v>47118</v>
      </c>
      <c r="M6" s="135">
        <f t="shared" si="0"/>
        <v>47483</v>
      </c>
      <c r="N6" s="135">
        <f t="shared" si="0"/>
        <v>47848</v>
      </c>
      <c r="O6" s="135">
        <f t="shared" si="0"/>
        <v>48213</v>
      </c>
      <c r="P6" s="135">
        <f t="shared" si="0"/>
        <v>48579</v>
      </c>
      <c r="Q6" s="135">
        <f t="shared" si="0"/>
        <v>48944</v>
      </c>
      <c r="R6" s="135">
        <f t="shared" si="0"/>
        <v>49309</v>
      </c>
      <c r="S6" s="135">
        <f t="shared" si="0"/>
        <v>49674</v>
      </c>
      <c r="T6" s="135">
        <f t="shared" si="0"/>
        <v>50040</v>
      </c>
      <c r="U6" s="135">
        <f t="shared" si="0"/>
        <v>50405</v>
      </c>
      <c r="V6" s="135">
        <f t="shared" si="0"/>
        <v>50770</v>
      </c>
      <c r="W6" s="135">
        <f t="shared" si="0"/>
        <v>51135</v>
      </c>
      <c r="X6" s="135">
        <f t="shared" si="0"/>
        <v>51501</v>
      </c>
      <c r="Y6" s="135">
        <f t="shared" si="0"/>
        <v>51866</v>
      </c>
      <c r="Z6" s="135">
        <f t="shared" si="0"/>
        <v>52231</v>
      </c>
    </row>
    <row r="7" spans="1:26" hidden="1" outlineLevel="6" x14ac:dyDescent="0.2">
      <c r="B7" s="785"/>
      <c r="C7" s="786"/>
      <c r="D7" s="786"/>
      <c r="E7" s="786"/>
      <c r="F7" s="787">
        <f>+YEAR(F8)</f>
        <v>2022</v>
      </c>
      <c r="G7" s="787">
        <f t="shared" ref="G7:Z7" si="1">+YEAR(G8)</f>
        <v>2023</v>
      </c>
      <c r="H7" s="787">
        <f t="shared" si="1"/>
        <v>2024</v>
      </c>
      <c r="I7" s="787">
        <f t="shared" si="1"/>
        <v>2025</v>
      </c>
      <c r="J7" s="787">
        <f t="shared" si="1"/>
        <v>2026</v>
      </c>
      <c r="K7" s="787">
        <f t="shared" si="1"/>
        <v>2027</v>
      </c>
      <c r="L7" s="787">
        <f t="shared" si="1"/>
        <v>2028</v>
      </c>
      <c r="M7" s="787">
        <f t="shared" si="1"/>
        <v>2029</v>
      </c>
      <c r="N7" s="787">
        <f t="shared" si="1"/>
        <v>2030</v>
      </c>
      <c r="O7" s="787">
        <f t="shared" si="1"/>
        <v>2031</v>
      </c>
      <c r="P7" s="787">
        <f t="shared" si="1"/>
        <v>2032</v>
      </c>
      <c r="Q7" s="787">
        <f t="shared" si="1"/>
        <v>2033</v>
      </c>
      <c r="R7" s="787">
        <f t="shared" si="1"/>
        <v>2034</v>
      </c>
      <c r="S7" s="787">
        <f t="shared" si="1"/>
        <v>2035</v>
      </c>
      <c r="T7" s="787">
        <f t="shared" si="1"/>
        <v>2036</v>
      </c>
      <c r="U7" s="787">
        <f t="shared" si="1"/>
        <v>2037</v>
      </c>
      <c r="V7" s="787">
        <f t="shared" si="1"/>
        <v>2038</v>
      </c>
      <c r="W7" s="787">
        <f t="shared" si="1"/>
        <v>2039</v>
      </c>
      <c r="X7" s="787">
        <f t="shared" si="1"/>
        <v>2040</v>
      </c>
      <c r="Y7" s="787">
        <f t="shared" si="1"/>
        <v>2041</v>
      </c>
      <c r="Z7" s="787">
        <f t="shared" si="1"/>
        <v>2042</v>
      </c>
    </row>
    <row r="8" spans="1:26" collapsed="1" x14ac:dyDescent="0.2">
      <c r="B8" s="147" t="s">
        <v>141</v>
      </c>
      <c r="C8" s="148"/>
      <c r="D8" s="148"/>
      <c r="E8" s="148"/>
      <c r="F8" s="776">
        <f>+'Phase II Pro Forma'!F7</f>
        <v>44926</v>
      </c>
      <c r="G8" s="776">
        <f>+'Phase II Pro Forma'!G7</f>
        <v>45291</v>
      </c>
      <c r="H8" s="776">
        <f>+'Phase II Pro Forma'!H7</f>
        <v>45657</v>
      </c>
      <c r="I8" s="776">
        <f>+'Phase II Pro Forma'!I7</f>
        <v>46022</v>
      </c>
      <c r="J8" s="776">
        <f>+'Phase II Pro Forma'!J7</f>
        <v>46387</v>
      </c>
      <c r="K8" s="776">
        <f>+'Phase II Pro Forma'!K7</f>
        <v>46752</v>
      </c>
      <c r="L8" s="776">
        <f>+'Phase II Pro Forma'!L7</f>
        <v>47118</v>
      </c>
      <c r="M8" s="776">
        <f>+'Phase II Pro Forma'!M7</f>
        <v>47483</v>
      </c>
      <c r="N8" s="776">
        <f>+'Phase II Pro Forma'!N7</f>
        <v>47848</v>
      </c>
      <c r="O8" s="776">
        <f>+'Phase II Pro Forma'!O7</f>
        <v>48213</v>
      </c>
      <c r="P8" s="776">
        <f>+'Phase II Pro Forma'!P7</f>
        <v>48579</v>
      </c>
      <c r="Q8" s="776">
        <f>+'Phase II Pro Forma'!Q7</f>
        <v>48944</v>
      </c>
      <c r="R8" s="776">
        <f>+'Phase II Pro Forma'!R7</f>
        <v>49309</v>
      </c>
      <c r="S8" s="776">
        <f>+'Phase II Pro Forma'!S7</f>
        <v>49674</v>
      </c>
      <c r="T8" s="776">
        <f>+'Phase II Pro Forma'!T7</f>
        <v>50040</v>
      </c>
      <c r="U8" s="776">
        <f>+'Phase II Pro Forma'!U7</f>
        <v>50405</v>
      </c>
      <c r="V8" s="776">
        <f>+'Phase II Pro Forma'!V7</f>
        <v>50770</v>
      </c>
      <c r="W8" s="776">
        <f>+'Phase II Pro Forma'!W7</f>
        <v>51135</v>
      </c>
      <c r="X8" s="776">
        <f>+'Phase II Pro Forma'!X7</f>
        <v>51501</v>
      </c>
      <c r="Y8" s="776">
        <f>+'Phase II Pro Forma'!Y7</f>
        <v>51866</v>
      </c>
      <c r="Z8" s="776">
        <f>+'Phase II Pro Forma'!Z7</f>
        <v>52231</v>
      </c>
    </row>
    <row r="9" spans="1:26" hidden="1" outlineLevel="2" x14ac:dyDescent="0.2">
      <c r="A9" s="139"/>
      <c r="B9" s="788" t="s">
        <v>756</v>
      </c>
      <c r="C9" s="788"/>
      <c r="D9" s="791"/>
      <c r="E9" s="791"/>
      <c r="F9" s="789">
        <f>+'Phase II Pro Forma'!F8</f>
        <v>0</v>
      </c>
      <c r="G9" s="789">
        <f>+'Phase II Pro Forma'!G8</f>
        <v>0</v>
      </c>
      <c r="H9" s="789">
        <f>+'Phase II Pro Forma'!H8</f>
        <v>0</v>
      </c>
      <c r="I9" s="789">
        <f>+'Phase II Pro Forma'!I8</f>
        <v>37973.710000000006</v>
      </c>
      <c r="J9" s="789">
        <f>+'Phase II Pro Forma'!J8</f>
        <v>37973.710000000006</v>
      </c>
      <c r="K9" s="789">
        <f>+'Phase II Pro Forma'!K8</f>
        <v>0</v>
      </c>
      <c r="L9" s="789">
        <f>+'Phase II Pro Forma'!L8</f>
        <v>0</v>
      </c>
      <c r="M9" s="789">
        <f>+'Phase II Pro Forma'!M8</f>
        <v>0</v>
      </c>
      <c r="N9" s="789">
        <f>+'Phase II Pro Forma'!N8</f>
        <v>0</v>
      </c>
      <c r="O9" s="789">
        <f>+'Phase II Pro Forma'!O8</f>
        <v>0</v>
      </c>
      <c r="P9" s="789">
        <f>+'Phase II Pro Forma'!P8</f>
        <v>0</v>
      </c>
      <c r="Q9" s="789">
        <f>+'Phase II Pro Forma'!Q8</f>
        <v>0</v>
      </c>
      <c r="R9" s="789">
        <f>+'Phase II Pro Forma'!R8</f>
        <v>0</v>
      </c>
      <c r="S9" s="789">
        <f>+'Phase II Pro Forma'!S8</f>
        <v>0</v>
      </c>
      <c r="T9" s="789">
        <f>+'Phase II Pro Forma'!T8</f>
        <v>0</v>
      </c>
      <c r="U9" s="789">
        <f>+'Phase II Pro Forma'!U8</f>
        <v>0</v>
      </c>
      <c r="V9" s="789">
        <f>+'Phase II Pro Forma'!V8</f>
        <v>0</v>
      </c>
      <c r="W9" s="789">
        <f>+'Phase II Pro Forma'!W8</f>
        <v>0</v>
      </c>
      <c r="X9" s="789">
        <f>+'Phase II Pro Forma'!X8</f>
        <v>0</v>
      </c>
      <c r="Y9" s="789">
        <f>+'Phase II Pro Forma'!Y8</f>
        <v>0</v>
      </c>
      <c r="Z9" s="789">
        <f>+'Phase II Pro Forma'!Z8</f>
        <v>0</v>
      </c>
    </row>
    <row r="10" spans="1:26" collapsed="1" x14ac:dyDescent="0.2">
      <c r="B10" s="32" t="s">
        <v>784</v>
      </c>
      <c r="C10" s="32"/>
      <c r="D10" s="41"/>
      <c r="E10" s="41"/>
      <c r="F10" s="41">
        <f>+D10+F9</f>
        <v>0</v>
      </c>
      <c r="G10" s="41">
        <f t="shared" ref="G10:Z10" si="2">+F10+G9</f>
        <v>0</v>
      </c>
      <c r="H10" s="41">
        <f t="shared" si="2"/>
        <v>0</v>
      </c>
      <c r="I10" s="41">
        <f t="shared" si="2"/>
        <v>37973.710000000006</v>
      </c>
      <c r="J10" s="41">
        <f t="shared" si="2"/>
        <v>75947.420000000013</v>
      </c>
      <c r="K10" s="41">
        <f t="shared" si="2"/>
        <v>75947.420000000013</v>
      </c>
      <c r="L10" s="41">
        <f t="shared" si="2"/>
        <v>75947.420000000013</v>
      </c>
      <c r="M10" s="41">
        <f t="shared" si="2"/>
        <v>75947.420000000013</v>
      </c>
      <c r="N10" s="41">
        <f t="shared" si="2"/>
        <v>75947.420000000013</v>
      </c>
      <c r="O10" s="41">
        <f t="shared" si="2"/>
        <v>75947.420000000013</v>
      </c>
      <c r="P10" s="41">
        <f t="shared" si="2"/>
        <v>75947.420000000013</v>
      </c>
      <c r="Q10" s="41">
        <f t="shared" si="2"/>
        <v>75947.420000000013</v>
      </c>
      <c r="R10" s="41">
        <f t="shared" si="2"/>
        <v>75947.420000000013</v>
      </c>
      <c r="S10" s="41">
        <f t="shared" si="2"/>
        <v>75947.420000000013</v>
      </c>
      <c r="T10" s="41">
        <f t="shared" si="2"/>
        <v>75947.420000000013</v>
      </c>
      <c r="U10" s="41">
        <f t="shared" si="2"/>
        <v>75947.420000000013</v>
      </c>
      <c r="V10" s="41">
        <f t="shared" si="2"/>
        <v>75947.420000000013</v>
      </c>
      <c r="W10" s="41">
        <f t="shared" si="2"/>
        <v>75947.420000000013</v>
      </c>
      <c r="X10" s="41">
        <f t="shared" si="2"/>
        <v>75947.420000000013</v>
      </c>
      <c r="Y10" s="41">
        <f t="shared" si="2"/>
        <v>75947.420000000013</v>
      </c>
      <c r="Z10" s="41">
        <f t="shared" si="2"/>
        <v>75947.420000000013</v>
      </c>
    </row>
    <row r="11" spans="1:26" hidden="1" outlineLevel="4" x14ac:dyDescent="0.2">
      <c r="B11" s="788" t="s">
        <v>490</v>
      </c>
      <c r="C11" s="788"/>
      <c r="D11" s="789"/>
      <c r="E11" s="789"/>
      <c r="F11" s="789">
        <f>+F12-E12</f>
        <v>0</v>
      </c>
      <c r="G11" s="789">
        <f t="shared" ref="G11:Z11" si="3">+G12-F12</f>
        <v>0</v>
      </c>
      <c r="H11" s="789">
        <f t="shared" si="3"/>
        <v>0</v>
      </c>
      <c r="I11" s="789">
        <f t="shared" si="3"/>
        <v>51.954939590909099</v>
      </c>
      <c r="J11" s="789">
        <f t="shared" si="3"/>
        <v>51.954939590909099</v>
      </c>
      <c r="K11" s="789">
        <f t="shared" si="3"/>
        <v>0</v>
      </c>
      <c r="L11" s="789">
        <f t="shared" si="3"/>
        <v>0</v>
      </c>
      <c r="M11" s="789">
        <f t="shared" si="3"/>
        <v>0</v>
      </c>
      <c r="N11" s="789">
        <f t="shared" si="3"/>
        <v>0</v>
      </c>
      <c r="O11" s="789">
        <f t="shared" si="3"/>
        <v>0</v>
      </c>
      <c r="P11" s="789">
        <f t="shared" si="3"/>
        <v>0</v>
      </c>
      <c r="Q11" s="789">
        <f t="shared" si="3"/>
        <v>0</v>
      </c>
      <c r="R11" s="789">
        <f t="shared" si="3"/>
        <v>0</v>
      </c>
      <c r="S11" s="789">
        <f t="shared" si="3"/>
        <v>0</v>
      </c>
      <c r="T11" s="789">
        <f t="shared" si="3"/>
        <v>0</v>
      </c>
      <c r="U11" s="789">
        <f t="shared" si="3"/>
        <v>0</v>
      </c>
      <c r="V11" s="789">
        <f t="shared" si="3"/>
        <v>0</v>
      </c>
      <c r="W11" s="789">
        <f t="shared" si="3"/>
        <v>0</v>
      </c>
      <c r="X11" s="789">
        <f t="shared" si="3"/>
        <v>0</v>
      </c>
      <c r="Y11" s="789">
        <f t="shared" si="3"/>
        <v>0</v>
      </c>
      <c r="Z11" s="789">
        <f t="shared" si="3"/>
        <v>0</v>
      </c>
    </row>
    <row r="12" spans="1:26" hidden="1" outlineLevel="4" x14ac:dyDescent="0.2">
      <c r="B12" s="788" t="s">
        <v>247</v>
      </c>
      <c r="C12" s="788"/>
      <c r="D12" s="789"/>
      <c r="E12" s="789"/>
      <c r="F12" s="789">
        <f>+'Phase II Pro Forma'!F11</f>
        <v>0</v>
      </c>
      <c r="G12" s="789">
        <f>+'Phase II Pro Forma'!G11</f>
        <v>0</v>
      </c>
      <c r="H12" s="789">
        <f>+'Phase II Pro Forma'!H11</f>
        <v>0</v>
      </c>
      <c r="I12" s="789">
        <f>+'Phase II Pro Forma'!I11</f>
        <v>51.954939590909099</v>
      </c>
      <c r="J12" s="789">
        <f>+'Phase II Pro Forma'!J11</f>
        <v>103.9098791818182</v>
      </c>
      <c r="K12" s="789">
        <f>+'Phase II Pro Forma'!K11</f>
        <v>103.9098791818182</v>
      </c>
      <c r="L12" s="789">
        <f>+'Phase II Pro Forma'!L11</f>
        <v>103.9098791818182</v>
      </c>
      <c r="M12" s="789">
        <f>+'Phase II Pro Forma'!M11</f>
        <v>103.9098791818182</v>
      </c>
      <c r="N12" s="789">
        <f>+'Phase II Pro Forma'!N11</f>
        <v>103.9098791818182</v>
      </c>
      <c r="O12" s="789">
        <f>+'Phase II Pro Forma'!O11</f>
        <v>103.9098791818182</v>
      </c>
      <c r="P12" s="789">
        <f>+'Phase II Pro Forma'!P11</f>
        <v>103.9098791818182</v>
      </c>
      <c r="Q12" s="789">
        <f>+'Phase II Pro Forma'!Q11</f>
        <v>103.9098791818182</v>
      </c>
      <c r="R12" s="789">
        <f>+'Phase II Pro Forma'!R11</f>
        <v>103.9098791818182</v>
      </c>
      <c r="S12" s="789">
        <f>+'Phase II Pro Forma'!S11</f>
        <v>103.9098791818182</v>
      </c>
      <c r="T12" s="789">
        <f>+'Phase II Pro Forma'!T11</f>
        <v>103.9098791818182</v>
      </c>
      <c r="U12" s="789">
        <f>+'Phase II Pro Forma'!U11</f>
        <v>103.9098791818182</v>
      </c>
      <c r="V12" s="789">
        <f>+'Phase II Pro Forma'!V11</f>
        <v>103.9098791818182</v>
      </c>
      <c r="W12" s="789">
        <f>+'Phase II Pro Forma'!W11</f>
        <v>103.9098791818182</v>
      </c>
      <c r="X12" s="789">
        <f>+'Phase II Pro Forma'!X11</f>
        <v>103.9098791818182</v>
      </c>
      <c r="Y12" s="789">
        <f>+'Phase II Pro Forma'!Y11</f>
        <v>103.9098791818182</v>
      </c>
      <c r="Z12" s="789">
        <f>+'Phase II Pro Forma'!Z11</f>
        <v>103.9098791818182</v>
      </c>
    </row>
    <row r="13" spans="1:26" hidden="1" outlineLevel="4" x14ac:dyDescent="0.2">
      <c r="B13" s="788" t="s">
        <v>301</v>
      </c>
      <c r="C13" s="788"/>
      <c r="D13" s="789"/>
      <c r="E13" s="789"/>
      <c r="F13" s="790">
        <f t="shared" ref="F13:Z13" si="4">+F10/SUM($F$9:$Z$9)</f>
        <v>0</v>
      </c>
      <c r="G13" s="790">
        <f t="shared" si="4"/>
        <v>0</v>
      </c>
      <c r="H13" s="790">
        <f t="shared" si="4"/>
        <v>0</v>
      </c>
      <c r="I13" s="790">
        <f t="shared" si="4"/>
        <v>0.5</v>
      </c>
      <c r="J13" s="790">
        <f t="shared" si="4"/>
        <v>1</v>
      </c>
      <c r="K13" s="790">
        <f t="shared" si="4"/>
        <v>1</v>
      </c>
      <c r="L13" s="790">
        <f t="shared" si="4"/>
        <v>1</v>
      </c>
      <c r="M13" s="790">
        <f t="shared" si="4"/>
        <v>1</v>
      </c>
      <c r="N13" s="790">
        <f t="shared" si="4"/>
        <v>1</v>
      </c>
      <c r="O13" s="790">
        <f t="shared" si="4"/>
        <v>1</v>
      </c>
      <c r="P13" s="790">
        <f t="shared" si="4"/>
        <v>1</v>
      </c>
      <c r="Q13" s="790">
        <f t="shared" si="4"/>
        <v>1</v>
      </c>
      <c r="R13" s="790">
        <f t="shared" si="4"/>
        <v>1</v>
      </c>
      <c r="S13" s="790">
        <f t="shared" si="4"/>
        <v>1</v>
      </c>
      <c r="T13" s="790">
        <f t="shared" si="4"/>
        <v>1</v>
      </c>
      <c r="U13" s="790">
        <f t="shared" si="4"/>
        <v>1</v>
      </c>
      <c r="V13" s="790">
        <f t="shared" si="4"/>
        <v>1</v>
      </c>
      <c r="W13" s="790">
        <f t="shared" si="4"/>
        <v>1</v>
      </c>
      <c r="X13" s="790">
        <f t="shared" si="4"/>
        <v>1</v>
      </c>
      <c r="Y13" s="790">
        <f t="shared" si="4"/>
        <v>1</v>
      </c>
      <c r="Z13" s="790">
        <f t="shared" si="4"/>
        <v>1</v>
      </c>
    </row>
    <row r="14" spans="1:26" hidden="1" outlineLevel="1" x14ac:dyDescent="0.2">
      <c r="B14" s="788"/>
      <c r="C14" s="788"/>
      <c r="D14" s="789"/>
      <c r="E14" s="789"/>
      <c r="F14" s="790"/>
      <c r="G14" s="790"/>
      <c r="H14" s="790"/>
      <c r="I14" s="790"/>
      <c r="J14" s="790"/>
      <c r="K14" s="790"/>
      <c r="L14" s="790"/>
      <c r="M14" s="790"/>
      <c r="N14" s="790"/>
      <c r="O14" s="790"/>
      <c r="P14" s="790"/>
      <c r="Q14" s="790"/>
      <c r="R14" s="790"/>
      <c r="S14" s="790"/>
      <c r="T14" s="790"/>
      <c r="U14" s="790"/>
      <c r="V14" s="790"/>
      <c r="W14" s="790"/>
      <c r="X14" s="790"/>
      <c r="Y14" s="790"/>
      <c r="Z14" s="790"/>
    </row>
    <row r="15" spans="1:26" hidden="1" outlineLevel="1" x14ac:dyDescent="0.2">
      <c r="B15" s="788" t="s">
        <v>251</v>
      </c>
      <c r="C15" s="788"/>
      <c r="D15" s="789"/>
      <c r="E15" s="789"/>
      <c r="F15" s="790">
        <f>+'Phase II Pro Forma'!F14</f>
        <v>1</v>
      </c>
      <c r="G15" s="790">
        <f>+'Phase II Pro Forma'!G14</f>
        <v>1.02</v>
      </c>
      <c r="H15" s="790">
        <f>+'Phase II Pro Forma'!H14</f>
        <v>1.0404</v>
      </c>
      <c r="I15" s="790">
        <f>+'Phase II Pro Forma'!I14</f>
        <v>1.0612079999999999</v>
      </c>
      <c r="J15" s="790">
        <f>+'Phase II Pro Forma'!J14</f>
        <v>1.08243216</v>
      </c>
      <c r="K15" s="790">
        <f>+'Phase II Pro Forma'!K14</f>
        <v>1.1040808032</v>
      </c>
      <c r="L15" s="790">
        <f>+'Phase II Pro Forma'!L14</f>
        <v>1.1261624192640001</v>
      </c>
      <c r="M15" s="790">
        <f>+'Phase II Pro Forma'!M14</f>
        <v>1.14868566764928</v>
      </c>
      <c r="N15" s="790">
        <f>+'Phase II Pro Forma'!N14</f>
        <v>1.1716593810022657</v>
      </c>
      <c r="O15" s="790">
        <f>+'Phase II Pro Forma'!O14</f>
        <v>1.1950925686223111</v>
      </c>
      <c r="P15" s="790">
        <f>+'Phase II Pro Forma'!P14</f>
        <v>1.2189944199947573</v>
      </c>
      <c r="Q15" s="790">
        <f>+'Phase II Pro Forma'!Q14</f>
        <v>1.2433743083946525</v>
      </c>
      <c r="R15" s="790">
        <f>+'Phase II Pro Forma'!R14</f>
        <v>1.2682417945625455</v>
      </c>
      <c r="S15" s="790">
        <f>+'Phase II Pro Forma'!S14</f>
        <v>1.2936066304537963</v>
      </c>
      <c r="T15" s="790">
        <f>+'Phase II Pro Forma'!T14</f>
        <v>1.3194787630628724</v>
      </c>
      <c r="U15" s="790">
        <f>+'Phase II Pro Forma'!U14</f>
        <v>1.3458683383241299</v>
      </c>
      <c r="V15" s="790">
        <f>+'Phase II Pro Forma'!V14</f>
        <v>1.3727857050906125</v>
      </c>
      <c r="W15" s="790">
        <f>+'Phase II Pro Forma'!W14</f>
        <v>1.4002414191924248</v>
      </c>
      <c r="X15" s="790">
        <f>+'Phase II Pro Forma'!X14</f>
        <v>1.4282462475762734</v>
      </c>
      <c r="Y15" s="790">
        <f>+'Phase II Pro Forma'!Y14</f>
        <v>1.4568111725277988</v>
      </c>
      <c r="Z15" s="790">
        <f>+'Phase II Pro Forma'!Z14</f>
        <v>1.4859473959783549</v>
      </c>
    </row>
    <row r="16" spans="1:26" hidden="1" outlineLevel="1" x14ac:dyDescent="0.2">
      <c r="B16" s="788" t="s">
        <v>252</v>
      </c>
      <c r="C16" s="788"/>
      <c r="D16" s="789"/>
      <c r="E16" s="789"/>
      <c r="F16" s="790">
        <f>+'Phase II Pro Forma'!F15</f>
        <v>1</v>
      </c>
      <c r="G16" s="790">
        <f>+'Phase II Pro Forma'!G15</f>
        <v>1.03</v>
      </c>
      <c r="H16" s="790">
        <f>+'Phase II Pro Forma'!H15</f>
        <v>1.0609</v>
      </c>
      <c r="I16" s="790">
        <f>+'Phase II Pro Forma'!I15</f>
        <v>1.092727</v>
      </c>
      <c r="J16" s="790">
        <f>+'Phase II Pro Forma'!J15</f>
        <v>1.1255088100000001</v>
      </c>
      <c r="K16" s="790">
        <f>+'Phase II Pro Forma'!K15</f>
        <v>1.1592740743000001</v>
      </c>
      <c r="L16" s="790">
        <f>+'Phase II Pro Forma'!L15</f>
        <v>1.1940522965290001</v>
      </c>
      <c r="M16" s="790">
        <f>+'Phase II Pro Forma'!M15</f>
        <v>1.2298738654248702</v>
      </c>
      <c r="N16" s="790">
        <f>+'Phase II Pro Forma'!N15</f>
        <v>1.2667700813876164</v>
      </c>
      <c r="O16" s="790">
        <f>+'Phase II Pro Forma'!O15</f>
        <v>1.3047731838292449</v>
      </c>
      <c r="P16" s="790">
        <f>+'Phase II Pro Forma'!P15</f>
        <v>1.3439163793441222</v>
      </c>
      <c r="Q16" s="790">
        <f>+'Phase II Pro Forma'!Q15</f>
        <v>1.3842338707244459</v>
      </c>
      <c r="R16" s="790">
        <f>+'Phase II Pro Forma'!R15</f>
        <v>1.4257608868461793</v>
      </c>
      <c r="S16" s="790">
        <f>+'Phase II Pro Forma'!S15</f>
        <v>1.4685337134515648</v>
      </c>
      <c r="T16" s="790">
        <f>+'Phase II Pro Forma'!T15</f>
        <v>1.5125897248551119</v>
      </c>
      <c r="U16" s="790">
        <f>+'Phase II Pro Forma'!U15</f>
        <v>1.5579674166007653</v>
      </c>
      <c r="V16" s="790">
        <f>+'Phase II Pro Forma'!V15</f>
        <v>1.6047064390987884</v>
      </c>
      <c r="W16" s="790">
        <f>+'Phase II Pro Forma'!W15</f>
        <v>1.652847632271752</v>
      </c>
      <c r="X16" s="790">
        <f>+'Phase II Pro Forma'!X15</f>
        <v>1.7024330612399046</v>
      </c>
      <c r="Y16" s="790">
        <f>+'Phase II Pro Forma'!Y15</f>
        <v>1.7535060530771018</v>
      </c>
      <c r="Z16" s="790">
        <f>+'Phase II Pro Forma'!Z15</f>
        <v>1.806111234669415</v>
      </c>
    </row>
    <row r="17" spans="2:26" ht="5" customHeight="1" collapsed="1" x14ac:dyDescent="0.2">
      <c r="B17" s="32"/>
      <c r="C17" s="32"/>
      <c r="D17" s="39"/>
      <c r="E17" s="39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2:26" x14ac:dyDescent="0.2">
      <c r="B18" s="32" t="s">
        <v>243</v>
      </c>
      <c r="C18" s="32"/>
      <c r="D18" s="39"/>
      <c r="E18" s="39"/>
      <c r="F18" s="48">
        <f>+'Phase II Pro Forma'!F17/1000000</f>
        <v>0</v>
      </c>
      <c r="G18" s="48">
        <f>+'Phase II Pro Forma'!G17/1000000</f>
        <v>0</v>
      </c>
      <c r="H18" s="48">
        <f>+'Phase II Pro Forma'!H17/1000000</f>
        <v>0</v>
      </c>
      <c r="I18" s="48">
        <f>+'Phase II Pro Forma'!I17/1000000</f>
        <v>0.5087047028569468</v>
      </c>
      <c r="J18" s="48">
        <f>+'Phase II Pro Forma'!J17/1000000</f>
        <v>1.0377575938281716</v>
      </c>
      <c r="K18" s="48">
        <f>+'Phase II Pro Forma'!K17/1000000</f>
        <v>1.058512745704735</v>
      </c>
      <c r="L18" s="48">
        <f>+'Phase II Pro Forma'!L17/1000000</f>
        <v>1.0796830006188296</v>
      </c>
      <c r="M18" s="48">
        <f>+'Phase II Pro Forma'!M17/1000000</f>
        <v>1.1012766606312063</v>
      </c>
      <c r="N18" s="48">
        <f>+'Phase II Pro Forma'!N17/1000000</f>
        <v>1.1233021938438303</v>
      </c>
      <c r="O18" s="48">
        <f>+'Phase II Pro Forma'!O17/1000000</f>
        <v>1.1457682377207072</v>
      </c>
      <c r="P18" s="48">
        <f>+'Phase II Pro Forma'!P17/1000000</f>
        <v>1.1686836024751215</v>
      </c>
      <c r="Q18" s="48">
        <f>+'Phase II Pro Forma'!Q17/1000000</f>
        <v>1.1920572745246238</v>
      </c>
      <c r="R18" s="48">
        <f>+'Phase II Pro Forma'!R17/1000000</f>
        <v>1.2158984200151162</v>
      </c>
      <c r="S18" s="48">
        <f>+'Phase II Pro Forma'!S17/1000000</f>
        <v>1.2402163884154183</v>
      </c>
      <c r="T18" s="48">
        <f>+'Phase II Pro Forma'!T17/1000000</f>
        <v>1.2650207161837268</v>
      </c>
      <c r="U18" s="48">
        <f>+'Phase II Pro Forma'!U17/1000000</f>
        <v>1.2903211305074014</v>
      </c>
      <c r="V18" s="48">
        <f>+'Phase II Pro Forma'!V17/1000000</f>
        <v>1.3161275531175496</v>
      </c>
      <c r="W18" s="48">
        <f>+'Phase II Pro Forma'!W17/1000000</f>
        <v>1.3424501041799006</v>
      </c>
      <c r="X18" s="48">
        <f>+'Phase II Pro Forma'!X17/1000000</f>
        <v>1.3692991062634987</v>
      </c>
      <c r="Y18" s="48">
        <f>+'Phase II Pro Forma'!Y17/1000000</f>
        <v>1.3966850883887685</v>
      </c>
      <c r="Z18" s="48">
        <f>+'Phase II Pro Forma'!Z17/1000000</f>
        <v>1.4246187901565441</v>
      </c>
    </row>
    <row r="19" spans="2:26" x14ac:dyDescent="0.2">
      <c r="B19" s="32" t="s">
        <v>244</v>
      </c>
      <c r="C19" s="32"/>
      <c r="D19" s="39"/>
      <c r="E19" s="39"/>
      <c r="F19" s="771">
        <f>+'Phase II Pro Forma'!F18/1000000</f>
        <v>0</v>
      </c>
      <c r="G19" s="771">
        <f>+'Phase II Pro Forma'!G18/1000000</f>
        <v>0</v>
      </c>
      <c r="H19" s="771">
        <f>+'Phase II Pro Forma'!H18/1000000</f>
        <v>0</v>
      </c>
      <c r="I19" s="771">
        <f>+'Phase II Pro Forma'!I18/1000000</f>
        <v>-1.5261141085708403E-2</v>
      </c>
      <c r="J19" s="771">
        <f>+'Phase II Pro Forma'!J18/1000000</f>
        <v>-3.1132727814845145E-2</v>
      </c>
      <c r="K19" s="771">
        <f>+'Phase II Pro Forma'!K18/1000000</f>
        <v>-3.1755382371142046E-2</v>
      </c>
      <c r="L19" s="771">
        <f>+'Phase II Pro Forma'!L18/1000000</f>
        <v>-3.2390490018564887E-2</v>
      </c>
      <c r="M19" s="771">
        <f>+'Phase II Pro Forma'!M18/1000000</f>
        <v>-3.303829981893619E-2</v>
      </c>
      <c r="N19" s="771">
        <f>+'Phase II Pro Forma'!N18/1000000</f>
        <v>-3.3699065815314913E-2</v>
      </c>
      <c r="O19" s="771">
        <f>+'Phase II Pro Forma'!O18/1000000</f>
        <v>-3.4373047131621211E-2</v>
      </c>
      <c r="P19" s="771">
        <f>+'Phase II Pro Forma'!P18/1000000</f>
        <v>-3.5060508074253635E-2</v>
      </c>
      <c r="Q19" s="771">
        <f>+'Phase II Pro Forma'!Q18/1000000</f>
        <v>-3.5761718235738711E-2</v>
      </c>
      <c r="R19" s="771">
        <f>+'Phase II Pro Forma'!R18/1000000</f>
        <v>-3.6476952600453486E-2</v>
      </c>
      <c r="S19" s="771">
        <f>+'Phase II Pro Forma'!S18/1000000</f>
        <v>-3.7206491652462551E-2</v>
      </c>
      <c r="T19" s="771">
        <f>+'Phase II Pro Forma'!T18/1000000</f>
        <v>-3.7950621485511808E-2</v>
      </c>
      <c r="U19" s="771">
        <f>+'Phase II Pro Forma'!U18/1000000</f>
        <v>-3.8709633915222037E-2</v>
      </c>
      <c r="V19" s="771">
        <f>+'Phase II Pro Forma'!V18/1000000</f>
        <v>-3.9483826593526485E-2</v>
      </c>
      <c r="W19" s="771">
        <f>+'Phase II Pro Forma'!W18/1000000</f>
        <v>-4.0273503125397014E-2</v>
      </c>
      <c r="X19" s="771">
        <f>+'Phase II Pro Forma'!X18/1000000</f>
        <v>-4.1078973187904967E-2</v>
      </c>
      <c r="Y19" s="771">
        <f>+'Phase II Pro Forma'!Y18/1000000</f>
        <v>-4.1900552651663057E-2</v>
      </c>
      <c r="Z19" s="771">
        <f>+'Phase II Pro Forma'!Z18/1000000</f>
        <v>-4.2738563704696322E-2</v>
      </c>
    </row>
    <row r="20" spans="2:26" x14ac:dyDescent="0.2">
      <c r="B20" s="32" t="s">
        <v>379</v>
      </c>
      <c r="C20" s="32"/>
      <c r="D20" s="39"/>
      <c r="E20" s="39"/>
      <c r="F20" s="772">
        <f>+'Phase II Pro Forma'!F19/1000000</f>
        <v>0</v>
      </c>
      <c r="G20" s="772">
        <f>+'Phase II Pro Forma'!G19/1000000</f>
        <v>0</v>
      </c>
      <c r="H20" s="772">
        <f>+'Phase II Pro Forma'!H19/1000000</f>
        <v>0</v>
      </c>
      <c r="I20" s="772">
        <f>+'Phase II Pro Forma'!I19/1000000</f>
        <v>3.0237774841909097E-3</v>
      </c>
      <c r="J20" s="772">
        <f>+'Phase II Pro Forma'!J19/1000000</f>
        <v>6.0475549683818193E-3</v>
      </c>
      <c r="K20" s="772">
        <f>+'Phase II Pro Forma'!K19/1000000</f>
        <v>6.0475549683818193E-3</v>
      </c>
      <c r="L20" s="772">
        <f>+'Phase II Pro Forma'!L19/1000000</f>
        <v>6.0475549683818193E-3</v>
      </c>
      <c r="M20" s="772">
        <f>+'Phase II Pro Forma'!M19/1000000</f>
        <v>6.0475549683818193E-3</v>
      </c>
      <c r="N20" s="772">
        <f>+'Phase II Pro Forma'!N19/1000000</f>
        <v>6.0475549683818193E-3</v>
      </c>
      <c r="O20" s="772">
        <f>+'Phase II Pro Forma'!O19/1000000</f>
        <v>6.0475549683818193E-3</v>
      </c>
      <c r="P20" s="772">
        <f>+'Phase II Pro Forma'!P19/1000000</f>
        <v>6.0475549683818193E-3</v>
      </c>
      <c r="Q20" s="772">
        <f>+'Phase II Pro Forma'!Q19/1000000</f>
        <v>6.0475549683818193E-3</v>
      </c>
      <c r="R20" s="772">
        <f>+'Phase II Pro Forma'!R19/1000000</f>
        <v>6.0475549683818193E-3</v>
      </c>
      <c r="S20" s="772">
        <f>+'Phase II Pro Forma'!S19/1000000</f>
        <v>6.0475549683818193E-3</v>
      </c>
      <c r="T20" s="772">
        <f>+'Phase II Pro Forma'!T19/1000000</f>
        <v>6.0475549683818193E-3</v>
      </c>
      <c r="U20" s="772">
        <f>+'Phase II Pro Forma'!U19/1000000</f>
        <v>6.0475549683818193E-3</v>
      </c>
      <c r="V20" s="772">
        <f>+'Phase II Pro Forma'!V19/1000000</f>
        <v>6.0475549683818193E-3</v>
      </c>
      <c r="W20" s="772">
        <f>+'Phase II Pro Forma'!W19/1000000</f>
        <v>6.0475549683818193E-3</v>
      </c>
      <c r="X20" s="772">
        <f>+'Phase II Pro Forma'!X19/1000000</f>
        <v>6.0475549683818193E-3</v>
      </c>
      <c r="Y20" s="772">
        <f>+'Phase II Pro Forma'!Y19/1000000</f>
        <v>6.0475549683818193E-3</v>
      </c>
      <c r="Z20" s="772">
        <f>+'Phase II Pro Forma'!Z19/1000000</f>
        <v>6.0475549683818193E-3</v>
      </c>
    </row>
    <row r="21" spans="2:26" x14ac:dyDescent="0.2">
      <c r="B21" s="136" t="s">
        <v>253</v>
      </c>
      <c r="C21" s="136"/>
      <c r="D21" s="136"/>
      <c r="E21" s="136"/>
      <c r="F21" s="773">
        <f>+'Phase II Pro Forma'!F20/1000000</f>
        <v>0</v>
      </c>
      <c r="G21" s="773">
        <f>+'Phase II Pro Forma'!G20/1000000</f>
        <v>0</v>
      </c>
      <c r="H21" s="773">
        <f>+'Phase II Pro Forma'!H20/1000000</f>
        <v>0</v>
      </c>
      <c r="I21" s="773">
        <f>+'Phase II Pro Forma'!I20/1000000</f>
        <v>0.4964673392554293</v>
      </c>
      <c r="J21" s="773">
        <f>+'Phase II Pro Forma'!J20/1000000</f>
        <v>1.0126724209817082</v>
      </c>
      <c r="K21" s="773">
        <f>+'Phase II Pro Forma'!K20/1000000</f>
        <v>1.0328049183019747</v>
      </c>
      <c r="L21" s="773">
        <f>+'Phase II Pro Forma'!L20/1000000</f>
        <v>1.0533400655686467</v>
      </c>
      <c r="M21" s="773">
        <f>+'Phase II Pro Forma'!M20/1000000</f>
        <v>1.0742859157806519</v>
      </c>
      <c r="N21" s="773">
        <f>+'Phase II Pro Forma'!N20/1000000</f>
        <v>1.0956506829968973</v>
      </c>
      <c r="O21" s="773">
        <f>+'Phase II Pro Forma'!O20/1000000</f>
        <v>1.1174427455574676</v>
      </c>
      <c r="P21" s="773">
        <f>+'Phase II Pro Forma'!P20/1000000</f>
        <v>1.1396706493692497</v>
      </c>
      <c r="Q21" s="773">
        <f>+'Phase II Pro Forma'!Q20/1000000</f>
        <v>1.1623431112572666</v>
      </c>
      <c r="R21" s="773">
        <f>+'Phase II Pro Forma'!R20/1000000</f>
        <v>1.1854690223830444</v>
      </c>
      <c r="S21" s="773">
        <f>+'Phase II Pro Forma'!S20/1000000</f>
        <v>1.2090574517313375</v>
      </c>
      <c r="T21" s="773">
        <f>+'Phase II Pro Forma'!T20/1000000</f>
        <v>1.233117649666597</v>
      </c>
      <c r="U21" s="773">
        <f>+'Phase II Pro Forma'!U20/1000000</f>
        <v>1.2576590515605612</v>
      </c>
      <c r="V21" s="773">
        <f>+'Phase II Pro Forma'!V20/1000000</f>
        <v>1.282691281492405</v>
      </c>
      <c r="W21" s="773">
        <f>+'Phase II Pro Forma'!W20/1000000</f>
        <v>1.3082241560228853</v>
      </c>
      <c r="X21" s="773">
        <f>+'Phase II Pro Forma'!X20/1000000</f>
        <v>1.3342676880439754</v>
      </c>
      <c r="Y21" s="773">
        <f>+'Phase II Pro Forma'!Y20/1000000</f>
        <v>1.3608320907054872</v>
      </c>
      <c r="Z21" s="773">
        <f>+'Phase II Pro Forma'!Z20/1000000</f>
        <v>1.3879277814202298</v>
      </c>
    </row>
    <row r="22" spans="2:26" ht="5" customHeight="1" x14ac:dyDescent="0.2"/>
    <row r="23" spans="2:26" x14ac:dyDescent="0.2">
      <c r="B23" s="32" t="s">
        <v>389</v>
      </c>
      <c r="F23" s="48">
        <f>+'Phase II Pro Forma'!F22/1000000</f>
        <v>0</v>
      </c>
      <c r="G23" s="48">
        <f>+'Phase II Pro Forma'!G22/1000000</f>
        <v>0</v>
      </c>
      <c r="H23" s="48">
        <f>+'Phase II Pro Forma'!H22/1000000</f>
        <v>0</v>
      </c>
      <c r="I23" s="48">
        <f>+'Phase II Pro Forma'!I22/1000000</f>
        <v>0.34258382608634785</v>
      </c>
      <c r="J23" s="48">
        <f>+'Phase II Pro Forma'!J22/1000000</f>
        <v>0.70572268173787667</v>
      </c>
      <c r="K23" s="48">
        <f>+'Phase II Pro Forma'!K22/1000000</f>
        <v>0.72689436219001291</v>
      </c>
      <c r="L23" s="48">
        <f>+'Phase II Pro Forma'!L22/1000000</f>
        <v>0.74870119305571337</v>
      </c>
      <c r="M23" s="48">
        <f>+'Phase II Pro Forma'!M22/1000000</f>
        <v>0.77116222884738483</v>
      </c>
      <c r="N23" s="48">
        <f>+'Phase II Pro Forma'!N22/1000000</f>
        <v>0.79429709571280638</v>
      </c>
      <c r="O23" s="48">
        <f>+'Phase II Pro Forma'!O22/1000000</f>
        <v>0.8181260085841906</v>
      </c>
      <c r="P23" s="48">
        <f>+'Phase II Pro Forma'!P22/1000000</f>
        <v>0.84266978884171628</v>
      </c>
      <c r="Q23" s="48">
        <f>+'Phase II Pro Forma'!Q22/1000000</f>
        <v>0.86794988250696781</v>
      </c>
      <c r="R23" s="48">
        <f>+'Phase II Pro Forma'!R22/1000000</f>
        <v>0.89398837898217676</v>
      </c>
      <c r="S23" s="48">
        <f>+'Phase II Pro Forma'!S22/1000000</f>
        <v>0.92080803035164216</v>
      </c>
      <c r="T23" s="48">
        <f>+'Phase II Pro Forma'!T22/1000000</f>
        <v>0.94843227126219154</v>
      </c>
      <c r="U23" s="48">
        <f>+'Phase II Pro Forma'!U22/1000000</f>
        <v>0.97688523940005734</v>
      </c>
      <c r="V23" s="48">
        <f>+'Phase II Pro Forma'!V22/1000000</f>
        <v>1.006191796582059</v>
      </c>
      <c r="W23" s="48">
        <f>+'Phase II Pro Forma'!W22/1000000</f>
        <v>1.036377550479521</v>
      </c>
      <c r="X23" s="48">
        <f>+'Phase II Pro Forma'!X22/1000000</f>
        <v>1.0674688769939065</v>
      </c>
      <c r="Y23" s="48">
        <f>+'Phase II Pro Forma'!Y22/1000000</f>
        <v>1.0994929433037237</v>
      </c>
      <c r="Z23" s="48">
        <f>+'Phase II Pro Forma'!Z22/1000000</f>
        <v>1.1324777316028356</v>
      </c>
    </row>
    <row r="24" spans="2:26" x14ac:dyDescent="0.2">
      <c r="B24" s="32" t="s">
        <v>325</v>
      </c>
      <c r="F24" s="772">
        <f ca="1">+'Phase II Pro Forma'!F23/1000000</f>
        <v>0</v>
      </c>
      <c r="G24" s="772">
        <f ca="1">+'Phase II Pro Forma'!G23/1000000</f>
        <v>0</v>
      </c>
      <c r="H24" s="772">
        <f ca="1">+'Phase II Pro Forma'!H23/1000000</f>
        <v>0</v>
      </c>
      <c r="I24" s="772">
        <f ca="1">+'Phase II Pro Forma'!I23/1000000</f>
        <v>3.9912378647743912E-2</v>
      </c>
      <c r="J24" s="772">
        <f ca="1">+'Phase II Pro Forma'!J23/1000000</f>
        <v>8.1421252441397557E-2</v>
      </c>
      <c r="K24" s="772">
        <f ca="1">+'Phase II Pro Forma'!K23/1000000</f>
        <v>8.1421252441397557E-2</v>
      </c>
      <c r="L24" s="772">
        <f ca="1">+'Phase II Pro Forma'!L23/1000000</f>
        <v>8.1421252441397557E-2</v>
      </c>
      <c r="M24" s="772">
        <f ca="1">+'Phase II Pro Forma'!M23/1000000</f>
        <v>8.3049677490225529E-2</v>
      </c>
      <c r="N24" s="772">
        <f ca="1">+'Phase II Pro Forma'!N23/1000000</f>
        <v>8.3049677490225529E-2</v>
      </c>
      <c r="O24" s="772">
        <f ca="1">+'Phase II Pro Forma'!O23/1000000</f>
        <v>8.3049677490225529E-2</v>
      </c>
      <c r="P24" s="772">
        <f ca="1">+'Phase II Pro Forma'!P23/1000000</f>
        <v>8.4710671040030036E-2</v>
      </c>
      <c r="Q24" s="772">
        <f ca="1">+'Phase II Pro Forma'!Q23/1000000</f>
        <v>8.4710671040030036E-2</v>
      </c>
      <c r="R24" s="772">
        <f ca="1">+'Phase II Pro Forma'!R23/1000000</f>
        <v>8.4710671040030036E-2</v>
      </c>
      <c r="S24" s="772">
        <f ca="1">+'Phase II Pro Forma'!S23/1000000</f>
        <v>8.6404884460830639E-2</v>
      </c>
      <c r="T24" s="772">
        <f ca="1">+'Phase II Pro Forma'!T23/1000000</f>
        <v>8.6404884460830639E-2</v>
      </c>
      <c r="U24" s="772">
        <f ca="1">+'Phase II Pro Forma'!U23/1000000</f>
        <v>8.6404884460830639E-2</v>
      </c>
      <c r="V24" s="772">
        <f ca="1">+'Phase II Pro Forma'!V23/1000000</f>
        <v>8.8132982150047265E-2</v>
      </c>
      <c r="W24" s="772">
        <f ca="1">+'Phase II Pro Forma'!W23/1000000</f>
        <v>8.8132982150047265E-2</v>
      </c>
      <c r="X24" s="772">
        <f ca="1">+'Phase II Pro Forma'!X23/1000000</f>
        <v>8.8132982150047265E-2</v>
      </c>
      <c r="Y24" s="772">
        <f ca="1">+'Phase II Pro Forma'!Y23/1000000</f>
        <v>8.9895641793048209E-2</v>
      </c>
      <c r="Z24" s="772">
        <f ca="1">+'Phase II Pro Forma'!Z23/1000000</f>
        <v>8.9895641793048209E-2</v>
      </c>
    </row>
    <row r="25" spans="2:26" x14ac:dyDescent="0.2">
      <c r="B25" s="136" t="s">
        <v>249</v>
      </c>
      <c r="C25" s="136"/>
      <c r="D25" s="136"/>
      <c r="E25" s="136"/>
      <c r="F25" s="773">
        <f ca="1">+'Phase II Pro Forma'!F24/1000000</f>
        <v>0</v>
      </c>
      <c r="G25" s="773">
        <f ca="1">+'Phase II Pro Forma'!G24/1000000</f>
        <v>0</v>
      </c>
      <c r="H25" s="773">
        <f ca="1">+'Phase II Pro Forma'!H24/1000000</f>
        <v>0</v>
      </c>
      <c r="I25" s="773">
        <f ca="1">+'Phase II Pro Forma'!I24/1000000</f>
        <v>0.38249620473409174</v>
      </c>
      <c r="J25" s="773">
        <f ca="1">+'Phase II Pro Forma'!J24/1000000</f>
        <v>0.78714393417927409</v>
      </c>
      <c r="K25" s="773">
        <f ca="1">+'Phase II Pro Forma'!K24/1000000</f>
        <v>0.80831561463141044</v>
      </c>
      <c r="L25" s="773">
        <f ca="1">+'Phase II Pro Forma'!L24/1000000</f>
        <v>0.83012244549711078</v>
      </c>
      <c r="M25" s="773">
        <f ca="1">+'Phase II Pro Forma'!M24/1000000</f>
        <v>0.85421190633761035</v>
      </c>
      <c r="N25" s="773">
        <f ca="1">+'Phase II Pro Forma'!N24/1000000</f>
        <v>0.87734677320303189</v>
      </c>
      <c r="O25" s="773">
        <f ca="1">+'Phase II Pro Forma'!O24/1000000</f>
        <v>0.90117568607441612</v>
      </c>
      <c r="P25" s="773">
        <f ca="1">+'Phase II Pro Forma'!P24/1000000</f>
        <v>0.92738045988174633</v>
      </c>
      <c r="Q25" s="773">
        <f ca="1">+'Phase II Pro Forma'!Q24/1000000</f>
        <v>0.95266055354699786</v>
      </c>
      <c r="R25" s="773">
        <f ca="1">+'Phase II Pro Forma'!R24/1000000</f>
        <v>0.97869905002220681</v>
      </c>
      <c r="S25" s="773">
        <f ca="1">+'Phase II Pro Forma'!S24/1000000</f>
        <v>1.0072129148124727</v>
      </c>
      <c r="T25" s="773">
        <f ca="1">+'Phase II Pro Forma'!T24/1000000</f>
        <v>1.0348371557230223</v>
      </c>
      <c r="U25" s="773">
        <f ca="1">+'Phase II Pro Forma'!U24/1000000</f>
        <v>1.0632901238608881</v>
      </c>
      <c r="V25" s="773">
        <f ca="1">+'Phase II Pro Forma'!V24/1000000</f>
        <v>1.0943247787321064</v>
      </c>
      <c r="W25" s="773">
        <f ca="1">+'Phase II Pro Forma'!W24/1000000</f>
        <v>1.1245105326295681</v>
      </c>
      <c r="X25" s="773">
        <f ca="1">+'Phase II Pro Forma'!X24/1000000</f>
        <v>1.1556018591439539</v>
      </c>
      <c r="Y25" s="773">
        <f ca="1">+'Phase II Pro Forma'!Y24/1000000</f>
        <v>1.189388585096772</v>
      </c>
      <c r="Z25" s="773">
        <f ca="1">+'Phase II Pro Forma'!Z24/1000000</f>
        <v>1.2223733733958839</v>
      </c>
    </row>
    <row r="26" spans="2:26" ht="5" customHeight="1" x14ac:dyDescent="0.2">
      <c r="B26" s="32"/>
    </row>
    <row r="27" spans="2:26" x14ac:dyDescent="0.2">
      <c r="B27" s="777" t="s">
        <v>248</v>
      </c>
      <c r="C27" s="777"/>
      <c r="D27" s="777"/>
      <c r="E27" s="777"/>
      <c r="F27" s="778">
        <f t="shared" ref="F27:Z27" ca="1" si="5">+F21-F25</f>
        <v>0</v>
      </c>
      <c r="G27" s="778">
        <f t="shared" ca="1" si="5"/>
        <v>0</v>
      </c>
      <c r="H27" s="778">
        <f t="shared" ca="1" si="5"/>
        <v>0</v>
      </c>
      <c r="I27" s="778">
        <f t="shared" ca="1" si="5"/>
        <v>0.11397113452133756</v>
      </c>
      <c r="J27" s="778">
        <f t="shared" ca="1" si="5"/>
        <v>0.22552848680243409</v>
      </c>
      <c r="K27" s="778">
        <f t="shared" ca="1" si="5"/>
        <v>0.2244893036705643</v>
      </c>
      <c r="L27" s="778">
        <f t="shared" ca="1" si="5"/>
        <v>0.22321762007153589</v>
      </c>
      <c r="M27" s="778">
        <f t="shared" ca="1" si="5"/>
        <v>0.22007400944304156</v>
      </c>
      <c r="N27" s="778">
        <f t="shared" ca="1" si="5"/>
        <v>0.21830390979386538</v>
      </c>
      <c r="O27" s="778">
        <f t="shared" ca="1" si="5"/>
        <v>0.21626705948305147</v>
      </c>
      <c r="P27" s="778">
        <f t="shared" ca="1" si="5"/>
        <v>0.21229018948750333</v>
      </c>
      <c r="Q27" s="778">
        <f t="shared" ca="1" si="5"/>
        <v>0.20968255771026878</v>
      </c>
      <c r="R27" s="778">
        <f t="shared" ca="1" si="5"/>
        <v>0.20676997236083761</v>
      </c>
      <c r="S27" s="778">
        <f t="shared" ca="1" si="5"/>
        <v>0.20184453691886484</v>
      </c>
      <c r="T27" s="778">
        <f t="shared" ca="1" si="5"/>
        <v>0.19828049394357472</v>
      </c>
      <c r="U27" s="778">
        <f t="shared" ca="1" si="5"/>
        <v>0.19436892769967318</v>
      </c>
      <c r="V27" s="778">
        <f t="shared" ca="1" si="5"/>
        <v>0.18836650276029854</v>
      </c>
      <c r="W27" s="778">
        <f t="shared" ca="1" si="5"/>
        <v>0.1837136233933172</v>
      </c>
      <c r="X27" s="778">
        <f t="shared" ca="1" si="5"/>
        <v>0.17866582890002158</v>
      </c>
      <c r="Y27" s="778">
        <f t="shared" ca="1" si="5"/>
        <v>0.17144350560871513</v>
      </c>
      <c r="Z27" s="778">
        <f t="shared" ca="1" si="5"/>
        <v>0.16555440802434584</v>
      </c>
    </row>
    <row r="28" spans="2:26" x14ac:dyDescent="0.2">
      <c r="B28" s="779" t="s">
        <v>254</v>
      </c>
      <c r="C28" s="780"/>
      <c r="D28" s="780"/>
      <c r="E28" s="780"/>
      <c r="F28" s="781" t="str">
        <f t="shared" ref="F28:Z28" ca="1" si="6">+IFERROR(F27/F21,"")</f>
        <v/>
      </c>
      <c r="G28" s="781" t="str">
        <f t="shared" ca="1" si="6"/>
        <v/>
      </c>
      <c r="H28" s="781" t="str">
        <f t="shared" ca="1" si="6"/>
        <v/>
      </c>
      <c r="I28" s="782">
        <f t="shared" ca="1" si="6"/>
        <v>0.22956421401710805</v>
      </c>
      <c r="J28" s="782">
        <f t="shared" ca="1" si="6"/>
        <v>0.22270625932895607</v>
      </c>
      <c r="K28" s="782">
        <f t="shared" ca="1" si="6"/>
        <v>0.21735886389817463</v>
      </c>
      <c r="L28" s="782">
        <f t="shared" ca="1" si="6"/>
        <v>0.21191410767331978</v>
      </c>
      <c r="M28" s="782">
        <f t="shared" ca="1" si="6"/>
        <v>0.2048560873881701</v>
      </c>
      <c r="N28" s="782">
        <f t="shared" ca="1" si="6"/>
        <v>0.19924590307993592</v>
      </c>
      <c r="O28" s="782">
        <f t="shared" ca="1" si="6"/>
        <v>0.19353748578425878</v>
      </c>
      <c r="P28" s="782">
        <f t="shared" ca="1" si="6"/>
        <v>0.18627327956984349</v>
      </c>
      <c r="Q28" s="782">
        <f t="shared" ca="1" si="6"/>
        <v>0.18039643860706703</v>
      </c>
      <c r="R28" s="782">
        <f t="shared" ca="1" si="6"/>
        <v>0.17442039265200374</v>
      </c>
      <c r="S28" s="782">
        <f t="shared" ca="1" si="6"/>
        <v>0.16694371026772048</v>
      </c>
      <c r="T28" s="782">
        <f t="shared" ca="1" si="6"/>
        <v>0.16079608786492078</v>
      </c>
      <c r="U28" s="782">
        <f t="shared" ca="1" si="6"/>
        <v>0.15454818812657634</v>
      </c>
      <c r="V28" s="782">
        <f t="shared" ca="1" si="6"/>
        <v>0.14685256341739147</v>
      </c>
      <c r="W28" s="782">
        <f t="shared" ca="1" si="6"/>
        <v>0.14042977462809014</v>
      </c>
      <c r="X28" s="782">
        <f t="shared" ca="1" si="6"/>
        <v>0.13390553522430279</v>
      </c>
      <c r="Y28" s="782">
        <f t="shared" ca="1" si="6"/>
        <v>0.12598432001984522</v>
      </c>
      <c r="Z28" s="782">
        <f t="shared" ca="1" si="6"/>
        <v>0.11928171641246232</v>
      </c>
    </row>
    <row r="29" spans="2:26" x14ac:dyDescent="0.2">
      <c r="B29" s="779" t="s">
        <v>188</v>
      </c>
      <c r="C29" s="780"/>
      <c r="D29" s="780"/>
      <c r="E29" s="780"/>
      <c r="F29" s="783">
        <f ca="1">+'Phase II Pro Forma'!F28/1000000</f>
        <v>0</v>
      </c>
      <c r="G29" s="783">
        <f ca="1">+'Phase II Pro Forma'!G28/1000000</f>
        <v>0</v>
      </c>
      <c r="H29" s="783">
        <f ca="1">+'Phase II Pro Forma'!H28/1000000</f>
        <v>0</v>
      </c>
      <c r="I29" s="783">
        <f ca="1">+'Phase II Pro Forma'!I28/1000000</f>
        <v>1.982106687327609</v>
      </c>
      <c r="J29" s="783">
        <f ca="1">+'Phase II Pro Forma'!J28/1000000</f>
        <v>3.9222345530858083</v>
      </c>
      <c r="K29" s="783">
        <f ca="1">+'Phase II Pro Forma'!K28/1000000</f>
        <v>3.9041618029663341</v>
      </c>
      <c r="L29" s="783">
        <f ca="1">+'Phase II Pro Forma'!L28/1000000</f>
        <v>3.8820455664614921</v>
      </c>
      <c r="M29" s="783">
        <f ca="1">+'Phase II Pro Forma'!M28/1000000</f>
        <v>3.8273740772702869</v>
      </c>
      <c r="N29" s="783">
        <f ca="1">+'Phase II Pro Forma'!N28/1000000</f>
        <v>3.7965897355454854</v>
      </c>
      <c r="O29" s="783">
        <f ca="1">+'Phase II Pro Forma'!O28/1000000</f>
        <v>3.7611662518791569</v>
      </c>
      <c r="P29" s="783">
        <f ca="1">+'Phase II Pro Forma'!P28/1000000</f>
        <v>3.692003295434839</v>
      </c>
      <c r="Q29" s="783">
        <f ca="1">+'Phase II Pro Forma'!Q28/1000000</f>
        <v>3.6466531775698936</v>
      </c>
      <c r="R29" s="783">
        <f ca="1">+'Phase II Pro Forma'!R28/1000000</f>
        <v>3.5959995193189149</v>
      </c>
      <c r="S29" s="783">
        <f ca="1">+'Phase II Pro Forma'!S28/1000000</f>
        <v>3.5103397725019949</v>
      </c>
      <c r="T29" s="783">
        <f ca="1">+'Phase II Pro Forma'!T28/1000000</f>
        <v>3.4483564164099949</v>
      </c>
      <c r="U29" s="783">
        <f ca="1">+'Phase II Pro Forma'!U28/1000000</f>
        <v>3.3803291773856214</v>
      </c>
      <c r="V29" s="783">
        <f ca="1">+'Phase II Pro Forma'!V28/1000000</f>
        <v>3.275939178439975</v>
      </c>
      <c r="W29" s="783">
        <f ca="1">+'Phase II Pro Forma'!W28/1000000</f>
        <v>3.195019537275082</v>
      </c>
      <c r="X29" s="783">
        <f ca="1">+'Phase II Pro Forma'!X28/1000000</f>
        <v>3.1072318069568992</v>
      </c>
      <c r="Y29" s="783">
        <f ca="1">+'Phase II Pro Forma'!Y28/1000000</f>
        <v>2.9816261844993934</v>
      </c>
      <c r="Z29" s="783">
        <f ca="1">+'Phase II Pro Forma'!Z28/1000000</f>
        <v>2.8792070960755782</v>
      </c>
    </row>
    <row r="30" spans="2:26" ht="5" customHeight="1" x14ac:dyDescent="0.2"/>
    <row r="31" spans="2:26" x14ac:dyDescent="0.2">
      <c r="B31" s="147" t="s">
        <v>931</v>
      </c>
      <c r="C31" s="148"/>
      <c r="D31" s="148"/>
      <c r="E31" s="148"/>
      <c r="F31" s="776">
        <f>+F6</f>
        <v>44926</v>
      </c>
      <c r="G31" s="776">
        <f t="shared" ref="G31:Z31" si="7">+G6</f>
        <v>45291</v>
      </c>
      <c r="H31" s="776">
        <f t="shared" si="7"/>
        <v>45657</v>
      </c>
      <c r="I31" s="776">
        <f t="shared" si="7"/>
        <v>46022</v>
      </c>
      <c r="J31" s="776">
        <f t="shared" si="7"/>
        <v>46387</v>
      </c>
      <c r="K31" s="776">
        <f t="shared" si="7"/>
        <v>46752</v>
      </c>
      <c r="L31" s="776">
        <f t="shared" si="7"/>
        <v>47118</v>
      </c>
      <c r="M31" s="776">
        <f t="shared" si="7"/>
        <v>47483</v>
      </c>
      <c r="N31" s="776">
        <f t="shared" si="7"/>
        <v>47848</v>
      </c>
      <c r="O31" s="776">
        <f t="shared" si="7"/>
        <v>48213</v>
      </c>
      <c r="P31" s="776">
        <f t="shared" si="7"/>
        <v>48579</v>
      </c>
      <c r="Q31" s="776">
        <f t="shared" si="7"/>
        <v>48944</v>
      </c>
      <c r="R31" s="776">
        <f t="shared" si="7"/>
        <v>49309</v>
      </c>
      <c r="S31" s="776">
        <f t="shared" si="7"/>
        <v>49674</v>
      </c>
      <c r="T31" s="776">
        <f t="shared" si="7"/>
        <v>50040</v>
      </c>
      <c r="U31" s="776">
        <f t="shared" si="7"/>
        <v>50405</v>
      </c>
      <c r="V31" s="776">
        <f t="shared" si="7"/>
        <v>50770</v>
      </c>
      <c r="W31" s="776">
        <f t="shared" si="7"/>
        <v>51135</v>
      </c>
      <c r="X31" s="776">
        <f t="shared" si="7"/>
        <v>51501</v>
      </c>
      <c r="Y31" s="776">
        <f t="shared" si="7"/>
        <v>51866</v>
      </c>
      <c r="Z31" s="776">
        <f t="shared" si="7"/>
        <v>52231</v>
      </c>
    </row>
    <row r="32" spans="2:26" hidden="1" outlineLevel="2" x14ac:dyDescent="0.2">
      <c r="B32" s="788" t="s">
        <v>756</v>
      </c>
      <c r="C32" s="788"/>
      <c r="D32" s="791"/>
      <c r="E32" s="791"/>
      <c r="F32" s="789">
        <f>+'Phase II Pro Forma'!F31</f>
        <v>0</v>
      </c>
      <c r="G32" s="789">
        <f>+'Phase II Pro Forma'!G31</f>
        <v>0</v>
      </c>
      <c r="H32" s="789">
        <f>+'Phase II Pro Forma'!H31</f>
        <v>0</v>
      </c>
      <c r="I32" s="789">
        <f>+'Phase II Pro Forma'!I31</f>
        <v>151894.84000000003</v>
      </c>
      <c r="J32" s="789">
        <f>+'Phase II Pro Forma'!J31</f>
        <v>151894.84000000003</v>
      </c>
      <c r="K32" s="789">
        <f>+'Phase II Pro Forma'!K31</f>
        <v>0</v>
      </c>
      <c r="L32" s="789">
        <f>+'Phase II Pro Forma'!L31</f>
        <v>0</v>
      </c>
      <c r="M32" s="789">
        <f>+'Phase II Pro Forma'!M31</f>
        <v>0</v>
      </c>
      <c r="N32" s="789">
        <f>+'Phase II Pro Forma'!N31</f>
        <v>0</v>
      </c>
      <c r="O32" s="789">
        <f>+'Phase II Pro Forma'!O31</f>
        <v>0</v>
      </c>
      <c r="P32" s="789">
        <f>+'Phase II Pro Forma'!P31</f>
        <v>0</v>
      </c>
      <c r="Q32" s="789">
        <f>+'Phase II Pro Forma'!Q31</f>
        <v>0</v>
      </c>
      <c r="R32" s="789">
        <f>+'Phase II Pro Forma'!R31</f>
        <v>0</v>
      </c>
      <c r="S32" s="789">
        <f>+'Phase II Pro Forma'!S31</f>
        <v>0</v>
      </c>
      <c r="T32" s="789">
        <f>+'Phase II Pro Forma'!T31</f>
        <v>0</v>
      </c>
      <c r="U32" s="789">
        <f>+'Phase II Pro Forma'!U31</f>
        <v>0</v>
      </c>
      <c r="V32" s="789">
        <f>+'Phase II Pro Forma'!V31</f>
        <v>0</v>
      </c>
      <c r="W32" s="789">
        <f>+'Phase II Pro Forma'!W31</f>
        <v>0</v>
      </c>
      <c r="X32" s="789">
        <f>+'Phase II Pro Forma'!X31</f>
        <v>0</v>
      </c>
      <c r="Y32" s="789">
        <f>+'Phase II Pro Forma'!Y31</f>
        <v>0</v>
      </c>
      <c r="Z32" s="789">
        <f>+'Phase II Pro Forma'!Z31</f>
        <v>0</v>
      </c>
    </row>
    <row r="33" spans="2:26" collapsed="1" x14ac:dyDescent="0.2">
      <c r="B33" s="32" t="s">
        <v>784</v>
      </c>
      <c r="C33" s="32"/>
      <c r="D33" s="41">
        <v>0</v>
      </c>
      <c r="E33" s="41"/>
      <c r="F33" s="41">
        <f>+D33+F32</f>
        <v>0</v>
      </c>
      <c r="G33" s="41">
        <f t="shared" ref="G33:Z33" si="8">+F33+G32</f>
        <v>0</v>
      </c>
      <c r="H33" s="41">
        <f t="shared" si="8"/>
        <v>0</v>
      </c>
      <c r="I33" s="41">
        <f t="shared" si="8"/>
        <v>151894.84000000003</v>
      </c>
      <c r="J33" s="41">
        <f t="shared" si="8"/>
        <v>303789.68000000005</v>
      </c>
      <c r="K33" s="41">
        <f t="shared" si="8"/>
        <v>303789.68000000005</v>
      </c>
      <c r="L33" s="41">
        <f t="shared" si="8"/>
        <v>303789.68000000005</v>
      </c>
      <c r="M33" s="41">
        <f t="shared" si="8"/>
        <v>303789.68000000005</v>
      </c>
      <c r="N33" s="41">
        <f t="shared" si="8"/>
        <v>303789.68000000005</v>
      </c>
      <c r="O33" s="41">
        <f t="shared" si="8"/>
        <v>303789.68000000005</v>
      </c>
      <c r="P33" s="41">
        <f t="shared" si="8"/>
        <v>303789.68000000005</v>
      </c>
      <c r="Q33" s="41">
        <f t="shared" si="8"/>
        <v>303789.68000000005</v>
      </c>
      <c r="R33" s="41">
        <f t="shared" si="8"/>
        <v>303789.68000000005</v>
      </c>
      <c r="S33" s="41">
        <f t="shared" si="8"/>
        <v>303789.68000000005</v>
      </c>
      <c r="T33" s="41">
        <f t="shared" si="8"/>
        <v>303789.68000000005</v>
      </c>
      <c r="U33" s="41">
        <f t="shared" si="8"/>
        <v>303789.68000000005</v>
      </c>
      <c r="V33" s="41">
        <f t="shared" si="8"/>
        <v>303789.68000000005</v>
      </c>
      <c r="W33" s="41">
        <f t="shared" si="8"/>
        <v>303789.68000000005</v>
      </c>
      <c r="X33" s="41">
        <f t="shared" si="8"/>
        <v>303789.68000000005</v>
      </c>
      <c r="Y33" s="41">
        <f t="shared" si="8"/>
        <v>303789.68000000005</v>
      </c>
      <c r="Z33" s="41">
        <f t="shared" si="8"/>
        <v>303789.68000000005</v>
      </c>
    </row>
    <row r="34" spans="2:26" hidden="1" outlineLevel="7" x14ac:dyDescent="0.2">
      <c r="B34" s="788" t="s">
        <v>490</v>
      </c>
      <c r="C34" s="788"/>
      <c r="D34" s="789"/>
      <c r="E34" s="789"/>
      <c r="F34" s="789">
        <f>+F35-E35</f>
        <v>0</v>
      </c>
      <c r="G34" s="789">
        <f t="shared" ref="G34:Z34" si="9">+G35-F35</f>
        <v>0</v>
      </c>
      <c r="H34" s="789">
        <f t="shared" si="9"/>
        <v>0</v>
      </c>
      <c r="I34" s="789">
        <f t="shared" si="9"/>
        <v>207.8197583636364</v>
      </c>
      <c r="J34" s="789">
        <f t="shared" si="9"/>
        <v>207.8197583636364</v>
      </c>
      <c r="K34" s="789">
        <f t="shared" si="9"/>
        <v>0</v>
      </c>
      <c r="L34" s="789">
        <f t="shared" si="9"/>
        <v>0</v>
      </c>
      <c r="M34" s="789">
        <f t="shared" si="9"/>
        <v>0</v>
      </c>
      <c r="N34" s="789">
        <f t="shared" si="9"/>
        <v>0</v>
      </c>
      <c r="O34" s="789">
        <f t="shared" si="9"/>
        <v>0</v>
      </c>
      <c r="P34" s="789">
        <f t="shared" si="9"/>
        <v>0</v>
      </c>
      <c r="Q34" s="789">
        <f t="shared" si="9"/>
        <v>0</v>
      </c>
      <c r="R34" s="789">
        <f t="shared" si="9"/>
        <v>0</v>
      </c>
      <c r="S34" s="789">
        <f t="shared" si="9"/>
        <v>0</v>
      </c>
      <c r="T34" s="789">
        <f t="shared" si="9"/>
        <v>0</v>
      </c>
      <c r="U34" s="789">
        <f t="shared" si="9"/>
        <v>0</v>
      </c>
      <c r="V34" s="789">
        <f t="shared" si="9"/>
        <v>0</v>
      </c>
      <c r="W34" s="789">
        <f t="shared" si="9"/>
        <v>0</v>
      </c>
      <c r="X34" s="789">
        <f t="shared" si="9"/>
        <v>0</v>
      </c>
      <c r="Y34" s="789">
        <f t="shared" si="9"/>
        <v>0</v>
      </c>
      <c r="Z34" s="789">
        <f t="shared" si="9"/>
        <v>0</v>
      </c>
    </row>
    <row r="35" spans="2:26" hidden="1" outlineLevel="7" x14ac:dyDescent="0.2">
      <c r="B35" s="788" t="s">
        <v>247</v>
      </c>
      <c r="C35" s="788"/>
      <c r="D35" s="789"/>
      <c r="E35" s="789"/>
      <c r="F35" s="789">
        <f>+'Phase II Pro Forma'!F34</f>
        <v>0</v>
      </c>
      <c r="G35" s="789">
        <f>+'Phase II Pro Forma'!G34</f>
        <v>0</v>
      </c>
      <c r="H35" s="789">
        <f>+'Phase II Pro Forma'!H34</f>
        <v>0</v>
      </c>
      <c r="I35" s="789">
        <f>+'Phase II Pro Forma'!I34</f>
        <v>207.8197583636364</v>
      </c>
      <c r="J35" s="789">
        <f>+'Phase II Pro Forma'!J34</f>
        <v>415.63951672727279</v>
      </c>
      <c r="K35" s="789">
        <f>+'Phase II Pro Forma'!K34</f>
        <v>415.63951672727279</v>
      </c>
      <c r="L35" s="789">
        <f>+'Phase II Pro Forma'!L34</f>
        <v>415.63951672727279</v>
      </c>
      <c r="M35" s="789">
        <f>+'Phase II Pro Forma'!M34</f>
        <v>415.63951672727279</v>
      </c>
      <c r="N35" s="789">
        <f>+'Phase II Pro Forma'!N34</f>
        <v>415.63951672727279</v>
      </c>
      <c r="O35" s="789">
        <f>+'Phase II Pro Forma'!O34</f>
        <v>415.63951672727279</v>
      </c>
      <c r="P35" s="789">
        <f>+'Phase II Pro Forma'!P34</f>
        <v>415.63951672727279</v>
      </c>
      <c r="Q35" s="789">
        <f>+'Phase II Pro Forma'!Q34</f>
        <v>415.63951672727279</v>
      </c>
      <c r="R35" s="789">
        <f>+'Phase II Pro Forma'!R34</f>
        <v>415.63951672727279</v>
      </c>
      <c r="S35" s="789">
        <f>+'Phase II Pro Forma'!S34</f>
        <v>415.63951672727279</v>
      </c>
      <c r="T35" s="789">
        <f>+'Phase II Pro Forma'!T34</f>
        <v>415.63951672727279</v>
      </c>
      <c r="U35" s="789">
        <f>+'Phase II Pro Forma'!U34</f>
        <v>415.63951672727279</v>
      </c>
      <c r="V35" s="789">
        <f>+'Phase II Pro Forma'!V34</f>
        <v>415.63951672727279</v>
      </c>
      <c r="W35" s="789">
        <f>+'Phase II Pro Forma'!W34</f>
        <v>415.63951672727279</v>
      </c>
      <c r="X35" s="789">
        <f>+'Phase II Pro Forma'!X34</f>
        <v>415.63951672727279</v>
      </c>
      <c r="Y35" s="789">
        <f>+'Phase II Pro Forma'!Y34</f>
        <v>415.63951672727279</v>
      </c>
      <c r="Z35" s="789">
        <f>+'Phase II Pro Forma'!Z34</f>
        <v>415.63951672727279</v>
      </c>
    </row>
    <row r="36" spans="2:26" hidden="1" outlineLevel="7" x14ac:dyDescent="0.2">
      <c r="B36" s="788" t="s">
        <v>301</v>
      </c>
      <c r="C36" s="788"/>
      <c r="D36" s="789"/>
      <c r="E36" s="789"/>
      <c r="F36" s="790">
        <f>+F33/SUM($F32:$Z32)</f>
        <v>0</v>
      </c>
      <c r="G36" s="790">
        <f t="shared" ref="G36:Z36" si="10">+G33/SUM($F32:$Z32)</f>
        <v>0</v>
      </c>
      <c r="H36" s="790">
        <f t="shared" si="10"/>
        <v>0</v>
      </c>
      <c r="I36" s="790">
        <f t="shared" si="10"/>
        <v>0.5</v>
      </c>
      <c r="J36" s="790">
        <f t="shared" si="10"/>
        <v>1</v>
      </c>
      <c r="K36" s="790">
        <f t="shared" si="10"/>
        <v>1</v>
      </c>
      <c r="L36" s="790">
        <f t="shared" si="10"/>
        <v>1</v>
      </c>
      <c r="M36" s="790">
        <f t="shared" si="10"/>
        <v>1</v>
      </c>
      <c r="N36" s="790">
        <f t="shared" si="10"/>
        <v>1</v>
      </c>
      <c r="O36" s="790">
        <f t="shared" si="10"/>
        <v>1</v>
      </c>
      <c r="P36" s="790">
        <f t="shared" si="10"/>
        <v>1</v>
      </c>
      <c r="Q36" s="790">
        <f t="shared" si="10"/>
        <v>1</v>
      </c>
      <c r="R36" s="790">
        <f t="shared" si="10"/>
        <v>1</v>
      </c>
      <c r="S36" s="790">
        <f t="shared" si="10"/>
        <v>1</v>
      </c>
      <c r="T36" s="790">
        <f t="shared" si="10"/>
        <v>1</v>
      </c>
      <c r="U36" s="790">
        <f t="shared" si="10"/>
        <v>1</v>
      </c>
      <c r="V36" s="790">
        <f t="shared" si="10"/>
        <v>1</v>
      </c>
      <c r="W36" s="790">
        <f t="shared" si="10"/>
        <v>1</v>
      </c>
      <c r="X36" s="790">
        <f t="shared" si="10"/>
        <v>1</v>
      </c>
      <c r="Y36" s="790">
        <f t="shared" si="10"/>
        <v>1</v>
      </c>
      <c r="Z36" s="790">
        <f t="shared" si="10"/>
        <v>1</v>
      </c>
    </row>
    <row r="37" spans="2:26" ht="5" customHeight="1" collapsed="1" x14ac:dyDescent="0.2">
      <c r="B37" s="32"/>
      <c r="C37" s="32"/>
      <c r="D37" s="39"/>
      <c r="E37" s="39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2:26" hidden="1" x14ac:dyDescent="0.2">
      <c r="B38" s="788" t="s">
        <v>251</v>
      </c>
      <c r="C38" s="788"/>
      <c r="D38" s="789"/>
      <c r="E38" s="789"/>
      <c r="F38" s="790">
        <f>+'Phase II Pro Forma'!F37</f>
        <v>1</v>
      </c>
      <c r="G38" s="790">
        <f>+'Phase II Pro Forma'!G37</f>
        <v>1.03</v>
      </c>
      <c r="H38" s="790">
        <f>+'Phase II Pro Forma'!H37</f>
        <v>1.0609</v>
      </c>
      <c r="I38" s="790">
        <f>+'Phase II Pro Forma'!I37</f>
        <v>1.092727</v>
      </c>
      <c r="J38" s="790">
        <f>+'Phase II Pro Forma'!J37</f>
        <v>1.1255088100000001</v>
      </c>
      <c r="K38" s="790">
        <f>+'Phase II Pro Forma'!K37</f>
        <v>1.1592740743000001</v>
      </c>
      <c r="L38" s="790">
        <f>+'Phase II Pro Forma'!L37</f>
        <v>1.1940522965290001</v>
      </c>
      <c r="M38" s="790">
        <f>+'Phase II Pro Forma'!M37</f>
        <v>1.2298738654248702</v>
      </c>
      <c r="N38" s="790">
        <f>+'Phase II Pro Forma'!N37</f>
        <v>1.2667700813876164</v>
      </c>
      <c r="O38" s="790">
        <f>+'Phase II Pro Forma'!O37</f>
        <v>1.3047731838292449</v>
      </c>
      <c r="P38" s="790">
        <f>+'Phase II Pro Forma'!P37</f>
        <v>1.3439163793441222</v>
      </c>
      <c r="Q38" s="790">
        <f>+'Phase II Pro Forma'!Q37</f>
        <v>1.3842338707244459</v>
      </c>
      <c r="R38" s="790">
        <f>+'Phase II Pro Forma'!R37</f>
        <v>1.4257608868461793</v>
      </c>
      <c r="S38" s="790">
        <f>+'Phase II Pro Forma'!S37</f>
        <v>1.4685337134515648</v>
      </c>
      <c r="T38" s="790">
        <f>+'Phase II Pro Forma'!T37</f>
        <v>1.5125897248551119</v>
      </c>
      <c r="U38" s="790">
        <f>+'Phase II Pro Forma'!U37</f>
        <v>1.5579674166007653</v>
      </c>
      <c r="V38" s="790">
        <f>+'Phase II Pro Forma'!V37</f>
        <v>1.6047064390987884</v>
      </c>
      <c r="W38" s="790">
        <f>+'Phase II Pro Forma'!W37</f>
        <v>1.652847632271752</v>
      </c>
      <c r="X38" s="790">
        <f>+'Phase II Pro Forma'!X37</f>
        <v>1.7024330612399046</v>
      </c>
      <c r="Y38" s="790">
        <f>+'Phase II Pro Forma'!Y37</f>
        <v>1.7535060530771018</v>
      </c>
      <c r="Z38" s="790">
        <f>+'Phase II Pro Forma'!Z37</f>
        <v>1.806111234669415</v>
      </c>
    </row>
    <row r="39" spans="2:26" hidden="1" x14ac:dyDescent="0.2">
      <c r="B39" s="788" t="s">
        <v>252</v>
      </c>
      <c r="C39" s="788"/>
      <c r="D39" s="789"/>
      <c r="E39" s="789"/>
      <c r="F39" s="790">
        <f>+'Phase II Pro Forma'!F38</f>
        <v>1</v>
      </c>
      <c r="G39" s="790">
        <f>+'Phase II Pro Forma'!G38</f>
        <v>1.03</v>
      </c>
      <c r="H39" s="790">
        <f>+'Phase II Pro Forma'!H38</f>
        <v>1.0609</v>
      </c>
      <c r="I39" s="790">
        <f>+'Phase II Pro Forma'!I38</f>
        <v>1.092727</v>
      </c>
      <c r="J39" s="790">
        <f>+'Phase II Pro Forma'!J38</f>
        <v>1.1255088100000001</v>
      </c>
      <c r="K39" s="790">
        <f>+'Phase II Pro Forma'!K38</f>
        <v>1.1592740743000001</v>
      </c>
      <c r="L39" s="790">
        <f>+'Phase II Pro Forma'!L38</f>
        <v>1.1940522965290001</v>
      </c>
      <c r="M39" s="790">
        <f>+'Phase II Pro Forma'!M38</f>
        <v>1.2298738654248702</v>
      </c>
      <c r="N39" s="790">
        <f>+'Phase II Pro Forma'!N38</f>
        <v>1.2667700813876164</v>
      </c>
      <c r="O39" s="790">
        <f>+'Phase II Pro Forma'!O38</f>
        <v>1.3047731838292449</v>
      </c>
      <c r="P39" s="790">
        <f>+'Phase II Pro Forma'!P38</f>
        <v>1.3439163793441222</v>
      </c>
      <c r="Q39" s="790">
        <f>+'Phase II Pro Forma'!Q38</f>
        <v>1.3842338707244459</v>
      </c>
      <c r="R39" s="790">
        <f>+'Phase II Pro Forma'!R38</f>
        <v>1.4257608868461793</v>
      </c>
      <c r="S39" s="790">
        <f>+'Phase II Pro Forma'!S38</f>
        <v>1.4685337134515648</v>
      </c>
      <c r="T39" s="790">
        <f>+'Phase II Pro Forma'!T38</f>
        <v>1.5125897248551119</v>
      </c>
      <c r="U39" s="790">
        <f>+'Phase II Pro Forma'!U38</f>
        <v>1.5579674166007653</v>
      </c>
      <c r="V39" s="790">
        <f>+'Phase II Pro Forma'!V38</f>
        <v>1.6047064390987884</v>
      </c>
      <c r="W39" s="790">
        <f>+'Phase II Pro Forma'!W38</f>
        <v>1.652847632271752</v>
      </c>
      <c r="X39" s="790">
        <f>+'Phase II Pro Forma'!X38</f>
        <v>1.7024330612399046</v>
      </c>
      <c r="Y39" s="790">
        <f>+'Phase II Pro Forma'!Y38</f>
        <v>1.7535060530771018</v>
      </c>
      <c r="Z39" s="790">
        <f>+'Phase II Pro Forma'!Z38</f>
        <v>1.806111234669415</v>
      </c>
    </row>
    <row r="40" spans="2:26" hidden="1" x14ac:dyDescent="0.2">
      <c r="B40" s="788"/>
      <c r="C40" s="788"/>
      <c r="D40" s="791"/>
      <c r="E40" s="791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</row>
    <row r="41" spans="2:26" x14ac:dyDescent="0.2">
      <c r="B41" s="32" t="s">
        <v>243</v>
      </c>
      <c r="C41" s="32"/>
      <c r="D41" s="39"/>
      <c r="E41" s="39"/>
      <c r="F41" s="48">
        <f>+'Phase II Pro Forma'!F40/1000000</f>
        <v>0</v>
      </c>
      <c r="G41" s="48">
        <f>+'Phase II Pro Forma'!G40/1000000</f>
        <v>0</v>
      </c>
      <c r="H41" s="48">
        <f>+'Phase II Pro Forma'!H40/1000000</f>
        <v>0</v>
      </c>
      <c r="I41" s="48">
        <f>+'Phase II Pro Forma'!I40/1000000</f>
        <v>4.979926283015752</v>
      </c>
      <c r="J41" s="48">
        <f>+'Phase II Pro Forma'!J40/1000000</f>
        <v>10.258648143012451</v>
      </c>
      <c r="K41" s="48">
        <f>+'Phase II Pro Forma'!K40/1000000</f>
        <v>10.566407587302825</v>
      </c>
      <c r="L41" s="48">
        <f>+'Phase II Pro Forma'!L40/1000000</f>
        <v>10.88339981492191</v>
      </c>
      <c r="M41" s="48">
        <f>+'Phase II Pro Forma'!M40/1000000</f>
        <v>11.209901809369567</v>
      </c>
      <c r="N41" s="48">
        <f>+'Phase II Pro Forma'!N40/1000000</f>
        <v>11.546198863650655</v>
      </c>
      <c r="O41" s="48">
        <f>+'Phase II Pro Forma'!O40/1000000</f>
        <v>11.892584829560176</v>
      </c>
      <c r="P41" s="48">
        <f>+'Phase II Pro Forma'!P40/1000000</f>
        <v>12.249362374446982</v>
      </c>
      <c r="Q41" s="48">
        <f>+'Phase II Pro Forma'!Q40/1000000</f>
        <v>12.616843245680389</v>
      </c>
      <c r="R41" s="48">
        <f>+'Phase II Pro Forma'!R40/1000000</f>
        <v>12.995348543050801</v>
      </c>
      <c r="S41" s="48">
        <f>+'Phase II Pro Forma'!S40/1000000</f>
        <v>13.385208999342327</v>
      </c>
      <c r="T41" s="48">
        <f>+'Phase II Pro Forma'!T40/1000000</f>
        <v>13.786765269322599</v>
      </c>
      <c r="U41" s="48">
        <f>+'Phase II Pro Forma'!U40/1000000</f>
        <v>14.200368227402276</v>
      </c>
      <c r="V41" s="48">
        <f>+'Phase II Pro Forma'!V40/1000000</f>
        <v>14.626379274224346</v>
      </c>
      <c r="W41" s="48">
        <f>+'Phase II Pro Forma'!W40/1000000</f>
        <v>15.065170652451076</v>
      </c>
      <c r="X41" s="48">
        <f>+'Phase II Pro Forma'!X40/1000000</f>
        <v>15.517125772024608</v>
      </c>
      <c r="Y41" s="48">
        <f>+'Phase II Pro Forma'!Y40/1000000</f>
        <v>15.982639545185348</v>
      </c>
      <c r="Z41" s="48">
        <f>+'Phase II Pro Forma'!Z40/1000000</f>
        <v>16.462118731540908</v>
      </c>
    </row>
    <row r="42" spans="2:26" x14ac:dyDescent="0.2">
      <c r="B42" s="32" t="s">
        <v>244</v>
      </c>
      <c r="C42" s="32"/>
      <c r="D42" s="39"/>
      <c r="E42" s="39"/>
      <c r="F42" s="771">
        <f>+'Phase II Pro Forma'!F41/1000000</f>
        <v>0</v>
      </c>
      <c r="G42" s="771">
        <f>+'Phase II Pro Forma'!G41/1000000</f>
        <v>0</v>
      </c>
      <c r="H42" s="771">
        <f>+'Phase II Pro Forma'!H41/1000000</f>
        <v>0</v>
      </c>
      <c r="I42" s="771">
        <f>+'Phase II Pro Forma'!I41/1000000</f>
        <v>-0.24899631415078763</v>
      </c>
      <c r="J42" s="771">
        <f>+'Phase II Pro Forma'!J41/1000000</f>
        <v>-0.5129324071506226</v>
      </c>
      <c r="K42" s="771">
        <f>+'Phase II Pro Forma'!K41/1000000</f>
        <v>-0.52832037936514131</v>
      </c>
      <c r="L42" s="771">
        <f>+'Phase II Pro Forma'!L41/1000000</f>
        <v>-0.54416999074609551</v>
      </c>
      <c r="M42" s="771">
        <f>+'Phase II Pro Forma'!M41/1000000</f>
        <v>-0.56049509046847834</v>
      </c>
      <c r="N42" s="771">
        <f>+'Phase II Pro Forma'!N41/1000000</f>
        <v>-0.57730994318253281</v>
      </c>
      <c r="O42" s="771">
        <f>+'Phase II Pro Forma'!O41/1000000</f>
        <v>-0.59462924147800877</v>
      </c>
      <c r="P42" s="771">
        <f>+'Phase II Pro Forma'!P41/1000000</f>
        <v>-0.61246811872234908</v>
      </c>
      <c r="Q42" s="771">
        <f>+'Phase II Pro Forma'!Q41/1000000</f>
        <v>-0.63084216228401957</v>
      </c>
      <c r="R42" s="771">
        <f>+'Phase II Pro Forma'!R41/1000000</f>
        <v>-0.6497674271525401</v>
      </c>
      <c r="S42" s="771">
        <f>+'Phase II Pro Forma'!S41/1000000</f>
        <v>-0.66926044996711631</v>
      </c>
      <c r="T42" s="771">
        <f>+'Phase II Pro Forma'!T41/1000000</f>
        <v>-0.68933826346613003</v>
      </c>
      <c r="U42" s="771">
        <f>+'Phase II Pro Forma'!U41/1000000</f>
        <v>-0.71001841137011379</v>
      </c>
      <c r="V42" s="771">
        <f>+'Phase II Pro Forma'!V41/1000000</f>
        <v>-0.73131896371121741</v>
      </c>
      <c r="W42" s="771">
        <f>+'Phase II Pro Forma'!W41/1000000</f>
        <v>-0.75325853262255382</v>
      </c>
      <c r="X42" s="771">
        <f>+'Phase II Pro Forma'!X41/1000000</f>
        <v>-0.77585628860123035</v>
      </c>
      <c r="Y42" s="771">
        <f>+'Phase II Pro Forma'!Y41/1000000</f>
        <v>-0.79913197725926743</v>
      </c>
      <c r="Z42" s="771">
        <f>+'Phase II Pro Forma'!Z41/1000000</f>
        <v>-0.82310593657704545</v>
      </c>
    </row>
    <row r="43" spans="2:26" x14ac:dyDescent="0.2">
      <c r="B43" s="32" t="s">
        <v>344</v>
      </c>
      <c r="C43" s="32"/>
      <c r="D43" s="39"/>
      <c r="E43" s="39"/>
      <c r="F43" s="772">
        <f>+'Phase II Pro Forma'!F42/1000000</f>
        <v>0</v>
      </c>
      <c r="G43" s="772">
        <f>+'Phase II Pro Forma'!G42/1000000</f>
        <v>0</v>
      </c>
      <c r="H43" s="772">
        <f>+'Phase II Pro Forma'!H42/1000000</f>
        <v>0</v>
      </c>
      <c r="I43" s="772">
        <f>+'Phase II Pro Forma'!I42/1000000</f>
        <v>0.13030298849400002</v>
      </c>
      <c r="J43" s="772">
        <f>+'Phase II Pro Forma'!J42/1000000</f>
        <v>0.26060597698800003</v>
      </c>
      <c r="K43" s="772">
        <f>+'Phase II Pro Forma'!K42/1000000</f>
        <v>0.26060597698800003</v>
      </c>
      <c r="L43" s="772">
        <f>+'Phase II Pro Forma'!L42/1000000</f>
        <v>0.26060597698800003</v>
      </c>
      <c r="M43" s="772">
        <f>+'Phase II Pro Forma'!M42/1000000</f>
        <v>0.26060597698800003</v>
      </c>
      <c r="N43" s="772">
        <f>+'Phase II Pro Forma'!N42/1000000</f>
        <v>0.26060597698800003</v>
      </c>
      <c r="O43" s="772">
        <f>+'Phase II Pro Forma'!O42/1000000</f>
        <v>0.26060597698800003</v>
      </c>
      <c r="P43" s="772">
        <f>+'Phase II Pro Forma'!P42/1000000</f>
        <v>0.26060597698800003</v>
      </c>
      <c r="Q43" s="772">
        <f>+'Phase II Pro Forma'!Q42/1000000</f>
        <v>0.26060597698800003</v>
      </c>
      <c r="R43" s="772">
        <f>+'Phase II Pro Forma'!R42/1000000</f>
        <v>0.26060597698800003</v>
      </c>
      <c r="S43" s="772">
        <f>+'Phase II Pro Forma'!S42/1000000</f>
        <v>0.26060597698800003</v>
      </c>
      <c r="T43" s="772">
        <f>+'Phase II Pro Forma'!T42/1000000</f>
        <v>0.26060597698800003</v>
      </c>
      <c r="U43" s="772">
        <f>+'Phase II Pro Forma'!U42/1000000</f>
        <v>0.26060597698800003</v>
      </c>
      <c r="V43" s="772">
        <f>+'Phase II Pro Forma'!V42/1000000</f>
        <v>0.26060597698800003</v>
      </c>
      <c r="W43" s="772">
        <f>+'Phase II Pro Forma'!W42/1000000</f>
        <v>0.26060597698800003</v>
      </c>
      <c r="X43" s="772">
        <f>+'Phase II Pro Forma'!X42/1000000</f>
        <v>0.26060597698800003</v>
      </c>
      <c r="Y43" s="772">
        <f>+'Phase II Pro Forma'!Y42/1000000</f>
        <v>0.26060597698800003</v>
      </c>
      <c r="Z43" s="772">
        <f>+'Phase II Pro Forma'!Z42/1000000</f>
        <v>0.26060597698800003</v>
      </c>
    </row>
    <row r="44" spans="2:26" x14ac:dyDescent="0.2">
      <c r="B44" s="136" t="s">
        <v>253</v>
      </c>
      <c r="C44" s="136"/>
      <c r="D44" s="136"/>
      <c r="E44" s="136"/>
      <c r="F44" s="773">
        <f t="shared" ref="F44:Z44" si="11">+SUM(F41:F43)</f>
        <v>0</v>
      </c>
      <c r="G44" s="773">
        <f t="shared" si="11"/>
        <v>0</v>
      </c>
      <c r="H44" s="773">
        <f t="shared" si="11"/>
        <v>0</v>
      </c>
      <c r="I44" s="773">
        <f t="shared" si="11"/>
        <v>4.8612329573589639</v>
      </c>
      <c r="J44" s="773">
        <f t="shared" si="11"/>
        <v>10.006321712849829</v>
      </c>
      <c r="K44" s="773">
        <f t="shared" si="11"/>
        <v>10.298693184925684</v>
      </c>
      <c r="L44" s="773">
        <f t="shared" si="11"/>
        <v>10.599835801163815</v>
      </c>
      <c r="M44" s="773">
        <f t="shared" si="11"/>
        <v>10.910012695889089</v>
      </c>
      <c r="N44" s="773">
        <f t="shared" si="11"/>
        <v>11.229494897456123</v>
      </c>
      <c r="O44" s="773">
        <f t="shared" si="11"/>
        <v>11.558561565070168</v>
      </c>
      <c r="P44" s="773">
        <f t="shared" si="11"/>
        <v>11.897500232712632</v>
      </c>
      <c r="Q44" s="773">
        <f t="shared" si="11"/>
        <v>12.246607060384369</v>
      </c>
      <c r="R44" s="773">
        <f t="shared" si="11"/>
        <v>12.606187092886261</v>
      </c>
      <c r="S44" s="773">
        <f t="shared" si="11"/>
        <v>12.976554526363211</v>
      </c>
      <c r="T44" s="773">
        <f t="shared" si="11"/>
        <v>13.358032982844469</v>
      </c>
      <c r="U44" s="773">
        <f t="shared" si="11"/>
        <v>13.750955793020161</v>
      </c>
      <c r="V44" s="773">
        <f t="shared" si="11"/>
        <v>14.155666287501129</v>
      </c>
      <c r="W44" s="773">
        <f t="shared" si="11"/>
        <v>14.572518096816523</v>
      </c>
      <c r="X44" s="773">
        <f t="shared" si="11"/>
        <v>15.001875460411377</v>
      </c>
      <c r="Y44" s="773">
        <f t="shared" si="11"/>
        <v>15.44411354491408</v>
      </c>
      <c r="Z44" s="773">
        <f t="shared" si="11"/>
        <v>15.899618771951863</v>
      </c>
    </row>
    <row r="45" spans="2:26" ht="5" customHeight="1" x14ac:dyDescent="0.2"/>
    <row r="46" spans="2:26" x14ac:dyDescent="0.2">
      <c r="B46" s="32" t="s">
        <v>389</v>
      </c>
      <c r="F46" s="48">
        <f>+'Phase II Pro Forma'!F45/1000000</f>
        <v>0</v>
      </c>
      <c r="G46" s="48">
        <f>+'Phase II Pro Forma'!G45/1000000</f>
        <v>0</v>
      </c>
      <c r="H46" s="48">
        <f>+'Phase II Pro Forma'!H45/1000000</f>
        <v>0</v>
      </c>
      <c r="I46" s="48">
        <f>+'Phase II Pro Forma'!I45/1000000</f>
        <v>1.4175882458745428</v>
      </c>
      <c r="J46" s="48">
        <f>+'Phase II Pro Forma'!J45/1000000</f>
        <v>2.9202317865015583</v>
      </c>
      <c r="K46" s="48">
        <f>+'Phase II Pro Forma'!K45/1000000</f>
        <v>3.0078387400966049</v>
      </c>
      <c r="L46" s="48">
        <f>+'Phase II Pro Forma'!L45/1000000</f>
        <v>3.0980739022995034</v>
      </c>
      <c r="M46" s="48">
        <f>+'Phase II Pro Forma'!M45/1000000</f>
        <v>3.1910161193684883</v>
      </c>
      <c r="N46" s="48">
        <f>+'Phase II Pro Forma'!N45/1000000</f>
        <v>3.2867466029495436</v>
      </c>
      <c r="O46" s="48">
        <f>+'Phase II Pro Forma'!O45/1000000</f>
        <v>3.3853490010380298</v>
      </c>
      <c r="P46" s="48">
        <f>+'Phase II Pro Forma'!P45/1000000</f>
        <v>3.4869094710691706</v>
      </c>
      <c r="Q46" s="48">
        <f>+'Phase II Pro Forma'!Q45/1000000</f>
        <v>3.5915167552012455</v>
      </c>
      <c r="R46" s="48">
        <f>+'Phase II Pro Forma'!R45/1000000</f>
        <v>3.6992622578572831</v>
      </c>
      <c r="S46" s="48">
        <f>+'Phase II Pro Forma'!S45/1000000</f>
        <v>3.8102401255930021</v>
      </c>
      <c r="T46" s="48">
        <f>+'Phase II Pro Forma'!T45/1000000</f>
        <v>3.9245473293607924</v>
      </c>
      <c r="U46" s="48">
        <f>+'Phase II Pro Forma'!U45/1000000</f>
        <v>4.0422837492416157</v>
      </c>
      <c r="V46" s="48">
        <f>+'Phase II Pro Forma'!V45/1000000</f>
        <v>4.1635522617188654</v>
      </c>
      <c r="W46" s="48">
        <f>+'Phase II Pro Forma'!W45/1000000</f>
        <v>4.2884588295704313</v>
      </c>
      <c r="X46" s="48">
        <f>+'Phase II Pro Forma'!X45/1000000</f>
        <v>4.4171125944575431</v>
      </c>
      <c r="Y46" s="48">
        <f>+'Phase II Pro Forma'!Y45/1000000</f>
        <v>4.5496259722912704</v>
      </c>
      <c r="Z46" s="48">
        <f>+'Phase II Pro Forma'!Z45/1000000</f>
        <v>4.6861147514600097</v>
      </c>
    </row>
    <row r="47" spans="2:26" x14ac:dyDescent="0.2">
      <c r="B47" s="32" t="s">
        <v>325</v>
      </c>
      <c r="F47" s="772">
        <f ca="1">+'Phase II Pro Forma'!F46/1000000</f>
        <v>0</v>
      </c>
      <c r="G47" s="772">
        <f ca="1">+'Phase II Pro Forma'!G46/1000000</f>
        <v>0</v>
      </c>
      <c r="H47" s="772">
        <f ca="1">+'Phase II Pro Forma'!H46/1000000</f>
        <v>0</v>
      </c>
      <c r="I47" s="772">
        <f ca="1">+'Phase II Pro Forma'!I46/1000000</f>
        <v>0.95124322274482809</v>
      </c>
      <c r="J47" s="772">
        <f ca="1">+'Phase II Pro Forma'!J46/1000000</f>
        <v>1.9405361743994489</v>
      </c>
      <c r="K47" s="772">
        <f ca="1">+'Phase II Pro Forma'!K46/1000000</f>
        <v>1.9405361743994489</v>
      </c>
      <c r="L47" s="772">
        <f ca="1">+'Phase II Pro Forma'!L46/1000000</f>
        <v>1.9405361743994489</v>
      </c>
      <c r="M47" s="772">
        <f ca="1">+'Phase II Pro Forma'!M46/1000000</f>
        <v>1.9793468978874382</v>
      </c>
      <c r="N47" s="772">
        <f ca="1">+'Phase II Pro Forma'!N46/1000000</f>
        <v>1.9793468978874382</v>
      </c>
      <c r="O47" s="772">
        <f ca="1">+'Phase II Pro Forma'!O46/1000000</f>
        <v>1.9793468978874382</v>
      </c>
      <c r="P47" s="772">
        <f ca="1">+'Phase II Pro Forma'!P46/1000000</f>
        <v>2.0189338358451869</v>
      </c>
      <c r="Q47" s="772">
        <f ca="1">+'Phase II Pro Forma'!Q46/1000000</f>
        <v>2.0189338358451869</v>
      </c>
      <c r="R47" s="772">
        <f ca="1">+'Phase II Pro Forma'!R46/1000000</f>
        <v>2.0189338358451869</v>
      </c>
      <c r="S47" s="772">
        <f ca="1">+'Phase II Pro Forma'!S46/1000000</f>
        <v>2.0593125125620908</v>
      </c>
      <c r="T47" s="772">
        <f ca="1">+'Phase II Pro Forma'!T46/1000000</f>
        <v>2.0593125125620908</v>
      </c>
      <c r="U47" s="772">
        <f ca="1">+'Phase II Pro Forma'!U46/1000000</f>
        <v>2.0593125125620908</v>
      </c>
      <c r="V47" s="772">
        <f ca="1">+'Phase II Pro Forma'!V46/1000000</f>
        <v>2.1004987628133329</v>
      </c>
      <c r="W47" s="772">
        <f ca="1">+'Phase II Pro Forma'!W46/1000000</f>
        <v>2.1004987628133329</v>
      </c>
      <c r="X47" s="772">
        <f ca="1">+'Phase II Pro Forma'!X46/1000000</f>
        <v>2.1004987628133329</v>
      </c>
      <c r="Y47" s="772">
        <f ca="1">+'Phase II Pro Forma'!Y46/1000000</f>
        <v>2.1425087380695995</v>
      </c>
      <c r="Z47" s="772">
        <f ca="1">+'Phase II Pro Forma'!Z46/1000000</f>
        <v>2.1425087380695995</v>
      </c>
    </row>
    <row r="48" spans="2:26" x14ac:dyDescent="0.2">
      <c r="B48" s="136" t="s">
        <v>249</v>
      </c>
      <c r="C48" s="136"/>
      <c r="D48" s="136"/>
      <c r="E48" s="136"/>
      <c r="F48" s="773">
        <f ca="1">+SUM(F46:F47)</f>
        <v>0</v>
      </c>
      <c r="G48" s="773">
        <f t="shared" ref="G48" ca="1" si="12">+SUM(G46:G47)</f>
        <v>0</v>
      </c>
      <c r="H48" s="773">
        <f t="shared" ref="H48:Z48" ca="1" si="13">+SUM(H46:H47)</f>
        <v>0</v>
      </c>
      <c r="I48" s="773">
        <f t="shared" ca="1" si="13"/>
        <v>2.368831468619371</v>
      </c>
      <c r="J48" s="773">
        <f t="shared" ca="1" si="13"/>
        <v>4.8607679609010077</v>
      </c>
      <c r="K48" s="773">
        <f t="shared" ca="1" si="13"/>
        <v>4.9483749144960534</v>
      </c>
      <c r="L48" s="773">
        <f t="shared" ca="1" si="13"/>
        <v>5.0386100766989523</v>
      </c>
      <c r="M48" s="773">
        <f t="shared" ca="1" si="13"/>
        <v>5.1703630172559265</v>
      </c>
      <c r="N48" s="773">
        <f t="shared" ca="1" si="13"/>
        <v>5.2660935008369822</v>
      </c>
      <c r="O48" s="773">
        <f t="shared" ca="1" si="13"/>
        <v>5.3646958989254685</v>
      </c>
      <c r="P48" s="773">
        <f t="shared" ca="1" si="13"/>
        <v>5.5058433069143575</v>
      </c>
      <c r="Q48" s="773">
        <f t="shared" ca="1" si="13"/>
        <v>5.6104505910464324</v>
      </c>
      <c r="R48" s="773">
        <f t="shared" ca="1" si="13"/>
        <v>5.7181960937024705</v>
      </c>
      <c r="S48" s="773">
        <f t="shared" ca="1" si="13"/>
        <v>5.8695526381550929</v>
      </c>
      <c r="T48" s="773">
        <f t="shared" ca="1" si="13"/>
        <v>5.9838598419228832</v>
      </c>
      <c r="U48" s="773">
        <f t="shared" ca="1" si="13"/>
        <v>6.1015962618037065</v>
      </c>
      <c r="V48" s="773">
        <f t="shared" ca="1" si="13"/>
        <v>6.2640510245321988</v>
      </c>
      <c r="W48" s="773">
        <f t="shared" ca="1" si="13"/>
        <v>6.3889575923837647</v>
      </c>
      <c r="X48" s="773">
        <f t="shared" ca="1" si="13"/>
        <v>6.5176113572708765</v>
      </c>
      <c r="Y48" s="773">
        <f t="shared" ca="1" si="13"/>
        <v>6.6921347103608699</v>
      </c>
      <c r="Z48" s="773">
        <f t="shared" ca="1" si="13"/>
        <v>6.8286234895296092</v>
      </c>
    </row>
    <row r="49" spans="1:26" ht="5" customHeight="1" x14ac:dyDescent="0.2">
      <c r="B49" s="32"/>
    </row>
    <row r="50" spans="1:26" x14ac:dyDescent="0.2">
      <c r="A50" s="107"/>
      <c r="B50" s="777" t="s">
        <v>248</v>
      </c>
      <c r="C50" s="777"/>
      <c r="D50" s="777"/>
      <c r="E50" s="777"/>
      <c r="F50" s="778">
        <f ca="1">+F44-F48</f>
        <v>0</v>
      </c>
      <c r="G50" s="778">
        <f t="shared" ref="G50:Z50" ca="1" si="14">+G44-G48</f>
        <v>0</v>
      </c>
      <c r="H50" s="778">
        <f t="shared" ca="1" si="14"/>
        <v>0</v>
      </c>
      <c r="I50" s="778">
        <f t="shared" ca="1" si="14"/>
        <v>2.4924014887395929</v>
      </c>
      <c r="J50" s="778">
        <f t="shared" ca="1" si="14"/>
        <v>5.145553751948821</v>
      </c>
      <c r="K50" s="778">
        <f t="shared" ca="1" si="14"/>
        <v>5.3503182704296304</v>
      </c>
      <c r="L50" s="778">
        <f t="shared" ca="1" si="14"/>
        <v>5.5612257244648626</v>
      </c>
      <c r="M50" s="778">
        <f t="shared" ca="1" si="14"/>
        <v>5.7396496786331621</v>
      </c>
      <c r="N50" s="778">
        <f t="shared" ca="1" si="14"/>
        <v>5.9634013966191404</v>
      </c>
      <c r="O50" s="778">
        <f t="shared" ca="1" si="14"/>
        <v>6.1938656661446991</v>
      </c>
      <c r="P50" s="778">
        <f t="shared" ca="1" si="14"/>
        <v>6.3916569257982747</v>
      </c>
      <c r="Q50" s="778">
        <f t="shared" ca="1" si="14"/>
        <v>6.6361564693379362</v>
      </c>
      <c r="R50" s="778">
        <f t="shared" ca="1" si="14"/>
        <v>6.8879909991837902</v>
      </c>
      <c r="S50" s="778">
        <f t="shared" ca="1" si="14"/>
        <v>7.1070018882081181</v>
      </c>
      <c r="T50" s="778">
        <f t="shared" ca="1" si="14"/>
        <v>7.3741731409215854</v>
      </c>
      <c r="U50" s="778">
        <f t="shared" ca="1" si="14"/>
        <v>7.6493595312164544</v>
      </c>
      <c r="V50" s="778">
        <f t="shared" ca="1" si="14"/>
        <v>7.89161526296893</v>
      </c>
      <c r="W50" s="778">
        <f t="shared" ca="1" si="14"/>
        <v>8.1835605044327586</v>
      </c>
      <c r="X50" s="778">
        <f t="shared" ca="1" si="14"/>
        <v>8.4842641031405002</v>
      </c>
      <c r="Y50" s="778">
        <f t="shared" ca="1" si="14"/>
        <v>8.7519788345532099</v>
      </c>
      <c r="Z50" s="778">
        <f t="shared" ca="1" si="14"/>
        <v>9.0709952824222526</v>
      </c>
    </row>
    <row r="51" spans="1:26" x14ac:dyDescent="0.2">
      <c r="B51" s="779" t="s">
        <v>254</v>
      </c>
      <c r="C51" s="780"/>
      <c r="D51" s="780"/>
      <c r="E51" s="780"/>
      <c r="F51" s="781" t="str">
        <f ca="1">+IFERROR(F50/F44,"")</f>
        <v/>
      </c>
      <c r="G51" s="781" t="str">
        <f t="shared" ref="G51:Z51" ca="1" si="15">+IFERROR(G50/G44,"")</f>
        <v/>
      </c>
      <c r="H51" s="781" t="str">
        <f t="shared" ca="1" si="15"/>
        <v/>
      </c>
      <c r="I51" s="782">
        <f t="shared" ca="1" si="15"/>
        <v>0.5127097406361858</v>
      </c>
      <c r="J51" s="782">
        <f t="shared" ca="1" si="15"/>
        <v>0.51423029356941918</v>
      </c>
      <c r="K51" s="782">
        <f t="shared" ca="1" si="15"/>
        <v>0.51951428927516285</v>
      </c>
      <c r="L51" s="782">
        <f t="shared" ca="1" si="15"/>
        <v>0.52465206337010095</v>
      </c>
      <c r="M51" s="782">
        <f t="shared" ca="1" si="15"/>
        <v>0.52609010077466467</v>
      </c>
      <c r="N51" s="782">
        <f t="shared" ca="1" si="15"/>
        <v>0.53104805256824694</v>
      </c>
      <c r="O51" s="782">
        <f t="shared" ca="1" si="15"/>
        <v>0.53586820741280528</v>
      </c>
      <c r="P51" s="782">
        <f t="shared" ca="1" si="15"/>
        <v>0.53722687966201244</v>
      </c>
      <c r="Q51" s="782">
        <f t="shared" ca="1" si="15"/>
        <v>0.54187714496080641</v>
      </c>
      <c r="R51" s="782">
        <f t="shared" ca="1" si="15"/>
        <v>0.54639764969621307</v>
      </c>
      <c r="S51" s="782">
        <f t="shared" ca="1" si="15"/>
        <v>0.54768019305660143</v>
      </c>
      <c r="T51" s="782">
        <f t="shared" ca="1" si="15"/>
        <v>0.55204034534067481</v>
      </c>
      <c r="U51" s="782">
        <f t="shared" ca="1" si="15"/>
        <v>0.55627838867020341</v>
      </c>
      <c r="V51" s="782">
        <f t="shared" ca="1" si="15"/>
        <v>0.55748808305384412</v>
      </c>
      <c r="W51" s="782">
        <f t="shared" ca="1" si="15"/>
        <v>0.56157490764897522</v>
      </c>
      <c r="X51" s="782">
        <f t="shared" ca="1" si="15"/>
        <v>0.56554689615506559</v>
      </c>
      <c r="Y51" s="782">
        <f t="shared" ca="1" si="15"/>
        <v>0.56668702992249986</v>
      </c>
      <c r="Z51" s="782">
        <f t="shared" ca="1" si="15"/>
        <v>0.57051652700152655</v>
      </c>
    </row>
    <row r="52" spans="1:26" x14ac:dyDescent="0.2">
      <c r="B52" s="779" t="s">
        <v>188</v>
      </c>
      <c r="C52" s="780"/>
      <c r="D52" s="780"/>
      <c r="E52" s="780"/>
      <c r="F52" s="783">
        <f ca="1">+'Phase II Pro Forma'!F51/1000000</f>
        <v>0</v>
      </c>
      <c r="G52" s="783">
        <f ca="1">+'Phase II Pro Forma'!G51/1000000</f>
        <v>0</v>
      </c>
      <c r="H52" s="783">
        <f ca="1">+'Phase II Pro Forma'!H51/1000000</f>
        <v>0</v>
      </c>
      <c r="I52" s="783">
        <f ca="1">+'Phase II Pro Forma'!I51/1000000</f>
        <v>45.316390704356252</v>
      </c>
      <c r="J52" s="783">
        <f ca="1">+'Phase II Pro Forma'!J51/1000000</f>
        <v>93.555522762705863</v>
      </c>
      <c r="K52" s="783">
        <f ca="1">+'Phase II Pro Forma'!K51/1000000</f>
        <v>97.278514007811467</v>
      </c>
      <c r="L52" s="783">
        <f ca="1">+'Phase II Pro Forma'!L51/1000000</f>
        <v>101.11319499027023</v>
      </c>
      <c r="M52" s="783">
        <f ca="1">+'Phase II Pro Forma'!M51/1000000</f>
        <v>104.35726688423937</v>
      </c>
      <c r="N52" s="783">
        <f ca="1">+'Phase II Pro Forma'!N51/1000000</f>
        <v>108.42547993852983</v>
      </c>
      <c r="O52" s="783">
        <f ca="1">+'Phase II Pro Forma'!O51/1000000</f>
        <v>112.61573938444907</v>
      </c>
      <c r="P52" s="783">
        <f ca="1">+'Phase II Pro Forma'!P51/1000000</f>
        <v>116.21194410542317</v>
      </c>
      <c r="Q52" s="783">
        <f ca="1">+'Phase II Pro Forma'!Q51/1000000</f>
        <v>120.65739035159886</v>
      </c>
      <c r="R52" s="783">
        <f ca="1">+'Phase II Pro Forma'!R51/1000000</f>
        <v>125.23619998515984</v>
      </c>
      <c r="S52" s="783">
        <f ca="1">+'Phase II Pro Forma'!S51/1000000</f>
        <v>129.21821614923851</v>
      </c>
      <c r="T52" s="783">
        <f ca="1">+'Phase II Pro Forma'!T51/1000000</f>
        <v>134.07587528948341</v>
      </c>
      <c r="U52" s="783">
        <f ca="1">+'Phase II Pro Forma'!U51/1000000</f>
        <v>139.07926420393557</v>
      </c>
      <c r="V52" s="783">
        <f ca="1">+'Phase II Pro Forma'!V51/1000000</f>
        <v>143.48391387216239</v>
      </c>
      <c r="W52" s="783">
        <f ca="1">+'Phase II Pro Forma'!W51/1000000</f>
        <v>148.7920091715047</v>
      </c>
      <c r="X52" s="783">
        <f ca="1">+'Phase II Pro Forma'!X51/1000000</f>
        <v>154.25934732982731</v>
      </c>
      <c r="Y52" s="783">
        <f ca="1">+'Phase II Pro Forma'!Y51/1000000</f>
        <v>159.12688790096749</v>
      </c>
      <c r="Z52" s="783">
        <f ca="1">+'Phase II Pro Forma'!Z51/1000000</f>
        <v>164.92718695313192</v>
      </c>
    </row>
    <row r="53" spans="1:26" ht="5" customHeight="1" x14ac:dyDescent="0.2"/>
    <row r="54" spans="1:26" x14ac:dyDescent="0.2">
      <c r="B54" s="147" t="s">
        <v>25</v>
      </c>
      <c r="C54" s="148"/>
      <c r="D54" s="148"/>
      <c r="E54" s="148"/>
      <c r="F54" s="776">
        <f>+F6</f>
        <v>44926</v>
      </c>
      <c r="G54" s="776">
        <f t="shared" ref="G54:Z54" si="16">+G6</f>
        <v>45291</v>
      </c>
      <c r="H54" s="776">
        <f t="shared" si="16"/>
        <v>45657</v>
      </c>
      <c r="I54" s="776">
        <f t="shared" si="16"/>
        <v>46022</v>
      </c>
      <c r="J54" s="776">
        <f t="shared" si="16"/>
        <v>46387</v>
      </c>
      <c r="K54" s="776">
        <f t="shared" si="16"/>
        <v>46752</v>
      </c>
      <c r="L54" s="776">
        <f t="shared" si="16"/>
        <v>47118</v>
      </c>
      <c r="M54" s="776">
        <f t="shared" si="16"/>
        <v>47483</v>
      </c>
      <c r="N54" s="776">
        <f t="shared" si="16"/>
        <v>47848</v>
      </c>
      <c r="O54" s="776">
        <f t="shared" si="16"/>
        <v>48213</v>
      </c>
      <c r="P54" s="776">
        <f t="shared" si="16"/>
        <v>48579</v>
      </c>
      <c r="Q54" s="776">
        <f t="shared" si="16"/>
        <v>48944</v>
      </c>
      <c r="R54" s="776">
        <f t="shared" si="16"/>
        <v>49309</v>
      </c>
      <c r="S54" s="776">
        <f t="shared" si="16"/>
        <v>49674</v>
      </c>
      <c r="T54" s="776">
        <f t="shared" si="16"/>
        <v>50040</v>
      </c>
      <c r="U54" s="776">
        <f t="shared" si="16"/>
        <v>50405</v>
      </c>
      <c r="V54" s="776">
        <f t="shared" si="16"/>
        <v>50770</v>
      </c>
      <c r="W54" s="776">
        <f t="shared" si="16"/>
        <v>51135</v>
      </c>
      <c r="X54" s="776">
        <f t="shared" si="16"/>
        <v>51501</v>
      </c>
      <c r="Y54" s="776">
        <f t="shared" si="16"/>
        <v>51866</v>
      </c>
      <c r="Z54" s="776">
        <f t="shared" si="16"/>
        <v>52231</v>
      </c>
    </row>
    <row r="55" spans="1:26" hidden="1" outlineLevel="3" x14ac:dyDescent="0.2">
      <c r="B55" s="788" t="s">
        <v>756</v>
      </c>
      <c r="C55" s="788"/>
      <c r="D55" s="791"/>
      <c r="E55" s="791"/>
      <c r="F55" s="789">
        <f>+'Phase II Pro Forma'!F54</f>
        <v>0</v>
      </c>
      <c r="G55" s="789">
        <f>+'Phase II Pro Forma'!G54</f>
        <v>0</v>
      </c>
      <c r="H55" s="789">
        <f>+'Phase II Pro Forma'!H54</f>
        <v>0</v>
      </c>
      <c r="I55" s="789">
        <f>+'Phase II Pro Forma'!I54</f>
        <v>69300</v>
      </c>
      <c r="J55" s="789">
        <f>+'Phase II Pro Forma'!J54</f>
        <v>69300</v>
      </c>
      <c r="K55" s="789">
        <f>+'Phase II Pro Forma'!K54</f>
        <v>0</v>
      </c>
      <c r="L55" s="789">
        <f>+'Phase II Pro Forma'!L54</f>
        <v>0</v>
      </c>
      <c r="M55" s="789">
        <f>+'Phase II Pro Forma'!M54</f>
        <v>0</v>
      </c>
      <c r="N55" s="789">
        <f>+'Phase II Pro Forma'!N54</f>
        <v>0</v>
      </c>
      <c r="O55" s="789">
        <f>+'Phase II Pro Forma'!O54</f>
        <v>0</v>
      </c>
      <c r="P55" s="789">
        <f>+'Phase II Pro Forma'!P54</f>
        <v>0</v>
      </c>
      <c r="Q55" s="789">
        <f>+'Phase II Pro Forma'!Q54</f>
        <v>0</v>
      </c>
      <c r="R55" s="789">
        <f>+'Phase II Pro Forma'!R54</f>
        <v>0</v>
      </c>
      <c r="S55" s="789">
        <f>+'Phase II Pro Forma'!S54</f>
        <v>0</v>
      </c>
      <c r="T55" s="789">
        <f>+'Phase II Pro Forma'!T54</f>
        <v>0</v>
      </c>
      <c r="U55" s="789">
        <f>+'Phase II Pro Forma'!U54</f>
        <v>0</v>
      </c>
      <c r="V55" s="789">
        <f>+'Phase II Pro Forma'!V54</f>
        <v>0</v>
      </c>
      <c r="W55" s="789">
        <f>+'Phase II Pro Forma'!W54</f>
        <v>0</v>
      </c>
      <c r="X55" s="789">
        <f>+'Phase II Pro Forma'!X54</f>
        <v>0</v>
      </c>
      <c r="Y55" s="789">
        <f>+'Phase II Pro Forma'!Y54</f>
        <v>0</v>
      </c>
      <c r="Z55" s="789">
        <f>+'Phase II Pro Forma'!Z54</f>
        <v>0</v>
      </c>
    </row>
    <row r="56" spans="1:26" collapsed="1" x14ac:dyDescent="0.2">
      <c r="B56" s="32" t="s">
        <v>784</v>
      </c>
      <c r="C56" s="32"/>
      <c r="D56" s="41">
        <v>0</v>
      </c>
      <c r="E56" s="41"/>
      <c r="F56" s="41">
        <f>+D56+F55</f>
        <v>0</v>
      </c>
      <c r="G56" s="41">
        <f t="shared" ref="G56:Z56" si="17">+F56+G55</f>
        <v>0</v>
      </c>
      <c r="H56" s="41">
        <f t="shared" si="17"/>
        <v>0</v>
      </c>
      <c r="I56" s="41">
        <f t="shared" si="17"/>
        <v>69300</v>
      </c>
      <c r="J56" s="41">
        <f t="shared" si="17"/>
        <v>138600</v>
      </c>
      <c r="K56" s="41">
        <f t="shared" si="17"/>
        <v>138600</v>
      </c>
      <c r="L56" s="41">
        <f t="shared" si="17"/>
        <v>138600</v>
      </c>
      <c r="M56" s="41">
        <f t="shared" si="17"/>
        <v>138600</v>
      </c>
      <c r="N56" s="41">
        <f t="shared" si="17"/>
        <v>138600</v>
      </c>
      <c r="O56" s="41">
        <f t="shared" si="17"/>
        <v>138600</v>
      </c>
      <c r="P56" s="41">
        <f t="shared" si="17"/>
        <v>138600</v>
      </c>
      <c r="Q56" s="41">
        <f t="shared" si="17"/>
        <v>138600</v>
      </c>
      <c r="R56" s="41">
        <f t="shared" si="17"/>
        <v>138600</v>
      </c>
      <c r="S56" s="41">
        <f t="shared" si="17"/>
        <v>138600</v>
      </c>
      <c r="T56" s="41">
        <f t="shared" si="17"/>
        <v>138600</v>
      </c>
      <c r="U56" s="41">
        <f t="shared" si="17"/>
        <v>138600</v>
      </c>
      <c r="V56" s="41">
        <f t="shared" si="17"/>
        <v>138600</v>
      </c>
      <c r="W56" s="41">
        <f t="shared" si="17"/>
        <v>138600</v>
      </c>
      <c r="X56" s="41">
        <f t="shared" si="17"/>
        <v>138600</v>
      </c>
      <c r="Y56" s="41">
        <f t="shared" si="17"/>
        <v>138600</v>
      </c>
      <c r="Z56" s="41">
        <f t="shared" si="17"/>
        <v>138600</v>
      </c>
    </row>
    <row r="57" spans="1:26" hidden="1" x14ac:dyDescent="0.2">
      <c r="B57" s="788" t="s">
        <v>301</v>
      </c>
      <c r="C57" s="788"/>
      <c r="D57" s="789"/>
      <c r="E57" s="789"/>
      <c r="F57" s="790">
        <f>+'Phase II Pro Forma'!F56</f>
        <v>0</v>
      </c>
      <c r="G57" s="790">
        <f>+'Phase II Pro Forma'!G56</f>
        <v>0</v>
      </c>
      <c r="H57" s="790">
        <f>+'Phase II Pro Forma'!H56</f>
        <v>0</v>
      </c>
      <c r="I57" s="790">
        <f>+'Phase II Pro Forma'!I56</f>
        <v>0.5</v>
      </c>
      <c r="J57" s="790">
        <f>+'Phase II Pro Forma'!J56</f>
        <v>1</v>
      </c>
      <c r="K57" s="790">
        <f>+'Phase II Pro Forma'!K56</f>
        <v>1</v>
      </c>
      <c r="L57" s="790">
        <f>+'Phase II Pro Forma'!L56</f>
        <v>1</v>
      </c>
      <c r="M57" s="790">
        <f>+'Phase II Pro Forma'!M56</f>
        <v>1</v>
      </c>
      <c r="N57" s="790">
        <f>+'Phase II Pro Forma'!N56</f>
        <v>1</v>
      </c>
      <c r="O57" s="790">
        <f>+'Phase II Pro Forma'!O56</f>
        <v>1</v>
      </c>
      <c r="P57" s="790">
        <f>+'Phase II Pro Forma'!P56</f>
        <v>1</v>
      </c>
      <c r="Q57" s="790">
        <f>+'Phase II Pro Forma'!Q56</f>
        <v>1</v>
      </c>
      <c r="R57" s="790">
        <f>+'Phase II Pro Forma'!R56</f>
        <v>1</v>
      </c>
      <c r="S57" s="790">
        <f>+'Phase II Pro Forma'!S56</f>
        <v>1</v>
      </c>
      <c r="T57" s="790">
        <f>+'Phase II Pro Forma'!T56</f>
        <v>1</v>
      </c>
      <c r="U57" s="790">
        <f>+'Phase II Pro Forma'!U56</f>
        <v>1</v>
      </c>
      <c r="V57" s="790">
        <f>+'Phase II Pro Forma'!V56</f>
        <v>1</v>
      </c>
      <c r="W57" s="790">
        <f>+'Phase II Pro Forma'!W56</f>
        <v>1</v>
      </c>
      <c r="X57" s="790">
        <f>+'Phase II Pro Forma'!X56</f>
        <v>1</v>
      </c>
      <c r="Y57" s="790">
        <f>+'Phase II Pro Forma'!Y56</f>
        <v>1</v>
      </c>
      <c r="Z57" s="790">
        <f>+'Phase II Pro Forma'!Z56</f>
        <v>1</v>
      </c>
    </row>
    <row r="58" spans="1:26" ht="5" hidden="1" customHeight="1" x14ac:dyDescent="0.2">
      <c r="B58" s="788"/>
      <c r="C58" s="788"/>
      <c r="D58" s="791"/>
      <c r="E58" s="791"/>
      <c r="F58" s="792"/>
      <c r="G58" s="792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2"/>
    </row>
    <row r="59" spans="1:26" hidden="1" x14ac:dyDescent="0.2">
      <c r="B59" s="788" t="s">
        <v>251</v>
      </c>
      <c r="C59" s="788"/>
      <c r="D59" s="789"/>
      <c r="E59" s="789"/>
      <c r="F59" s="790">
        <f>+'Phase II Pro Forma'!F58</f>
        <v>1</v>
      </c>
      <c r="G59" s="790">
        <f>+'Phase II Pro Forma'!G58</f>
        <v>1</v>
      </c>
      <c r="H59" s="790">
        <f>+'Phase II Pro Forma'!H58</f>
        <v>1</v>
      </c>
      <c r="I59" s="790">
        <f>+'Phase II Pro Forma'!I58</f>
        <v>1</v>
      </c>
      <c r="J59" s="790">
        <f>+'Phase II Pro Forma'!J58</f>
        <v>1</v>
      </c>
      <c r="K59" s="790">
        <f>+'Phase II Pro Forma'!K58</f>
        <v>1</v>
      </c>
      <c r="L59" s="790">
        <f>+'Phase II Pro Forma'!L58</f>
        <v>1.1000000000000001</v>
      </c>
      <c r="M59" s="790">
        <f>+'Phase II Pro Forma'!M58</f>
        <v>1.1000000000000001</v>
      </c>
      <c r="N59" s="790">
        <f>+'Phase II Pro Forma'!N58</f>
        <v>1.1000000000000001</v>
      </c>
      <c r="O59" s="790">
        <f>+'Phase II Pro Forma'!O58</f>
        <v>1.1000000000000001</v>
      </c>
      <c r="P59" s="790">
        <f>+'Phase II Pro Forma'!P58</f>
        <v>1.1000000000000001</v>
      </c>
      <c r="Q59" s="790">
        <f>+'Phase II Pro Forma'!Q58</f>
        <v>1.2100000000000002</v>
      </c>
      <c r="R59" s="790">
        <f>+'Phase II Pro Forma'!R58</f>
        <v>1.2100000000000002</v>
      </c>
      <c r="S59" s="790">
        <f>+'Phase II Pro Forma'!S58</f>
        <v>1.2100000000000002</v>
      </c>
      <c r="T59" s="790">
        <f>+'Phase II Pro Forma'!T58</f>
        <v>1.2100000000000002</v>
      </c>
      <c r="U59" s="790">
        <f>+'Phase II Pro Forma'!U58</f>
        <v>1.2100000000000002</v>
      </c>
      <c r="V59" s="790">
        <f>+'Phase II Pro Forma'!V58</f>
        <v>1.3310000000000004</v>
      </c>
      <c r="W59" s="790">
        <f>+'Phase II Pro Forma'!W58</f>
        <v>1.3310000000000004</v>
      </c>
      <c r="X59" s="790">
        <f>+'Phase II Pro Forma'!X58</f>
        <v>1.3310000000000004</v>
      </c>
      <c r="Y59" s="790">
        <f>+'Phase II Pro Forma'!Y58</f>
        <v>1.3310000000000004</v>
      </c>
      <c r="Z59" s="790">
        <f>+'Phase II Pro Forma'!Z58</f>
        <v>1.3310000000000004</v>
      </c>
    </row>
    <row r="60" spans="1:26" hidden="1" x14ac:dyDescent="0.2">
      <c r="B60" s="788" t="s">
        <v>252</v>
      </c>
      <c r="C60" s="788"/>
      <c r="D60" s="789"/>
      <c r="E60" s="789"/>
      <c r="F60" s="790">
        <f>+'Phase II Pro Forma'!F59</f>
        <v>1</v>
      </c>
      <c r="G60" s="790">
        <f>+'Phase II Pro Forma'!G59</f>
        <v>1.03</v>
      </c>
      <c r="H60" s="790">
        <f>+'Phase II Pro Forma'!H59</f>
        <v>1.0609</v>
      </c>
      <c r="I60" s="790">
        <f>+'Phase II Pro Forma'!I59</f>
        <v>1.092727</v>
      </c>
      <c r="J60" s="790">
        <f>+'Phase II Pro Forma'!J59</f>
        <v>1.1255088100000001</v>
      </c>
      <c r="K60" s="790">
        <f>+'Phase II Pro Forma'!K59</f>
        <v>1.1592740743000001</v>
      </c>
      <c r="L60" s="790">
        <f>+'Phase II Pro Forma'!L59</f>
        <v>1.1940522965290001</v>
      </c>
      <c r="M60" s="790">
        <f>+'Phase II Pro Forma'!M59</f>
        <v>1.2298738654248702</v>
      </c>
      <c r="N60" s="790">
        <f>+'Phase II Pro Forma'!N59</f>
        <v>1.2667700813876164</v>
      </c>
      <c r="O60" s="790">
        <f>+'Phase II Pro Forma'!O59</f>
        <v>1.3047731838292449</v>
      </c>
      <c r="P60" s="790">
        <f>+'Phase II Pro Forma'!P59</f>
        <v>1.3439163793441222</v>
      </c>
      <c r="Q60" s="790">
        <f>+'Phase II Pro Forma'!Q59</f>
        <v>1.3842338707244459</v>
      </c>
      <c r="R60" s="790">
        <f>+'Phase II Pro Forma'!R59</f>
        <v>1.4257608868461793</v>
      </c>
      <c r="S60" s="790">
        <f>+'Phase II Pro Forma'!S59</f>
        <v>1.4685337134515648</v>
      </c>
      <c r="T60" s="790">
        <f>+'Phase II Pro Forma'!T59</f>
        <v>1.5125897248551119</v>
      </c>
      <c r="U60" s="790">
        <f>+'Phase II Pro Forma'!U59</f>
        <v>1.5579674166007653</v>
      </c>
      <c r="V60" s="790">
        <f>+'Phase II Pro Forma'!V59</f>
        <v>1.6047064390987884</v>
      </c>
      <c r="W60" s="790">
        <f>+'Phase II Pro Forma'!W59</f>
        <v>1.652847632271752</v>
      </c>
      <c r="X60" s="790">
        <f>+'Phase II Pro Forma'!X59</f>
        <v>1.7024330612399046</v>
      </c>
      <c r="Y60" s="790">
        <f>+'Phase II Pro Forma'!Y59</f>
        <v>1.7535060530771018</v>
      </c>
      <c r="Z60" s="790">
        <f>+'Phase II Pro Forma'!Z59</f>
        <v>1.806111234669415</v>
      </c>
    </row>
    <row r="61" spans="1:26" ht="5" customHeight="1" x14ac:dyDescent="0.2">
      <c r="B61" s="32"/>
      <c r="C61" s="32"/>
      <c r="D61" s="39"/>
      <c r="E61" s="39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">
      <c r="B62" s="32" t="s">
        <v>243</v>
      </c>
      <c r="C62" s="32"/>
      <c r="D62" s="39"/>
      <c r="E62" s="39"/>
      <c r="F62" s="48">
        <f>+'Phase II Pro Forma'!F61/1000000</f>
        <v>0</v>
      </c>
      <c r="G62" s="48">
        <f>+'Phase II Pro Forma'!G61/1000000</f>
        <v>0</v>
      </c>
      <c r="H62" s="48">
        <f>+'Phase II Pro Forma'!H61/1000000</f>
        <v>0</v>
      </c>
      <c r="I62" s="48">
        <f>+'Phase II Pro Forma'!I61/1000000</f>
        <v>1.6582935600000002</v>
      </c>
      <c r="J62" s="48">
        <f>+'Phase II Pro Forma'!J61/1000000</f>
        <v>3.3165871200000003</v>
      </c>
      <c r="K62" s="48">
        <f>+'Phase II Pro Forma'!K61/1000000</f>
        <v>3.3165871200000003</v>
      </c>
      <c r="L62" s="48">
        <f>+'Phase II Pro Forma'!L61/1000000</f>
        <v>3.6482458320000002</v>
      </c>
      <c r="M62" s="48">
        <f>+'Phase II Pro Forma'!M61/1000000</f>
        <v>3.6482458320000002</v>
      </c>
      <c r="N62" s="48">
        <f>+'Phase II Pro Forma'!N61/1000000</f>
        <v>3.6482458320000002</v>
      </c>
      <c r="O62" s="48">
        <f>+'Phase II Pro Forma'!O61/1000000</f>
        <v>3.6482458320000002</v>
      </c>
      <c r="P62" s="48">
        <f>+'Phase II Pro Forma'!P61/1000000</f>
        <v>3.6482458320000002</v>
      </c>
      <c r="Q62" s="48">
        <f>+'Phase II Pro Forma'!Q61/1000000</f>
        <v>4.0130704152000005</v>
      </c>
      <c r="R62" s="48">
        <f>+'Phase II Pro Forma'!R61/1000000</f>
        <v>4.0130704152000005</v>
      </c>
      <c r="S62" s="48">
        <f>+'Phase II Pro Forma'!S61/1000000</f>
        <v>4.0130704152000005</v>
      </c>
      <c r="T62" s="48">
        <f>+'Phase II Pro Forma'!T61/1000000</f>
        <v>4.0130704152000005</v>
      </c>
      <c r="U62" s="48">
        <f>+'Phase II Pro Forma'!U61/1000000</f>
        <v>4.0130704152000005</v>
      </c>
      <c r="V62" s="48">
        <f>+'Phase II Pro Forma'!V61/1000000</f>
        <v>4.4143774567200014</v>
      </c>
      <c r="W62" s="48">
        <f>+'Phase II Pro Forma'!W61/1000000</f>
        <v>4.4143774567200014</v>
      </c>
      <c r="X62" s="48">
        <f>+'Phase II Pro Forma'!X61/1000000</f>
        <v>4.4143774567200014</v>
      </c>
      <c r="Y62" s="48">
        <f>+'Phase II Pro Forma'!Y61/1000000</f>
        <v>4.4143774567200014</v>
      </c>
      <c r="Z62" s="48">
        <f>+'Phase II Pro Forma'!Z61/1000000</f>
        <v>4.4143774567200014</v>
      </c>
    </row>
    <row r="63" spans="1:26" x14ac:dyDescent="0.2">
      <c r="B63" s="32" t="s">
        <v>244</v>
      </c>
      <c r="C63" s="32"/>
      <c r="D63" s="39"/>
      <c r="E63" s="39"/>
      <c r="F63" s="771">
        <f>+'Phase II Pro Forma'!F62/1000000</f>
        <v>0</v>
      </c>
      <c r="G63" s="771">
        <f>+'Phase II Pro Forma'!G62/1000000</f>
        <v>0</v>
      </c>
      <c r="H63" s="771">
        <f>+'Phase II Pro Forma'!H62/1000000</f>
        <v>0</v>
      </c>
      <c r="I63" s="771">
        <f>+'Phase II Pro Forma'!I62/1000000</f>
        <v>-0.16582935600000004</v>
      </c>
      <c r="J63" s="771">
        <f>+'Phase II Pro Forma'!J62/1000000</f>
        <v>-0.33165871200000008</v>
      </c>
      <c r="K63" s="771">
        <f>+'Phase II Pro Forma'!K62/1000000</f>
        <v>-0.33165871200000008</v>
      </c>
      <c r="L63" s="771">
        <f>+'Phase II Pro Forma'!L62/1000000</f>
        <v>-0.36482458320000005</v>
      </c>
      <c r="M63" s="771">
        <f>+'Phase II Pro Forma'!M62/1000000</f>
        <v>-0.36482458320000005</v>
      </c>
      <c r="N63" s="771">
        <f>+'Phase II Pro Forma'!N62/1000000</f>
        <v>-0.36482458320000005</v>
      </c>
      <c r="O63" s="771">
        <f>+'Phase II Pro Forma'!O62/1000000</f>
        <v>-0.36482458320000005</v>
      </c>
      <c r="P63" s="771">
        <f>+'Phase II Pro Forma'!P62/1000000</f>
        <v>-0.36482458320000005</v>
      </c>
      <c r="Q63" s="771">
        <f>+'Phase II Pro Forma'!Q62/1000000</f>
        <v>-0.40130704152000007</v>
      </c>
      <c r="R63" s="771">
        <f>+'Phase II Pro Forma'!R62/1000000</f>
        <v>-0.40130704152000007</v>
      </c>
      <c r="S63" s="771">
        <f>+'Phase II Pro Forma'!S62/1000000</f>
        <v>-0.40130704152000007</v>
      </c>
      <c r="T63" s="771">
        <f>+'Phase II Pro Forma'!T62/1000000</f>
        <v>-0.40130704152000007</v>
      </c>
      <c r="U63" s="771">
        <f>+'Phase II Pro Forma'!U62/1000000</f>
        <v>-0.40130704152000007</v>
      </c>
      <c r="V63" s="771">
        <f>+'Phase II Pro Forma'!V62/1000000</f>
        <v>-0.44143774567200011</v>
      </c>
      <c r="W63" s="771">
        <f>+'Phase II Pro Forma'!W62/1000000</f>
        <v>-0.44143774567200011</v>
      </c>
      <c r="X63" s="771">
        <f>+'Phase II Pro Forma'!X62/1000000</f>
        <v>-0.44143774567200011</v>
      </c>
      <c r="Y63" s="771">
        <f>+'Phase II Pro Forma'!Y62/1000000</f>
        <v>-0.44143774567200011</v>
      </c>
      <c r="Z63" s="771">
        <f>+'Phase II Pro Forma'!Z62/1000000</f>
        <v>-0.44143774567200011</v>
      </c>
    </row>
    <row r="64" spans="1:26" x14ac:dyDescent="0.2">
      <c r="B64" s="32" t="s">
        <v>259</v>
      </c>
      <c r="C64" s="32"/>
      <c r="D64" s="39"/>
      <c r="E64" s="39"/>
      <c r="F64" s="772">
        <f ca="1">+'Phase II Pro Forma'!F63/1000000</f>
        <v>0</v>
      </c>
      <c r="G64" s="772">
        <f ca="1">+'Phase II Pro Forma'!G63/1000000</f>
        <v>0</v>
      </c>
      <c r="H64" s="772">
        <f ca="1">+'Phase II Pro Forma'!H63/1000000</f>
        <v>0</v>
      </c>
      <c r="I64" s="772">
        <f ca="1">+'Phase II Pro Forma'!I63/1000000</f>
        <v>0.9391881423742735</v>
      </c>
      <c r="J64" s="772">
        <f ca="1">+'Phase II Pro Forma'!J63/1000000</f>
        <v>1.9258707595963094</v>
      </c>
      <c r="K64" s="772">
        <f ca="1">+'Phase II Pro Forma'!K63/1000000</f>
        <v>1.956545032478435</v>
      </c>
      <c r="L64" s="772">
        <f ca="1">+'Phase II Pro Forma'!L63/1000000</f>
        <v>1.9881395335470244</v>
      </c>
      <c r="M64" s="772">
        <f ca="1">+'Phase II Pro Forma'!M63/1000000</f>
        <v>2.0387497695848475</v>
      </c>
      <c r="N64" s="772">
        <f ca="1">+'Phase II Pro Forma'!N63/1000000</f>
        <v>2.0722683757685139</v>
      </c>
      <c r="O64" s="772">
        <f ca="1">+'Phase II Pro Forma'!O63/1000000</f>
        <v>2.1067925401376901</v>
      </c>
      <c r="P64" s="772">
        <f ca="1">+'Phase II Pro Forma'!P63/1000000</f>
        <v>2.160781687373861</v>
      </c>
      <c r="Q64" s="772">
        <f ca="1">+'Phase II Pro Forma'!Q63/1000000</f>
        <v>2.1974083733531202</v>
      </c>
      <c r="R64" s="772">
        <f ca="1">+'Phase II Pro Forma'!R63/1000000</f>
        <v>2.2351338599117572</v>
      </c>
      <c r="S64" s="772">
        <f ca="1">+'Phase II Pro Forma'!S63/1000000</f>
        <v>2.2927889541617912</v>
      </c>
      <c r="T64" s="772">
        <f ca="1">+'Phase II Pro Forma'!T63/1000000</f>
        <v>2.3328119228518491</v>
      </c>
      <c r="U64" s="772">
        <f ca="1">+'Phase II Pro Forma'!U63/1000000</f>
        <v>2.3740355806026097</v>
      </c>
      <c r="V64" s="772">
        <f ca="1">+'Phase II Pro Forma'!V63/1000000</f>
        <v>2.4356697480424225</v>
      </c>
      <c r="W64" s="772">
        <f ca="1">+'Phase II Pro Forma'!W63/1000000</f>
        <v>2.4794039265502041</v>
      </c>
      <c r="X64" s="772">
        <f ca="1">+'Phase II Pro Forma'!X63/1000000</f>
        <v>2.5244501304132179</v>
      </c>
      <c r="Y64" s="772">
        <f ca="1">+'Phase II Pro Forma'!Y63/1000000</f>
        <v>2.5904049963477846</v>
      </c>
      <c r="Z64" s="772">
        <f ca="1">+'Phase II Pro Forma'!Z63/1000000</f>
        <v>2.6381945140260559</v>
      </c>
    </row>
    <row r="65" spans="2:26" x14ac:dyDescent="0.2">
      <c r="B65" s="136" t="s">
        <v>253</v>
      </c>
      <c r="C65" s="136"/>
      <c r="D65" s="136"/>
      <c r="E65" s="136"/>
      <c r="F65" s="773">
        <f t="shared" ref="F65:Z65" ca="1" si="18">+SUM(F62:F64)</f>
        <v>0</v>
      </c>
      <c r="G65" s="773">
        <f t="shared" ca="1" si="18"/>
        <v>0</v>
      </c>
      <c r="H65" s="773">
        <f t="shared" ca="1" si="18"/>
        <v>0</v>
      </c>
      <c r="I65" s="773">
        <f t="shared" ca="1" si="18"/>
        <v>2.4316523463742734</v>
      </c>
      <c r="J65" s="773">
        <f t="shared" ca="1" si="18"/>
        <v>4.9107991675963092</v>
      </c>
      <c r="K65" s="773">
        <f t="shared" ca="1" si="18"/>
        <v>4.9414734404784353</v>
      </c>
      <c r="L65" s="773">
        <f t="shared" ca="1" si="18"/>
        <v>5.2715607823470245</v>
      </c>
      <c r="M65" s="773">
        <f t="shared" ca="1" si="18"/>
        <v>5.3221710183848483</v>
      </c>
      <c r="N65" s="773">
        <f t="shared" ca="1" si="18"/>
        <v>5.3556896245685142</v>
      </c>
      <c r="O65" s="773">
        <f t="shared" ca="1" si="18"/>
        <v>5.3902137889376904</v>
      </c>
      <c r="P65" s="773">
        <f t="shared" ca="1" si="18"/>
        <v>5.4442029361738609</v>
      </c>
      <c r="Q65" s="773">
        <f t="shared" ca="1" si="18"/>
        <v>5.8091717470331208</v>
      </c>
      <c r="R65" s="773">
        <f t="shared" ca="1" si="18"/>
        <v>5.8468972335917577</v>
      </c>
      <c r="S65" s="773">
        <f t="shared" ca="1" si="18"/>
        <v>5.9045523278417917</v>
      </c>
      <c r="T65" s="773">
        <f t="shared" ca="1" si="18"/>
        <v>5.9445752965318501</v>
      </c>
      <c r="U65" s="773">
        <f t="shared" ca="1" si="18"/>
        <v>5.9857989542826102</v>
      </c>
      <c r="V65" s="773">
        <f t="shared" ca="1" si="18"/>
        <v>6.4086094590904237</v>
      </c>
      <c r="W65" s="773">
        <f t="shared" ca="1" si="18"/>
        <v>6.4523436375982053</v>
      </c>
      <c r="X65" s="773">
        <f t="shared" ca="1" si="18"/>
        <v>6.497389841461219</v>
      </c>
      <c r="Y65" s="773">
        <f t="shared" ca="1" si="18"/>
        <v>6.5633447073957853</v>
      </c>
      <c r="Z65" s="773">
        <f t="shared" ca="1" si="18"/>
        <v>6.611134225074057</v>
      </c>
    </row>
    <row r="66" spans="2:26" ht="5" customHeight="1" x14ac:dyDescent="0.2"/>
    <row r="67" spans="2:26" x14ac:dyDescent="0.2">
      <c r="B67" s="32" t="s">
        <v>389</v>
      </c>
      <c r="F67" s="48">
        <f>+'Phase II Pro Forma'!F66/1000000</f>
        <v>0</v>
      </c>
      <c r="G67" s="48">
        <f>+'Phase II Pro Forma'!G66/1000000</f>
        <v>0</v>
      </c>
      <c r="H67" s="48">
        <f>+'Phase II Pro Forma'!H66/1000000</f>
        <v>0</v>
      </c>
      <c r="I67" s="48">
        <f>+'Phase II Pro Forma'!I66/1000000</f>
        <v>0.5514971751550799</v>
      </c>
      <c r="J67" s="48">
        <f>+'Phase II Pro Forma'!J66/1000000</f>
        <v>1.1360841808194648</v>
      </c>
      <c r="K67" s="48">
        <f>+'Phase II Pro Forma'!K66/1000000</f>
        <v>1.1701667062440486</v>
      </c>
      <c r="L67" s="48">
        <f>+'Phase II Pro Forma'!L66/1000000</f>
        <v>1.2052717074313704</v>
      </c>
      <c r="M67" s="48">
        <f>+'Phase II Pro Forma'!M66/1000000</f>
        <v>1.2414298586543113</v>
      </c>
      <c r="N67" s="48">
        <f>+'Phase II Pro Forma'!N66/1000000</f>
        <v>1.2786727544139409</v>
      </c>
      <c r="O67" s="48">
        <f>+'Phase II Pro Forma'!O66/1000000</f>
        <v>1.3170329370463592</v>
      </c>
      <c r="P67" s="48">
        <f>+'Phase II Pro Forma'!P66/1000000</f>
        <v>1.3565439251577498</v>
      </c>
      <c r="Q67" s="48">
        <f>+'Phase II Pro Forma'!Q66/1000000</f>
        <v>1.3972402429124824</v>
      </c>
      <c r="R67" s="48">
        <f>+'Phase II Pro Forma'!R66/1000000</f>
        <v>1.439157450199857</v>
      </c>
      <c r="S67" s="48">
        <f>+'Phase II Pro Forma'!S66/1000000</f>
        <v>1.4823321737058528</v>
      </c>
      <c r="T67" s="48">
        <f>+'Phase II Pro Forma'!T66/1000000</f>
        <v>1.5268021389170285</v>
      </c>
      <c r="U67" s="48">
        <f>+'Phase II Pro Forma'!U66/1000000</f>
        <v>1.5726062030845394</v>
      </c>
      <c r="V67" s="48">
        <f>+'Phase II Pro Forma'!V66/1000000</f>
        <v>1.6197843891770756</v>
      </c>
      <c r="W67" s="48">
        <f>+'Phase II Pro Forma'!W66/1000000</f>
        <v>1.6683779208523881</v>
      </c>
      <c r="X67" s="48">
        <f>+'Phase II Pro Forma'!X66/1000000</f>
        <v>1.7184292584779595</v>
      </c>
      <c r="Y67" s="48">
        <f>+'Phase II Pro Forma'!Y66/1000000</f>
        <v>1.7699821362322985</v>
      </c>
      <c r="Z67" s="48">
        <f>+'Phase II Pro Forma'!Z66/1000000</f>
        <v>1.8230816003192676</v>
      </c>
    </row>
    <row r="68" spans="2:26" x14ac:dyDescent="0.2">
      <c r="B68" s="32" t="s">
        <v>325</v>
      </c>
      <c r="F68" s="772">
        <f ca="1">+'Phase II Pro Forma'!F67/1000000</f>
        <v>0</v>
      </c>
      <c r="G68" s="772">
        <f ca="1">+'Phase II Pro Forma'!G67/1000000</f>
        <v>0</v>
      </c>
      <c r="H68" s="772">
        <f ca="1">+'Phase II Pro Forma'!H67/1000000</f>
        <v>0</v>
      </c>
      <c r="I68" s="772">
        <f ca="1">+'Phase II Pro Forma'!I67/1000000</f>
        <v>0.49204520526077933</v>
      </c>
      <c r="J68" s="772">
        <f ca="1">+'Phase II Pro Forma'!J67/1000000</f>
        <v>1.0037722187319895</v>
      </c>
      <c r="K68" s="772">
        <f ca="1">+'Phase II Pro Forma'!K67/1000000</f>
        <v>1.0037722187319895</v>
      </c>
      <c r="L68" s="772">
        <f ca="1">+'Phase II Pro Forma'!L67/1000000</f>
        <v>1.0037722187319895</v>
      </c>
      <c r="M68" s="772">
        <f ca="1">+'Phase II Pro Forma'!M67/1000000</f>
        <v>1.0238476631066296</v>
      </c>
      <c r="N68" s="772">
        <f ca="1">+'Phase II Pro Forma'!N67/1000000</f>
        <v>1.0238476631066296</v>
      </c>
      <c r="O68" s="772">
        <f ca="1">+'Phase II Pro Forma'!O67/1000000</f>
        <v>1.0238476631066296</v>
      </c>
      <c r="P68" s="772">
        <f ca="1">+'Phase II Pro Forma'!P67/1000000</f>
        <v>1.0443246163687621</v>
      </c>
      <c r="Q68" s="772">
        <f ca="1">+'Phase II Pro Forma'!Q67/1000000</f>
        <v>1.0443246163687621</v>
      </c>
      <c r="R68" s="772">
        <f ca="1">+'Phase II Pro Forma'!R67/1000000</f>
        <v>1.0443246163687621</v>
      </c>
      <c r="S68" s="772">
        <f ca="1">+'Phase II Pro Forma'!S67/1000000</f>
        <v>1.0652111086961373</v>
      </c>
      <c r="T68" s="772">
        <f ca="1">+'Phase II Pro Forma'!T67/1000000</f>
        <v>1.0652111086961373</v>
      </c>
      <c r="U68" s="772">
        <f ca="1">+'Phase II Pro Forma'!U67/1000000</f>
        <v>1.0652111086961373</v>
      </c>
      <c r="V68" s="772">
        <f ca="1">+'Phase II Pro Forma'!V67/1000000</f>
        <v>1.0865153308700604</v>
      </c>
      <c r="W68" s="772">
        <f ca="1">+'Phase II Pro Forma'!W67/1000000</f>
        <v>1.0865153308700604</v>
      </c>
      <c r="X68" s="772">
        <f ca="1">+'Phase II Pro Forma'!X67/1000000</f>
        <v>1.0865153308700604</v>
      </c>
      <c r="Y68" s="772">
        <f ca="1">+'Phase II Pro Forma'!Y67/1000000</f>
        <v>1.1082456374874614</v>
      </c>
      <c r="Z68" s="772">
        <f ca="1">+'Phase II Pro Forma'!Z67/1000000</f>
        <v>1.1082456374874614</v>
      </c>
    </row>
    <row r="69" spans="2:26" x14ac:dyDescent="0.2">
      <c r="B69" s="136" t="s">
        <v>249</v>
      </c>
      <c r="C69" s="136"/>
      <c r="D69" s="136"/>
      <c r="E69" s="136"/>
      <c r="F69" s="773">
        <f ca="1">+SUM(F67:F68)</f>
        <v>0</v>
      </c>
      <c r="G69" s="773">
        <f t="shared" ref="G69" ca="1" si="19">+SUM(G67:G68)</f>
        <v>0</v>
      </c>
      <c r="H69" s="773">
        <f t="shared" ref="H69:Z69" ca="1" si="20">+SUM(H67:H68)</f>
        <v>0</v>
      </c>
      <c r="I69" s="773">
        <f t="shared" ca="1" si="20"/>
        <v>1.0435423804158592</v>
      </c>
      <c r="J69" s="773">
        <f t="shared" ca="1" si="20"/>
        <v>2.1398563995514541</v>
      </c>
      <c r="K69" s="773">
        <f t="shared" ca="1" si="20"/>
        <v>2.1739389249760381</v>
      </c>
      <c r="L69" s="773">
        <f t="shared" ca="1" si="20"/>
        <v>2.2090439261633597</v>
      </c>
      <c r="M69" s="773">
        <f t="shared" ca="1" si="20"/>
        <v>2.2652775217609409</v>
      </c>
      <c r="N69" s="773">
        <f t="shared" ca="1" si="20"/>
        <v>2.3025204175205705</v>
      </c>
      <c r="O69" s="773">
        <f t="shared" ca="1" si="20"/>
        <v>2.3408806001529889</v>
      </c>
      <c r="P69" s="773">
        <f t="shared" ca="1" si="20"/>
        <v>2.4008685415265116</v>
      </c>
      <c r="Q69" s="773">
        <f t="shared" ca="1" si="20"/>
        <v>2.4415648592812444</v>
      </c>
      <c r="R69" s="773">
        <f t="shared" ca="1" si="20"/>
        <v>2.483482066568619</v>
      </c>
      <c r="S69" s="773">
        <f t="shared" ca="1" si="20"/>
        <v>2.5475432824019899</v>
      </c>
      <c r="T69" s="773">
        <f t="shared" ca="1" si="20"/>
        <v>2.5920132476131661</v>
      </c>
      <c r="U69" s="773">
        <f t="shared" ca="1" si="20"/>
        <v>2.6378173117806769</v>
      </c>
      <c r="V69" s="773">
        <f t="shared" ca="1" si="20"/>
        <v>2.7062997200471361</v>
      </c>
      <c r="W69" s="773">
        <f t="shared" ca="1" si="20"/>
        <v>2.7548932517224483</v>
      </c>
      <c r="X69" s="773">
        <f t="shared" ca="1" si="20"/>
        <v>2.80494458934802</v>
      </c>
      <c r="Y69" s="773">
        <f t="shared" ca="1" si="20"/>
        <v>2.8782277737197601</v>
      </c>
      <c r="Z69" s="773">
        <f t="shared" ca="1" si="20"/>
        <v>2.931327237806729</v>
      </c>
    </row>
    <row r="70" spans="2:26" ht="5" customHeight="1" x14ac:dyDescent="0.2">
      <c r="B70" s="32"/>
    </row>
    <row r="71" spans="2:26" x14ac:dyDescent="0.2">
      <c r="B71" s="777" t="s">
        <v>248</v>
      </c>
      <c r="C71" s="777"/>
      <c r="D71" s="777"/>
      <c r="E71" s="777"/>
      <c r="F71" s="778">
        <f ca="1">+F65-F69</f>
        <v>0</v>
      </c>
      <c r="G71" s="778">
        <f t="shared" ref="G71:Z71" ca="1" si="21">+G65-G69</f>
        <v>0</v>
      </c>
      <c r="H71" s="778">
        <f t="shared" ca="1" si="21"/>
        <v>0</v>
      </c>
      <c r="I71" s="778">
        <f t="shared" ca="1" si="21"/>
        <v>1.3881099659584142</v>
      </c>
      <c r="J71" s="778">
        <f t="shared" ca="1" si="21"/>
        <v>2.7709427680448551</v>
      </c>
      <c r="K71" s="778">
        <f t="shared" ca="1" si="21"/>
        <v>2.7675345155023972</v>
      </c>
      <c r="L71" s="778">
        <f t="shared" ca="1" si="21"/>
        <v>3.0625168561836649</v>
      </c>
      <c r="M71" s="778">
        <f t="shared" ca="1" si="21"/>
        <v>3.0568934966239074</v>
      </c>
      <c r="N71" s="778">
        <f t="shared" ca="1" si="21"/>
        <v>3.0531692070479437</v>
      </c>
      <c r="O71" s="778">
        <f t="shared" ca="1" si="21"/>
        <v>3.0493331887847015</v>
      </c>
      <c r="P71" s="778">
        <f t="shared" ca="1" si="21"/>
        <v>3.0433343946473492</v>
      </c>
      <c r="Q71" s="778">
        <f t="shared" ca="1" si="21"/>
        <v>3.3676068877518763</v>
      </c>
      <c r="R71" s="778">
        <f t="shared" ca="1" si="21"/>
        <v>3.3634151670231387</v>
      </c>
      <c r="S71" s="778">
        <f t="shared" ca="1" si="21"/>
        <v>3.3570090454398018</v>
      </c>
      <c r="T71" s="778">
        <f t="shared" ca="1" si="21"/>
        <v>3.352562048918684</v>
      </c>
      <c r="U71" s="778">
        <f t="shared" ca="1" si="21"/>
        <v>3.3479816425019333</v>
      </c>
      <c r="V71" s="778">
        <f t="shared" ca="1" si="21"/>
        <v>3.7023097390432875</v>
      </c>
      <c r="W71" s="778">
        <f t="shared" ca="1" si="21"/>
        <v>3.697450385875757</v>
      </c>
      <c r="X71" s="778">
        <f t="shared" ca="1" si="21"/>
        <v>3.692445252113199</v>
      </c>
      <c r="Y71" s="778">
        <f t="shared" ca="1" si="21"/>
        <v>3.6851169336760252</v>
      </c>
      <c r="Z71" s="778">
        <f t="shared" ca="1" si="21"/>
        <v>3.679806987267328</v>
      </c>
    </row>
    <row r="72" spans="2:26" x14ac:dyDescent="0.2">
      <c r="B72" s="779" t="s">
        <v>254</v>
      </c>
      <c r="C72" s="780"/>
      <c r="D72" s="780"/>
      <c r="E72" s="780"/>
      <c r="F72" s="781" t="str">
        <f ca="1">+IFERROR(F71/F65,"")</f>
        <v/>
      </c>
      <c r="G72" s="781" t="str">
        <f t="shared" ref="G72:Z72" ca="1" si="22">+IFERROR(G71/G65,"")</f>
        <v/>
      </c>
      <c r="H72" s="781" t="str">
        <f t="shared" ca="1" si="22"/>
        <v/>
      </c>
      <c r="I72" s="782">
        <f t="shared" ca="1" si="22"/>
        <v>0.57085050337403787</v>
      </c>
      <c r="J72" s="782">
        <f t="shared" ca="1" si="22"/>
        <v>0.56425495596089492</v>
      </c>
      <c r="K72" s="782">
        <f t="shared" ca="1" si="22"/>
        <v>0.56006261064401142</v>
      </c>
      <c r="L72" s="782">
        <f t="shared" ca="1" si="22"/>
        <v>0.58095068664278193</v>
      </c>
      <c r="M72" s="782">
        <f t="shared" ca="1" si="22"/>
        <v>0.57436964841306459</v>
      </c>
      <c r="N72" s="782">
        <f t="shared" ca="1" si="22"/>
        <v>0.57007956417824057</v>
      </c>
      <c r="O72" s="782">
        <f t="shared" ca="1" si="22"/>
        <v>0.56571655748475747</v>
      </c>
      <c r="P72" s="782">
        <f t="shared" ca="1" si="22"/>
        <v>0.55900458346730519</v>
      </c>
      <c r="Q72" s="782">
        <f t="shared" ca="1" si="22"/>
        <v>0.57970516872251054</v>
      </c>
      <c r="R72" s="782">
        <f t="shared" ca="1" si="22"/>
        <v>0.575247867826298</v>
      </c>
      <c r="S72" s="782">
        <f t="shared" ca="1" si="22"/>
        <v>0.56854590476071576</v>
      </c>
      <c r="T72" s="782">
        <f t="shared" ca="1" si="22"/>
        <v>0.56396998636296469</v>
      </c>
      <c r="U72" s="782">
        <f t="shared" ca="1" si="22"/>
        <v>0.55932076370633543</v>
      </c>
      <c r="V72" s="782">
        <f t="shared" ca="1" si="22"/>
        <v>0.5777087467534272</v>
      </c>
      <c r="W72" s="782">
        <f t="shared" ca="1" si="22"/>
        <v>0.57303990511765135</v>
      </c>
      <c r="X72" s="782">
        <f t="shared" ca="1" si="22"/>
        <v>0.5682967071716899</v>
      </c>
      <c r="Y72" s="782">
        <f t="shared" ca="1" si="22"/>
        <v>0.56146935715924207</v>
      </c>
      <c r="Z72" s="782">
        <f t="shared" ca="1" si="22"/>
        <v>0.55660751423120702</v>
      </c>
    </row>
    <row r="73" spans="2:26" x14ac:dyDescent="0.2">
      <c r="B73" s="779" t="s">
        <v>188</v>
      </c>
      <c r="C73" s="780"/>
      <c r="D73" s="780"/>
      <c r="E73" s="780"/>
      <c r="F73" s="783">
        <f ca="1">+'Phase II Pro Forma'!F72/1000000</f>
        <v>0</v>
      </c>
      <c r="G73" s="783">
        <f ca="1">+'Phase II Pro Forma'!G72/1000000</f>
        <v>0</v>
      </c>
      <c r="H73" s="783">
        <f ca="1">+'Phase II Pro Forma'!H72/1000000</f>
        <v>0</v>
      </c>
      <c r="I73" s="783">
        <f ca="1">+'Phase II Pro Forma'!I72/1000000</f>
        <v>21.355537937821754</v>
      </c>
      <c r="J73" s="783">
        <f ca="1">+'Phase II Pro Forma'!J72/1000000</f>
        <v>42.62988873915161</v>
      </c>
      <c r="K73" s="783">
        <f ca="1">+'Phase II Pro Forma'!K72/1000000</f>
        <v>42.577454084652253</v>
      </c>
      <c r="L73" s="783">
        <f ca="1">+'Phase II Pro Forma'!L72/1000000</f>
        <v>47.115643941287146</v>
      </c>
      <c r="M73" s="783">
        <f ca="1">+'Phase II Pro Forma'!M72/1000000</f>
        <v>47.029130717290869</v>
      </c>
      <c r="N73" s="783">
        <f ca="1">+'Phase II Pro Forma'!N72/1000000</f>
        <v>46.971833954583737</v>
      </c>
      <c r="O73" s="783">
        <f ca="1">+'Phase II Pro Forma'!O72/1000000</f>
        <v>46.912818288995403</v>
      </c>
      <c r="P73" s="783">
        <f ca="1">+'Phase II Pro Forma'!P72/1000000</f>
        <v>46.820529148420768</v>
      </c>
      <c r="Q73" s="783">
        <f ca="1">+'Phase II Pro Forma'!Q72/1000000</f>
        <v>51.809336734644248</v>
      </c>
      <c r="R73" s="783">
        <f ca="1">+'Phase II Pro Forma'!R72/1000000</f>
        <v>51.744848723432895</v>
      </c>
      <c r="S73" s="783">
        <f ca="1">+'Phase II Pro Forma'!S72/1000000</f>
        <v>51.646293006766186</v>
      </c>
      <c r="T73" s="783">
        <f ca="1">+'Phase II Pro Forma'!T72/1000000</f>
        <v>51.577877675672077</v>
      </c>
      <c r="U73" s="783">
        <f ca="1">+'Phase II Pro Forma'!U72/1000000</f>
        <v>51.507409884645121</v>
      </c>
      <c r="V73" s="783">
        <f ca="1">+'Phase II Pro Forma'!V72/1000000</f>
        <v>56.958611369896722</v>
      </c>
      <c r="W73" s="783">
        <f ca="1">+'Phase II Pro Forma'!W72/1000000</f>
        <v>56.883852090396253</v>
      </c>
      <c r="X73" s="783">
        <f ca="1">+'Phase II Pro Forma'!X72/1000000</f>
        <v>56.806850032510752</v>
      </c>
      <c r="Y73" s="783">
        <f ca="1">+'Phase II Pro Forma'!Y72/1000000</f>
        <v>56.694106671938862</v>
      </c>
      <c r="Z73" s="783">
        <f ca="1">+'Phase II Pro Forma'!Z72/1000000</f>
        <v>56.612415188728114</v>
      </c>
    </row>
    <row r="74" spans="2:26" ht="5" customHeight="1" x14ac:dyDescent="0.2"/>
    <row r="75" spans="2:26" x14ac:dyDescent="0.2">
      <c r="B75" s="147" t="s">
        <v>145</v>
      </c>
      <c r="C75" s="148"/>
      <c r="D75" s="148"/>
      <c r="E75" s="148"/>
      <c r="F75" s="776">
        <f>+F6</f>
        <v>44926</v>
      </c>
      <c r="G75" s="776">
        <f t="shared" ref="G75:Z75" si="23">+G6</f>
        <v>45291</v>
      </c>
      <c r="H75" s="776">
        <f t="shared" si="23"/>
        <v>45657</v>
      </c>
      <c r="I75" s="776">
        <f t="shared" si="23"/>
        <v>46022</v>
      </c>
      <c r="J75" s="776">
        <f t="shared" si="23"/>
        <v>46387</v>
      </c>
      <c r="K75" s="776">
        <f t="shared" si="23"/>
        <v>46752</v>
      </c>
      <c r="L75" s="776">
        <f t="shared" si="23"/>
        <v>47118</v>
      </c>
      <c r="M75" s="776">
        <f t="shared" si="23"/>
        <v>47483</v>
      </c>
      <c r="N75" s="776">
        <f t="shared" si="23"/>
        <v>47848</v>
      </c>
      <c r="O75" s="776">
        <f t="shared" si="23"/>
        <v>48213</v>
      </c>
      <c r="P75" s="776">
        <f t="shared" si="23"/>
        <v>48579</v>
      </c>
      <c r="Q75" s="776">
        <f t="shared" si="23"/>
        <v>48944</v>
      </c>
      <c r="R75" s="776">
        <f t="shared" si="23"/>
        <v>49309</v>
      </c>
      <c r="S75" s="776">
        <f t="shared" si="23"/>
        <v>49674</v>
      </c>
      <c r="T75" s="776">
        <f t="shared" si="23"/>
        <v>50040</v>
      </c>
      <c r="U75" s="776">
        <f t="shared" si="23"/>
        <v>50405</v>
      </c>
      <c r="V75" s="776">
        <f t="shared" si="23"/>
        <v>50770</v>
      </c>
      <c r="W75" s="776">
        <f t="shared" si="23"/>
        <v>51135</v>
      </c>
      <c r="X75" s="776">
        <f t="shared" si="23"/>
        <v>51501</v>
      </c>
      <c r="Y75" s="776">
        <f t="shared" si="23"/>
        <v>51866</v>
      </c>
      <c r="Z75" s="776">
        <f t="shared" si="23"/>
        <v>52231</v>
      </c>
    </row>
    <row r="76" spans="2:26" hidden="1" x14ac:dyDescent="0.2">
      <c r="B76" s="788" t="s">
        <v>756</v>
      </c>
      <c r="C76" s="788"/>
      <c r="D76" s="791"/>
      <c r="E76" s="791"/>
      <c r="F76" s="789">
        <f>+'Phase II Pro Forma'!F75</f>
        <v>0</v>
      </c>
      <c r="G76" s="789">
        <f>+'Phase II Pro Forma'!G75</f>
        <v>0</v>
      </c>
      <c r="H76" s="789">
        <f>+'Phase II Pro Forma'!H75</f>
        <v>0</v>
      </c>
      <c r="I76" s="789">
        <f>+'Phase II Pro Forma'!I75</f>
        <v>5.0000000000000002E-5</v>
      </c>
      <c r="J76" s="789">
        <f>+'Phase II Pro Forma'!J75</f>
        <v>5.0000000000000002E-5</v>
      </c>
      <c r="K76" s="789">
        <f>+'Phase II Pro Forma'!K75</f>
        <v>0</v>
      </c>
      <c r="L76" s="789">
        <f>+'Phase II Pro Forma'!L75</f>
        <v>0</v>
      </c>
      <c r="M76" s="789">
        <f>+'Phase II Pro Forma'!M75</f>
        <v>0</v>
      </c>
      <c r="N76" s="789">
        <f>+'Phase II Pro Forma'!N75</f>
        <v>0</v>
      </c>
      <c r="O76" s="789">
        <f>+'Phase II Pro Forma'!O75</f>
        <v>0</v>
      </c>
      <c r="P76" s="789">
        <f>+'Phase II Pro Forma'!P75</f>
        <v>0</v>
      </c>
      <c r="Q76" s="789">
        <f>+'Phase II Pro Forma'!Q75</f>
        <v>0</v>
      </c>
      <c r="R76" s="789">
        <f>+'Phase II Pro Forma'!R75</f>
        <v>0</v>
      </c>
      <c r="S76" s="789">
        <f>+'Phase II Pro Forma'!S75</f>
        <v>0</v>
      </c>
      <c r="T76" s="789">
        <f>+'Phase II Pro Forma'!T75</f>
        <v>0</v>
      </c>
      <c r="U76" s="789">
        <f>+'Phase II Pro Forma'!U75</f>
        <v>0</v>
      </c>
      <c r="V76" s="789">
        <f>+'Phase II Pro Forma'!V75</f>
        <v>0</v>
      </c>
      <c r="W76" s="789">
        <f>+'Phase II Pro Forma'!W75</f>
        <v>0</v>
      </c>
      <c r="X76" s="789">
        <f>+'Phase II Pro Forma'!X75</f>
        <v>0</v>
      </c>
      <c r="Y76" s="789">
        <f>+'Phase II Pro Forma'!Y75</f>
        <v>0</v>
      </c>
      <c r="Z76" s="789">
        <f>+'Phase II Pro Forma'!Z75</f>
        <v>0</v>
      </c>
    </row>
    <row r="77" spans="2:26" x14ac:dyDescent="0.2">
      <c r="B77" s="32" t="s">
        <v>784</v>
      </c>
      <c r="C77" s="32"/>
      <c r="D77" s="41">
        <v>0</v>
      </c>
      <c r="E77" s="41"/>
      <c r="F77" s="41">
        <f>+D77+F76</f>
        <v>0</v>
      </c>
      <c r="G77" s="41">
        <f t="shared" ref="G77:Z77" si="24">+F77+G76</f>
        <v>0</v>
      </c>
      <c r="H77" s="41">
        <f t="shared" si="24"/>
        <v>0</v>
      </c>
      <c r="I77" s="41">
        <f t="shared" si="24"/>
        <v>5.0000000000000002E-5</v>
      </c>
      <c r="J77" s="41">
        <f t="shared" si="24"/>
        <v>1E-4</v>
      </c>
      <c r="K77" s="41">
        <f t="shared" si="24"/>
        <v>1E-4</v>
      </c>
      <c r="L77" s="41">
        <f t="shared" si="24"/>
        <v>1E-4</v>
      </c>
      <c r="M77" s="41">
        <f t="shared" si="24"/>
        <v>1E-4</v>
      </c>
      <c r="N77" s="41">
        <f t="shared" si="24"/>
        <v>1E-4</v>
      </c>
      <c r="O77" s="41">
        <f t="shared" si="24"/>
        <v>1E-4</v>
      </c>
      <c r="P77" s="41">
        <f t="shared" si="24"/>
        <v>1E-4</v>
      </c>
      <c r="Q77" s="41">
        <f t="shared" si="24"/>
        <v>1E-4</v>
      </c>
      <c r="R77" s="41">
        <f t="shared" si="24"/>
        <v>1E-4</v>
      </c>
      <c r="S77" s="41">
        <f t="shared" si="24"/>
        <v>1E-4</v>
      </c>
      <c r="T77" s="41">
        <f t="shared" si="24"/>
        <v>1E-4</v>
      </c>
      <c r="U77" s="41">
        <f t="shared" si="24"/>
        <v>1E-4</v>
      </c>
      <c r="V77" s="41">
        <f t="shared" si="24"/>
        <v>1E-4</v>
      </c>
      <c r="W77" s="41">
        <f t="shared" si="24"/>
        <v>1E-4</v>
      </c>
      <c r="X77" s="41">
        <f t="shared" si="24"/>
        <v>1E-4</v>
      </c>
      <c r="Y77" s="41">
        <f t="shared" si="24"/>
        <v>1E-4</v>
      </c>
      <c r="Z77" s="41">
        <f t="shared" si="24"/>
        <v>1E-4</v>
      </c>
    </row>
    <row r="78" spans="2:26" hidden="1" x14ac:dyDescent="0.2">
      <c r="B78" s="788" t="s">
        <v>301</v>
      </c>
      <c r="C78" s="788"/>
      <c r="D78" s="789"/>
      <c r="E78" s="789"/>
      <c r="F78" s="790">
        <f>+'Phase II Pro Forma'!F77</f>
        <v>0</v>
      </c>
      <c r="G78" s="790">
        <f>+'Phase II Pro Forma'!G77</f>
        <v>0</v>
      </c>
      <c r="H78" s="790">
        <f>+'Phase II Pro Forma'!H77</f>
        <v>0</v>
      </c>
      <c r="I78" s="790">
        <f>+'Phase II Pro Forma'!I77</f>
        <v>0.5</v>
      </c>
      <c r="J78" s="790">
        <f>+'Phase II Pro Forma'!J77</f>
        <v>1</v>
      </c>
      <c r="K78" s="790">
        <f>+'Phase II Pro Forma'!K77</f>
        <v>1</v>
      </c>
      <c r="L78" s="790">
        <f>+'Phase II Pro Forma'!L77</f>
        <v>1</v>
      </c>
      <c r="M78" s="790">
        <f>+'Phase II Pro Forma'!M77</f>
        <v>1</v>
      </c>
      <c r="N78" s="790">
        <f>+'Phase II Pro Forma'!N77</f>
        <v>1</v>
      </c>
      <c r="O78" s="790">
        <f>+'Phase II Pro Forma'!O77</f>
        <v>1</v>
      </c>
      <c r="P78" s="790">
        <f>+'Phase II Pro Forma'!P77</f>
        <v>1</v>
      </c>
      <c r="Q78" s="790">
        <f>+'Phase II Pro Forma'!Q77</f>
        <v>1</v>
      </c>
      <c r="R78" s="790">
        <f>+'Phase II Pro Forma'!R77</f>
        <v>1</v>
      </c>
      <c r="S78" s="790">
        <f>+'Phase II Pro Forma'!S77</f>
        <v>1</v>
      </c>
      <c r="T78" s="790">
        <f>+'Phase II Pro Forma'!T77</f>
        <v>1</v>
      </c>
      <c r="U78" s="790">
        <f>+'Phase II Pro Forma'!U77</f>
        <v>1</v>
      </c>
      <c r="V78" s="790">
        <f>+'Phase II Pro Forma'!V77</f>
        <v>1</v>
      </c>
      <c r="W78" s="790">
        <f>+'Phase II Pro Forma'!W77</f>
        <v>1</v>
      </c>
      <c r="X78" s="790">
        <f>+'Phase II Pro Forma'!X77</f>
        <v>1</v>
      </c>
      <c r="Y78" s="790">
        <f>+'Phase II Pro Forma'!Y77</f>
        <v>1</v>
      </c>
      <c r="Z78" s="790">
        <f>+'Phase II Pro Forma'!Z77</f>
        <v>1</v>
      </c>
    </row>
    <row r="79" spans="2:26" hidden="1" x14ac:dyDescent="0.2">
      <c r="B79" s="788"/>
      <c r="C79" s="788"/>
      <c r="D79" s="791"/>
      <c r="E79" s="791"/>
      <c r="F79" s="792"/>
      <c r="G79" s="792"/>
      <c r="H79" s="792"/>
      <c r="I79" s="792"/>
      <c r="J79" s="792"/>
      <c r="K79" s="792"/>
      <c r="L79" s="792"/>
      <c r="M79" s="792"/>
      <c r="N79" s="792"/>
      <c r="O79" s="792"/>
      <c r="P79" s="792"/>
      <c r="Q79" s="792"/>
      <c r="R79" s="792"/>
      <c r="S79" s="792"/>
      <c r="T79" s="792"/>
      <c r="U79" s="792"/>
      <c r="V79" s="792"/>
      <c r="W79" s="792"/>
      <c r="X79" s="792"/>
      <c r="Y79" s="792"/>
      <c r="Z79" s="792"/>
    </row>
    <row r="80" spans="2:26" hidden="1" x14ac:dyDescent="0.2">
      <c r="B80" s="788" t="s">
        <v>251</v>
      </c>
      <c r="C80" s="788"/>
      <c r="D80" s="789"/>
      <c r="E80" s="789"/>
      <c r="F80" s="790">
        <f>+'Phase II Pro Forma'!F79</f>
        <v>1</v>
      </c>
      <c r="G80" s="790">
        <f>+'Phase II Pro Forma'!G79</f>
        <v>1</v>
      </c>
      <c r="H80" s="790">
        <f>+'Phase II Pro Forma'!H79</f>
        <v>1</v>
      </c>
      <c r="I80" s="790">
        <f>+'Phase II Pro Forma'!I79</f>
        <v>1</v>
      </c>
      <c r="J80" s="790">
        <f>+'Phase II Pro Forma'!J79</f>
        <v>1</v>
      </c>
      <c r="K80" s="790">
        <f>+'Phase II Pro Forma'!K79</f>
        <v>1</v>
      </c>
      <c r="L80" s="790">
        <f>+'Phase II Pro Forma'!L79</f>
        <v>1.05</v>
      </c>
      <c r="M80" s="790">
        <f>+'Phase II Pro Forma'!M79</f>
        <v>1.05</v>
      </c>
      <c r="N80" s="790">
        <f>+'Phase II Pro Forma'!N79</f>
        <v>1.05</v>
      </c>
      <c r="O80" s="790">
        <f>+'Phase II Pro Forma'!O79</f>
        <v>1.05</v>
      </c>
      <c r="P80" s="790">
        <f>+'Phase II Pro Forma'!P79</f>
        <v>1.05</v>
      </c>
      <c r="Q80" s="790">
        <f>+'Phase II Pro Forma'!Q79</f>
        <v>1.1025</v>
      </c>
      <c r="R80" s="790">
        <f>+'Phase II Pro Forma'!R79</f>
        <v>1.1025</v>
      </c>
      <c r="S80" s="790">
        <f>+'Phase II Pro Forma'!S79</f>
        <v>1.1025</v>
      </c>
      <c r="T80" s="790">
        <f>+'Phase II Pro Forma'!T79</f>
        <v>1.1025</v>
      </c>
      <c r="U80" s="790">
        <f>+'Phase II Pro Forma'!U79</f>
        <v>1.1025</v>
      </c>
      <c r="V80" s="790">
        <f>+'Phase II Pro Forma'!V79</f>
        <v>1.1576250000000001</v>
      </c>
      <c r="W80" s="790">
        <f>+'Phase II Pro Forma'!W79</f>
        <v>1.1576250000000001</v>
      </c>
      <c r="X80" s="790">
        <f>+'Phase II Pro Forma'!X79</f>
        <v>1.1576250000000001</v>
      </c>
      <c r="Y80" s="790">
        <f>+'Phase II Pro Forma'!Y79</f>
        <v>1.1576250000000001</v>
      </c>
      <c r="Z80" s="790">
        <f>+'Phase II Pro Forma'!Z79</f>
        <v>1.1576250000000001</v>
      </c>
    </row>
    <row r="81" spans="2:26" hidden="1" x14ac:dyDescent="0.2">
      <c r="B81" s="788" t="s">
        <v>252</v>
      </c>
      <c r="C81" s="788"/>
      <c r="D81" s="789"/>
      <c r="E81" s="789"/>
      <c r="F81" s="790">
        <f>+'Phase II Pro Forma'!F80</f>
        <v>1</v>
      </c>
      <c r="G81" s="790">
        <f>+'Phase II Pro Forma'!G80</f>
        <v>1.03</v>
      </c>
      <c r="H81" s="790">
        <f>+'Phase II Pro Forma'!H80</f>
        <v>1.0609</v>
      </c>
      <c r="I81" s="790">
        <f>+'Phase II Pro Forma'!I80</f>
        <v>1.092727</v>
      </c>
      <c r="J81" s="790">
        <f>+'Phase II Pro Forma'!J80</f>
        <v>1.1255088100000001</v>
      </c>
      <c r="K81" s="790">
        <f>+'Phase II Pro Forma'!K80</f>
        <v>1.1592740743000001</v>
      </c>
      <c r="L81" s="790">
        <f>+'Phase II Pro Forma'!L80</f>
        <v>1.1940522965290001</v>
      </c>
      <c r="M81" s="790">
        <f>+'Phase II Pro Forma'!M80</f>
        <v>1.2298738654248702</v>
      </c>
      <c r="N81" s="790">
        <f>+'Phase II Pro Forma'!N80</f>
        <v>1.2667700813876164</v>
      </c>
      <c r="O81" s="790">
        <f>+'Phase II Pro Forma'!O80</f>
        <v>1.3047731838292449</v>
      </c>
      <c r="P81" s="790">
        <f>+'Phase II Pro Forma'!P80</f>
        <v>1.3439163793441222</v>
      </c>
      <c r="Q81" s="790">
        <f>+'Phase II Pro Forma'!Q80</f>
        <v>1.3842338707244459</v>
      </c>
      <c r="R81" s="790">
        <f>+'Phase II Pro Forma'!R80</f>
        <v>1.4257608868461793</v>
      </c>
      <c r="S81" s="790">
        <f>+'Phase II Pro Forma'!S80</f>
        <v>1.4685337134515648</v>
      </c>
      <c r="T81" s="790">
        <f>+'Phase II Pro Forma'!T80</f>
        <v>1.5125897248551119</v>
      </c>
      <c r="U81" s="790">
        <f>+'Phase II Pro Forma'!U80</f>
        <v>1.5579674166007653</v>
      </c>
      <c r="V81" s="790">
        <f>+'Phase II Pro Forma'!V80</f>
        <v>1.6047064390987884</v>
      </c>
      <c r="W81" s="790">
        <f>+'Phase II Pro Forma'!W80</f>
        <v>1.652847632271752</v>
      </c>
      <c r="X81" s="790">
        <f>+'Phase II Pro Forma'!X80</f>
        <v>1.7024330612399046</v>
      </c>
      <c r="Y81" s="790">
        <f>+'Phase II Pro Forma'!Y80</f>
        <v>1.7535060530771018</v>
      </c>
      <c r="Z81" s="790">
        <f>+'Phase II Pro Forma'!Z80</f>
        <v>1.806111234669415</v>
      </c>
    </row>
    <row r="82" spans="2:26" ht="5" customHeight="1" x14ac:dyDescent="0.2">
      <c r="B82" s="32"/>
      <c r="C82" s="32"/>
      <c r="D82" s="39"/>
      <c r="E82" s="39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2:26" x14ac:dyDescent="0.2">
      <c r="B83" s="32" t="s">
        <v>243</v>
      </c>
      <c r="C83" s="32"/>
      <c r="D83" s="39"/>
      <c r="E83" s="39"/>
      <c r="F83" s="48">
        <f>+'Phase II Pro Forma'!F82/1000000</f>
        <v>0</v>
      </c>
      <c r="G83" s="48">
        <f>+'Phase II Pro Forma'!G82/1000000</f>
        <v>0</v>
      </c>
      <c r="H83" s="48">
        <f>+'Phase II Pro Forma'!H82/1000000</f>
        <v>0</v>
      </c>
      <c r="I83" s="48">
        <f>+'Phase II Pro Forma'!I82/1000000</f>
        <v>0</v>
      </c>
      <c r="J83" s="48">
        <f>+'Phase II Pro Forma'!J82/1000000</f>
        <v>0</v>
      </c>
      <c r="K83" s="48">
        <f>+'Phase II Pro Forma'!K82/1000000</f>
        <v>0</v>
      </c>
      <c r="L83" s="48">
        <f>+'Phase II Pro Forma'!L82/1000000</f>
        <v>0</v>
      </c>
      <c r="M83" s="48">
        <f>+'Phase II Pro Forma'!M82/1000000</f>
        <v>0</v>
      </c>
      <c r="N83" s="48">
        <f>+'Phase II Pro Forma'!N82/1000000</f>
        <v>0</v>
      </c>
      <c r="O83" s="48">
        <f>+'Phase II Pro Forma'!O82/1000000</f>
        <v>0</v>
      </c>
      <c r="P83" s="48">
        <f>+'Phase II Pro Forma'!P82/1000000</f>
        <v>0</v>
      </c>
      <c r="Q83" s="48">
        <f>+'Phase II Pro Forma'!Q82/1000000</f>
        <v>0</v>
      </c>
      <c r="R83" s="48">
        <f>+'Phase II Pro Forma'!R82/1000000</f>
        <v>0</v>
      </c>
      <c r="S83" s="48">
        <f>+'Phase II Pro Forma'!S82/1000000</f>
        <v>0</v>
      </c>
      <c r="T83" s="48">
        <f>+'Phase II Pro Forma'!T82/1000000</f>
        <v>0</v>
      </c>
      <c r="U83" s="48">
        <f>+'Phase II Pro Forma'!U82/1000000</f>
        <v>0</v>
      </c>
      <c r="V83" s="48">
        <f>+'Phase II Pro Forma'!V82/1000000</f>
        <v>0</v>
      </c>
      <c r="W83" s="48">
        <f>+'Phase II Pro Forma'!W82/1000000</f>
        <v>0</v>
      </c>
      <c r="X83" s="48">
        <f>+'Phase II Pro Forma'!X82/1000000</f>
        <v>0</v>
      </c>
      <c r="Y83" s="48">
        <f>+'Phase II Pro Forma'!Y82/1000000</f>
        <v>0</v>
      </c>
      <c r="Z83" s="48">
        <f>+'Phase II Pro Forma'!Z82/1000000</f>
        <v>0</v>
      </c>
    </row>
    <row r="84" spans="2:26" x14ac:dyDescent="0.2">
      <c r="B84" s="32" t="s">
        <v>244</v>
      </c>
      <c r="C84" s="32"/>
      <c r="D84" s="39"/>
      <c r="E84" s="39"/>
      <c r="F84" s="771">
        <f>+'Phase II Pro Forma'!F83/1000000</f>
        <v>0</v>
      </c>
      <c r="G84" s="771">
        <f>+'Phase II Pro Forma'!G83/1000000</f>
        <v>0</v>
      </c>
      <c r="H84" s="771">
        <f>+'Phase II Pro Forma'!H83/1000000</f>
        <v>0</v>
      </c>
      <c r="I84" s="771">
        <f>+'Phase II Pro Forma'!I83/1000000</f>
        <v>0</v>
      </c>
      <c r="J84" s="771">
        <f>+'Phase II Pro Forma'!J83/1000000</f>
        <v>0</v>
      </c>
      <c r="K84" s="771">
        <f>+'Phase II Pro Forma'!K83/1000000</f>
        <v>0</v>
      </c>
      <c r="L84" s="771">
        <f>+'Phase II Pro Forma'!L83/1000000</f>
        <v>0</v>
      </c>
      <c r="M84" s="771">
        <f>+'Phase II Pro Forma'!M83/1000000</f>
        <v>0</v>
      </c>
      <c r="N84" s="771">
        <f>+'Phase II Pro Forma'!N83/1000000</f>
        <v>0</v>
      </c>
      <c r="O84" s="771">
        <f>+'Phase II Pro Forma'!O83/1000000</f>
        <v>0</v>
      </c>
      <c r="P84" s="771">
        <f>+'Phase II Pro Forma'!P83/1000000</f>
        <v>0</v>
      </c>
      <c r="Q84" s="771">
        <f>+'Phase II Pro Forma'!Q83/1000000</f>
        <v>0</v>
      </c>
      <c r="R84" s="771">
        <f>+'Phase II Pro Forma'!R83/1000000</f>
        <v>0</v>
      </c>
      <c r="S84" s="771">
        <f>+'Phase II Pro Forma'!S83/1000000</f>
        <v>0</v>
      </c>
      <c r="T84" s="771">
        <f>+'Phase II Pro Forma'!T83/1000000</f>
        <v>0</v>
      </c>
      <c r="U84" s="771">
        <f>+'Phase II Pro Forma'!U83/1000000</f>
        <v>0</v>
      </c>
      <c r="V84" s="771">
        <f>+'Phase II Pro Forma'!V83/1000000</f>
        <v>0</v>
      </c>
      <c r="W84" s="771">
        <f>+'Phase II Pro Forma'!W83/1000000</f>
        <v>0</v>
      </c>
      <c r="X84" s="771">
        <f>+'Phase II Pro Forma'!X83/1000000</f>
        <v>0</v>
      </c>
      <c r="Y84" s="771">
        <f>+'Phase II Pro Forma'!Y83/1000000</f>
        <v>0</v>
      </c>
      <c r="Z84" s="771">
        <f>+'Phase II Pro Forma'!Z83/1000000</f>
        <v>0</v>
      </c>
    </row>
    <row r="85" spans="2:26" x14ac:dyDescent="0.2">
      <c r="B85" s="32" t="s">
        <v>259</v>
      </c>
      <c r="C85" s="32"/>
      <c r="D85" s="39"/>
      <c r="E85" s="39"/>
      <c r="F85" s="772">
        <f ca="1">+'Phase II Pro Forma'!F84/1000000</f>
        <v>0</v>
      </c>
      <c r="G85" s="772">
        <f ca="1">+'Phase II Pro Forma'!G84/1000000</f>
        <v>0</v>
      </c>
      <c r="H85" s="772">
        <f ca="1">+'Phase II Pro Forma'!H84/1000000</f>
        <v>0</v>
      </c>
      <c r="I85" s="772">
        <f ca="1">+'Phase II Pro Forma'!I84/1000000</f>
        <v>3.9790560977999995E-10</v>
      </c>
      <c r="J85" s="772">
        <f ca="1">+'Phase II Pro Forma'!J84/1000000</f>
        <v>8.1968555614680004E-10</v>
      </c>
      <c r="K85" s="772">
        <f ca="1">+'Phase II Pro Forma'!K84/1000000</f>
        <v>8.4427612283120399E-10</v>
      </c>
      <c r="L85" s="772">
        <f ca="1">+'Phase II Pro Forma'!L84/1000000</f>
        <v>8.6960440651614023E-10</v>
      </c>
      <c r="M85" s="772">
        <f ca="1">+'Phase II Pro Forma'!M84/1000000</f>
        <v>8.956925387116245E-10</v>
      </c>
      <c r="N85" s="772">
        <f ca="1">+'Phase II Pro Forma'!N84/1000000</f>
        <v>9.2256331487297323E-10</v>
      </c>
      <c r="O85" s="772">
        <f ca="1">+'Phase II Pro Forma'!O84/1000000</f>
        <v>9.5024021431916237E-10</v>
      </c>
      <c r="P85" s="772">
        <f ca="1">+'Phase II Pro Forma'!P84/1000000</f>
        <v>9.7874742074873746E-10</v>
      </c>
      <c r="Q85" s="772">
        <f ca="1">+'Phase II Pro Forma'!Q84/1000000</f>
        <v>1.0081098433711993E-9</v>
      </c>
      <c r="R85" s="772">
        <f ca="1">+'Phase II Pro Forma'!R84/1000000</f>
        <v>1.0383531386723354E-9</v>
      </c>
      <c r="S85" s="772">
        <f ca="1">+'Phase II Pro Forma'!S84/1000000</f>
        <v>1.0695037328325056E-9</v>
      </c>
      <c r="T85" s="772">
        <f ca="1">+'Phase II Pro Forma'!T84/1000000</f>
        <v>1.1015888448174808E-9</v>
      </c>
      <c r="U85" s="772">
        <f ca="1">+'Phase II Pro Forma'!U84/1000000</f>
        <v>1.1346365101620053E-9</v>
      </c>
      <c r="V85" s="772">
        <f ca="1">+'Phase II Pro Forma'!V84/1000000</f>
        <v>1.1686756054668656E-9</v>
      </c>
      <c r="W85" s="772">
        <f ca="1">+'Phase II Pro Forma'!W84/1000000</f>
        <v>1.2037358736308715E-9</v>
      </c>
      <c r="X85" s="772">
        <f ca="1">+'Phase II Pro Forma'!X84/1000000</f>
        <v>1.2398479498397976E-9</v>
      </c>
      <c r="Y85" s="772">
        <f ca="1">+'Phase II Pro Forma'!Y84/1000000</f>
        <v>1.2770433883349917E-9</v>
      </c>
      <c r="Z85" s="772">
        <f ca="1">+'Phase II Pro Forma'!Z84/1000000</f>
        <v>1.3153546899850415E-9</v>
      </c>
    </row>
    <row r="86" spans="2:26" x14ac:dyDescent="0.2">
      <c r="B86" s="136" t="s">
        <v>253</v>
      </c>
      <c r="C86" s="136"/>
      <c r="D86" s="136"/>
      <c r="E86" s="136"/>
      <c r="F86" s="773">
        <f ca="1">+'Phase II Pro Forma'!F85/1000000</f>
        <v>0</v>
      </c>
      <c r="G86" s="773">
        <f ca="1">+'Phase II Pro Forma'!G85/1000000</f>
        <v>0</v>
      </c>
      <c r="H86" s="773">
        <f ca="1">+'Phase II Pro Forma'!H85/1000000</f>
        <v>0</v>
      </c>
      <c r="I86" s="773">
        <f ca="1">+'Phase II Pro Forma'!I85/1000000</f>
        <v>3.9790560977999995E-10</v>
      </c>
      <c r="J86" s="773">
        <f ca="1">+'Phase II Pro Forma'!J85/1000000</f>
        <v>8.1968555614680004E-10</v>
      </c>
      <c r="K86" s="773">
        <f ca="1">+'Phase II Pro Forma'!K85/1000000</f>
        <v>8.4427612283120399E-10</v>
      </c>
      <c r="L86" s="773">
        <f ca="1">+'Phase II Pro Forma'!L85/1000000</f>
        <v>8.6960440651614023E-10</v>
      </c>
      <c r="M86" s="773">
        <f ca="1">+'Phase II Pro Forma'!M85/1000000</f>
        <v>8.956925387116245E-10</v>
      </c>
      <c r="N86" s="773">
        <f ca="1">+'Phase II Pro Forma'!N85/1000000</f>
        <v>9.2256331487297323E-10</v>
      </c>
      <c r="O86" s="773">
        <f ca="1">+'Phase II Pro Forma'!O85/1000000</f>
        <v>9.5024021431916237E-10</v>
      </c>
      <c r="P86" s="773">
        <f ca="1">+'Phase II Pro Forma'!P85/1000000</f>
        <v>9.7874742074873746E-10</v>
      </c>
      <c r="Q86" s="773">
        <f ca="1">+'Phase II Pro Forma'!Q85/1000000</f>
        <v>1.0081098433711993E-9</v>
      </c>
      <c r="R86" s="773">
        <f ca="1">+'Phase II Pro Forma'!R85/1000000</f>
        <v>1.0383531386723354E-9</v>
      </c>
      <c r="S86" s="773">
        <f ca="1">+'Phase II Pro Forma'!S85/1000000</f>
        <v>1.0695037328325056E-9</v>
      </c>
      <c r="T86" s="773">
        <f ca="1">+'Phase II Pro Forma'!T85/1000000</f>
        <v>1.1015888448174808E-9</v>
      </c>
      <c r="U86" s="773">
        <f ca="1">+'Phase II Pro Forma'!U85/1000000</f>
        <v>1.1346365101620053E-9</v>
      </c>
      <c r="V86" s="773">
        <f ca="1">+'Phase II Pro Forma'!V85/1000000</f>
        <v>1.1686756054668656E-9</v>
      </c>
      <c r="W86" s="773">
        <f ca="1">+'Phase II Pro Forma'!W85/1000000</f>
        <v>1.2037358736308715E-9</v>
      </c>
      <c r="X86" s="773">
        <f ca="1">+'Phase II Pro Forma'!X85/1000000</f>
        <v>1.2398479498397976E-9</v>
      </c>
      <c r="Y86" s="773">
        <f ca="1">+'Phase II Pro Forma'!Y85/1000000</f>
        <v>1.2770433883349917E-9</v>
      </c>
      <c r="Z86" s="773">
        <f ca="1">+'Phase II Pro Forma'!Z85/1000000</f>
        <v>1.3153546899850415E-9</v>
      </c>
    </row>
    <row r="87" spans="2:26" ht="5" customHeight="1" x14ac:dyDescent="0.2"/>
    <row r="88" spans="2:26" x14ac:dyDescent="0.2">
      <c r="B88" s="32" t="s">
        <v>389</v>
      </c>
      <c r="F88" s="48">
        <f>+'Phase II Pro Forma'!F87/1000000</f>
        <v>0</v>
      </c>
      <c r="G88" s="48">
        <f>+'Phase II Pro Forma'!G87/1000000</f>
        <v>0</v>
      </c>
      <c r="H88" s="48">
        <f>+'Phase II Pro Forma'!H87/1000000</f>
        <v>0</v>
      </c>
      <c r="I88" s="48">
        <f>+'Phase II Pro Forma'!I87/1000000</f>
        <v>3.9790560977999995E-10</v>
      </c>
      <c r="J88" s="48">
        <f>+'Phase II Pro Forma'!J87/1000000</f>
        <v>8.1968555614680004E-10</v>
      </c>
      <c r="K88" s="48">
        <f>+'Phase II Pro Forma'!K87/1000000</f>
        <v>8.4427612283120399E-10</v>
      </c>
      <c r="L88" s="48">
        <f>+'Phase II Pro Forma'!L87/1000000</f>
        <v>8.6960440651614023E-10</v>
      </c>
      <c r="M88" s="48">
        <f>+'Phase II Pro Forma'!M87/1000000</f>
        <v>8.956925387116245E-10</v>
      </c>
      <c r="N88" s="48">
        <f>+'Phase II Pro Forma'!N87/1000000</f>
        <v>9.2256331487297323E-10</v>
      </c>
      <c r="O88" s="48">
        <f>+'Phase II Pro Forma'!O87/1000000</f>
        <v>9.5024021431916237E-10</v>
      </c>
      <c r="P88" s="48">
        <f>+'Phase II Pro Forma'!P87/1000000</f>
        <v>9.7874742074873746E-10</v>
      </c>
      <c r="Q88" s="48">
        <f>+'Phase II Pro Forma'!Q87/1000000</f>
        <v>1.0081098433711993E-9</v>
      </c>
      <c r="R88" s="48">
        <f>+'Phase II Pro Forma'!R87/1000000</f>
        <v>1.0383531386723354E-9</v>
      </c>
      <c r="S88" s="48">
        <f>+'Phase II Pro Forma'!S87/1000000</f>
        <v>1.0695037328325056E-9</v>
      </c>
      <c r="T88" s="48">
        <f>+'Phase II Pro Forma'!T87/1000000</f>
        <v>1.1015888448174808E-9</v>
      </c>
      <c r="U88" s="48">
        <f>+'Phase II Pro Forma'!U87/1000000</f>
        <v>1.1346365101620053E-9</v>
      </c>
      <c r="V88" s="48">
        <f>+'Phase II Pro Forma'!V87/1000000</f>
        <v>1.1686756054668656E-9</v>
      </c>
      <c r="W88" s="48">
        <f>+'Phase II Pro Forma'!W87/1000000</f>
        <v>1.2037358736308715E-9</v>
      </c>
      <c r="X88" s="48">
        <f>+'Phase II Pro Forma'!X87/1000000</f>
        <v>1.2398479498397976E-9</v>
      </c>
      <c r="Y88" s="48">
        <f>+'Phase II Pro Forma'!Y87/1000000</f>
        <v>1.2770433883349917E-9</v>
      </c>
      <c r="Z88" s="48">
        <f>+'Phase II Pro Forma'!Z87/1000000</f>
        <v>1.3153546899850415E-9</v>
      </c>
    </row>
    <row r="89" spans="2:26" x14ac:dyDescent="0.2">
      <c r="B89" s="32" t="s">
        <v>325</v>
      </c>
      <c r="F89" s="772">
        <f ca="1">+'Phase II Pro Forma'!F88/1000000</f>
        <v>0</v>
      </c>
      <c r="G89" s="772">
        <f ca="1">+'Phase II Pro Forma'!G88/1000000</f>
        <v>0</v>
      </c>
      <c r="H89" s="772">
        <f ca="1">+'Phase II Pro Forma'!H88/1000000</f>
        <v>0</v>
      </c>
      <c r="I89" s="772">
        <f ca="1">+'Phase II Pro Forma'!I88/1000000</f>
        <v>0</v>
      </c>
      <c r="J89" s="772">
        <f ca="1">+'Phase II Pro Forma'!J88/1000000</f>
        <v>0</v>
      </c>
      <c r="K89" s="772">
        <f ca="1">+'Phase II Pro Forma'!K88/1000000</f>
        <v>0</v>
      </c>
      <c r="L89" s="772">
        <f ca="1">+'Phase II Pro Forma'!L88/1000000</f>
        <v>0</v>
      </c>
      <c r="M89" s="772">
        <f ca="1">+'Phase II Pro Forma'!M88/1000000</f>
        <v>0</v>
      </c>
      <c r="N89" s="772">
        <f ca="1">+'Phase II Pro Forma'!N88/1000000</f>
        <v>0</v>
      </c>
      <c r="O89" s="772">
        <f ca="1">+'Phase II Pro Forma'!O88/1000000</f>
        <v>0</v>
      </c>
      <c r="P89" s="772">
        <f ca="1">+'Phase II Pro Forma'!P88/1000000</f>
        <v>0</v>
      </c>
      <c r="Q89" s="772">
        <f ca="1">+'Phase II Pro Forma'!Q88/1000000</f>
        <v>0</v>
      </c>
      <c r="R89" s="772">
        <f ca="1">+'Phase II Pro Forma'!R88/1000000</f>
        <v>0</v>
      </c>
      <c r="S89" s="772">
        <f ca="1">+'Phase II Pro Forma'!S88/1000000</f>
        <v>0</v>
      </c>
      <c r="T89" s="772">
        <f ca="1">+'Phase II Pro Forma'!T88/1000000</f>
        <v>0</v>
      </c>
      <c r="U89" s="772">
        <f ca="1">+'Phase II Pro Forma'!U88/1000000</f>
        <v>0</v>
      </c>
      <c r="V89" s="772">
        <f ca="1">+'Phase II Pro Forma'!V88/1000000</f>
        <v>0</v>
      </c>
      <c r="W89" s="772">
        <f ca="1">+'Phase II Pro Forma'!W88/1000000</f>
        <v>0</v>
      </c>
      <c r="X89" s="772">
        <f ca="1">+'Phase II Pro Forma'!X88/1000000</f>
        <v>0</v>
      </c>
      <c r="Y89" s="772">
        <f ca="1">+'Phase II Pro Forma'!Y88/1000000</f>
        <v>0</v>
      </c>
      <c r="Z89" s="772">
        <f ca="1">+'Phase II Pro Forma'!Z88/1000000</f>
        <v>0</v>
      </c>
    </row>
    <row r="90" spans="2:26" x14ac:dyDescent="0.2">
      <c r="B90" s="136" t="s">
        <v>249</v>
      </c>
      <c r="C90" s="136"/>
      <c r="D90" s="136"/>
      <c r="E90" s="136"/>
      <c r="F90" s="773">
        <f ca="1">+'Phase II Pro Forma'!F89/1000000</f>
        <v>0</v>
      </c>
      <c r="G90" s="773">
        <f ca="1">+'Phase II Pro Forma'!G89/1000000</f>
        <v>0</v>
      </c>
      <c r="H90" s="773">
        <f ca="1">+'Phase II Pro Forma'!H89/1000000</f>
        <v>0</v>
      </c>
      <c r="I90" s="773">
        <f ca="1">+'Phase II Pro Forma'!I89/1000000</f>
        <v>3.9790560977999995E-10</v>
      </c>
      <c r="J90" s="773">
        <f ca="1">+'Phase II Pro Forma'!J89/1000000</f>
        <v>8.1968555614680004E-10</v>
      </c>
      <c r="K90" s="773">
        <f ca="1">+'Phase II Pro Forma'!K89/1000000</f>
        <v>8.4427612283120399E-10</v>
      </c>
      <c r="L90" s="773">
        <f ca="1">+'Phase II Pro Forma'!L89/1000000</f>
        <v>8.6960440651614023E-10</v>
      </c>
      <c r="M90" s="773">
        <f ca="1">+'Phase II Pro Forma'!M89/1000000</f>
        <v>8.956925387116245E-10</v>
      </c>
      <c r="N90" s="773">
        <f ca="1">+'Phase II Pro Forma'!N89/1000000</f>
        <v>9.2256331487297323E-10</v>
      </c>
      <c r="O90" s="773">
        <f ca="1">+'Phase II Pro Forma'!O89/1000000</f>
        <v>9.5024021431916237E-10</v>
      </c>
      <c r="P90" s="773">
        <f ca="1">+'Phase II Pro Forma'!P89/1000000</f>
        <v>9.7874742074873746E-10</v>
      </c>
      <c r="Q90" s="773">
        <f ca="1">+'Phase II Pro Forma'!Q89/1000000</f>
        <v>1.0081098433711993E-9</v>
      </c>
      <c r="R90" s="773">
        <f ca="1">+'Phase II Pro Forma'!R89/1000000</f>
        <v>1.0383531386723354E-9</v>
      </c>
      <c r="S90" s="773">
        <f ca="1">+'Phase II Pro Forma'!S89/1000000</f>
        <v>1.0695037328325056E-9</v>
      </c>
      <c r="T90" s="773">
        <f ca="1">+'Phase II Pro Forma'!T89/1000000</f>
        <v>1.1015888448174808E-9</v>
      </c>
      <c r="U90" s="773">
        <f ca="1">+'Phase II Pro Forma'!U89/1000000</f>
        <v>1.1346365101620053E-9</v>
      </c>
      <c r="V90" s="773">
        <f ca="1">+'Phase II Pro Forma'!V89/1000000</f>
        <v>1.1686756054668656E-9</v>
      </c>
      <c r="W90" s="773">
        <f ca="1">+'Phase II Pro Forma'!W89/1000000</f>
        <v>1.2037358736308715E-9</v>
      </c>
      <c r="X90" s="773">
        <f ca="1">+'Phase II Pro Forma'!X89/1000000</f>
        <v>1.2398479498397976E-9</v>
      </c>
      <c r="Y90" s="773">
        <f ca="1">+'Phase II Pro Forma'!Y89/1000000</f>
        <v>1.2770433883349917E-9</v>
      </c>
      <c r="Z90" s="773">
        <f ca="1">+'Phase II Pro Forma'!Z89/1000000</f>
        <v>1.3153546899850415E-9</v>
      </c>
    </row>
    <row r="91" spans="2:26" ht="5" customHeight="1" x14ac:dyDescent="0.2">
      <c r="B91" s="32"/>
    </row>
    <row r="92" spans="2:26" x14ac:dyDescent="0.2">
      <c r="B92" s="777" t="s">
        <v>248</v>
      </c>
      <c r="C92" s="777"/>
      <c r="D92" s="777"/>
      <c r="E92" s="777"/>
      <c r="F92" s="778">
        <f ca="1">+F86-F90</f>
        <v>0</v>
      </c>
      <c r="G92" s="778">
        <f t="shared" ref="G92:Z92" ca="1" si="25">+G86-G90</f>
        <v>0</v>
      </c>
      <c r="H92" s="778">
        <f t="shared" ca="1" si="25"/>
        <v>0</v>
      </c>
      <c r="I92" s="778">
        <f t="shared" ca="1" si="25"/>
        <v>0</v>
      </c>
      <c r="J92" s="778">
        <f t="shared" ca="1" si="25"/>
        <v>0</v>
      </c>
      <c r="K92" s="778">
        <f t="shared" ca="1" si="25"/>
        <v>0</v>
      </c>
      <c r="L92" s="778">
        <f t="shared" ca="1" si="25"/>
        <v>0</v>
      </c>
      <c r="M92" s="778">
        <f t="shared" ca="1" si="25"/>
        <v>0</v>
      </c>
      <c r="N92" s="778">
        <f t="shared" ca="1" si="25"/>
        <v>0</v>
      </c>
      <c r="O92" s="778">
        <f t="shared" ca="1" si="25"/>
        <v>0</v>
      </c>
      <c r="P92" s="778">
        <f t="shared" ca="1" si="25"/>
        <v>0</v>
      </c>
      <c r="Q92" s="778">
        <f t="shared" ca="1" si="25"/>
        <v>0</v>
      </c>
      <c r="R92" s="778">
        <f t="shared" ca="1" si="25"/>
        <v>0</v>
      </c>
      <c r="S92" s="778">
        <f t="shared" ca="1" si="25"/>
        <v>0</v>
      </c>
      <c r="T92" s="778">
        <f t="shared" ca="1" si="25"/>
        <v>0</v>
      </c>
      <c r="U92" s="778">
        <f t="shared" ca="1" si="25"/>
        <v>0</v>
      </c>
      <c r="V92" s="778">
        <f t="shared" ca="1" si="25"/>
        <v>0</v>
      </c>
      <c r="W92" s="778">
        <f t="shared" ca="1" si="25"/>
        <v>0</v>
      </c>
      <c r="X92" s="778">
        <f t="shared" ca="1" si="25"/>
        <v>0</v>
      </c>
      <c r="Y92" s="778">
        <f t="shared" ca="1" si="25"/>
        <v>0</v>
      </c>
      <c r="Z92" s="778">
        <f t="shared" ca="1" si="25"/>
        <v>0</v>
      </c>
    </row>
    <row r="93" spans="2:26" x14ac:dyDescent="0.2">
      <c r="B93" s="779" t="s">
        <v>254</v>
      </c>
      <c r="C93" s="780"/>
      <c r="D93" s="780"/>
      <c r="E93" s="780"/>
      <c r="F93" s="781" t="str">
        <f ca="1">+IFERROR(F92/F86,"")</f>
        <v/>
      </c>
      <c r="G93" s="781" t="str">
        <f t="shared" ref="G93:Z93" ca="1" si="26">+IFERROR(G92/G86,"")</f>
        <v/>
      </c>
      <c r="H93" s="781" t="str">
        <f t="shared" ca="1" si="26"/>
        <v/>
      </c>
      <c r="I93" s="782">
        <f t="shared" ca="1" si="26"/>
        <v>0</v>
      </c>
      <c r="J93" s="782">
        <f t="shared" ca="1" si="26"/>
        <v>0</v>
      </c>
      <c r="K93" s="782">
        <f t="shared" ca="1" si="26"/>
        <v>0</v>
      </c>
      <c r="L93" s="782">
        <f t="shared" ca="1" si="26"/>
        <v>0</v>
      </c>
      <c r="M93" s="782">
        <f t="shared" ca="1" si="26"/>
        <v>0</v>
      </c>
      <c r="N93" s="782">
        <f t="shared" ca="1" si="26"/>
        <v>0</v>
      </c>
      <c r="O93" s="782">
        <f t="shared" ca="1" si="26"/>
        <v>0</v>
      </c>
      <c r="P93" s="782">
        <f t="shared" ca="1" si="26"/>
        <v>0</v>
      </c>
      <c r="Q93" s="782">
        <f t="shared" ca="1" si="26"/>
        <v>0</v>
      </c>
      <c r="R93" s="782">
        <f t="shared" ca="1" si="26"/>
        <v>0</v>
      </c>
      <c r="S93" s="782">
        <f t="shared" ca="1" si="26"/>
        <v>0</v>
      </c>
      <c r="T93" s="782">
        <f t="shared" ca="1" si="26"/>
        <v>0</v>
      </c>
      <c r="U93" s="782">
        <f t="shared" ca="1" si="26"/>
        <v>0</v>
      </c>
      <c r="V93" s="782">
        <f t="shared" ca="1" si="26"/>
        <v>0</v>
      </c>
      <c r="W93" s="782">
        <f t="shared" ca="1" si="26"/>
        <v>0</v>
      </c>
      <c r="X93" s="782">
        <f t="shared" ca="1" si="26"/>
        <v>0</v>
      </c>
      <c r="Y93" s="782">
        <f t="shared" ca="1" si="26"/>
        <v>0</v>
      </c>
      <c r="Z93" s="782">
        <f t="shared" ca="1" si="26"/>
        <v>0</v>
      </c>
    </row>
    <row r="94" spans="2:26" x14ac:dyDescent="0.2">
      <c r="B94" s="779" t="s">
        <v>188</v>
      </c>
      <c r="C94" s="780"/>
      <c r="D94" s="780"/>
      <c r="E94" s="780"/>
      <c r="F94" s="783">
        <f ca="1">+'Phase II Pro Forma'!F93/1000000</f>
        <v>0</v>
      </c>
      <c r="G94" s="783">
        <f ca="1">+'Phase II Pro Forma'!G93/1000000</f>
        <v>0</v>
      </c>
      <c r="H94" s="783">
        <f ca="1">+'Phase II Pro Forma'!H93/1000000</f>
        <v>0</v>
      </c>
      <c r="I94" s="783">
        <f ca="1">+'Phase II Pro Forma'!I93/1000000</f>
        <v>0</v>
      </c>
      <c r="J94" s="783">
        <f ca="1">+'Phase II Pro Forma'!J93/1000000</f>
        <v>0</v>
      </c>
      <c r="K94" s="783">
        <f ca="1">+'Phase II Pro Forma'!K93/1000000</f>
        <v>0</v>
      </c>
      <c r="L94" s="783">
        <f ca="1">+'Phase II Pro Forma'!L93/1000000</f>
        <v>0</v>
      </c>
      <c r="M94" s="783">
        <f ca="1">+'Phase II Pro Forma'!M93/1000000</f>
        <v>0</v>
      </c>
      <c r="N94" s="783">
        <f ca="1">+'Phase II Pro Forma'!N93/1000000</f>
        <v>0</v>
      </c>
      <c r="O94" s="783">
        <f ca="1">+'Phase II Pro Forma'!O93/1000000</f>
        <v>0</v>
      </c>
      <c r="P94" s="783">
        <f ca="1">+'Phase II Pro Forma'!P93/1000000</f>
        <v>0</v>
      </c>
      <c r="Q94" s="783">
        <f ca="1">+'Phase II Pro Forma'!Q93/1000000</f>
        <v>0</v>
      </c>
      <c r="R94" s="783">
        <f ca="1">+'Phase II Pro Forma'!R93/1000000</f>
        <v>0</v>
      </c>
      <c r="S94" s="783">
        <f ca="1">+'Phase II Pro Forma'!S93/1000000</f>
        <v>0</v>
      </c>
      <c r="T94" s="783">
        <f ca="1">+'Phase II Pro Forma'!T93/1000000</f>
        <v>0</v>
      </c>
      <c r="U94" s="783">
        <f ca="1">+'Phase II Pro Forma'!U93/1000000</f>
        <v>0</v>
      </c>
      <c r="V94" s="783">
        <f ca="1">+'Phase II Pro Forma'!V93/1000000</f>
        <v>0</v>
      </c>
      <c r="W94" s="783">
        <f ca="1">+'Phase II Pro Forma'!W93/1000000</f>
        <v>0</v>
      </c>
      <c r="X94" s="783">
        <f ca="1">+'Phase II Pro Forma'!X93/1000000</f>
        <v>0</v>
      </c>
      <c r="Y94" s="783">
        <f ca="1">+'Phase II Pro Forma'!Y93/1000000</f>
        <v>0</v>
      </c>
      <c r="Z94" s="783">
        <f ca="1">+'Phase II Pro Forma'!Z93/1000000</f>
        <v>0</v>
      </c>
    </row>
    <row r="95" spans="2:26" ht="5" customHeight="1" x14ac:dyDescent="0.2"/>
    <row r="96" spans="2:26" x14ac:dyDescent="0.2">
      <c r="B96" s="147" t="s">
        <v>146</v>
      </c>
      <c r="C96" s="148"/>
      <c r="D96" s="148"/>
      <c r="E96" s="148"/>
      <c r="F96" s="776">
        <f>+F75</f>
        <v>44926</v>
      </c>
      <c r="G96" s="776">
        <f t="shared" ref="G96:Z96" si="27">+G75</f>
        <v>45291</v>
      </c>
      <c r="H96" s="776">
        <f t="shared" si="27"/>
        <v>45657</v>
      </c>
      <c r="I96" s="776">
        <f t="shared" si="27"/>
        <v>46022</v>
      </c>
      <c r="J96" s="776">
        <f t="shared" si="27"/>
        <v>46387</v>
      </c>
      <c r="K96" s="776">
        <f t="shared" si="27"/>
        <v>46752</v>
      </c>
      <c r="L96" s="776">
        <f t="shared" si="27"/>
        <v>47118</v>
      </c>
      <c r="M96" s="776">
        <f t="shared" si="27"/>
        <v>47483</v>
      </c>
      <c r="N96" s="776">
        <f t="shared" si="27"/>
        <v>47848</v>
      </c>
      <c r="O96" s="776">
        <f t="shared" si="27"/>
        <v>48213</v>
      </c>
      <c r="P96" s="776">
        <f t="shared" si="27"/>
        <v>48579</v>
      </c>
      <c r="Q96" s="776">
        <f t="shared" si="27"/>
        <v>48944</v>
      </c>
      <c r="R96" s="776">
        <f t="shared" si="27"/>
        <v>49309</v>
      </c>
      <c r="S96" s="776">
        <f t="shared" si="27"/>
        <v>49674</v>
      </c>
      <c r="T96" s="776">
        <f t="shared" si="27"/>
        <v>50040</v>
      </c>
      <c r="U96" s="776">
        <f t="shared" si="27"/>
        <v>50405</v>
      </c>
      <c r="V96" s="776">
        <f t="shared" si="27"/>
        <v>50770</v>
      </c>
      <c r="W96" s="776">
        <f t="shared" si="27"/>
        <v>51135</v>
      </c>
      <c r="X96" s="776">
        <f t="shared" si="27"/>
        <v>51501</v>
      </c>
      <c r="Y96" s="776">
        <f t="shared" si="27"/>
        <v>51866</v>
      </c>
      <c r="Z96" s="776">
        <f t="shared" si="27"/>
        <v>52231</v>
      </c>
    </row>
    <row r="97" spans="2:26" hidden="1" x14ac:dyDescent="0.2">
      <c r="B97" s="788" t="s">
        <v>245</v>
      </c>
      <c r="C97" s="788"/>
      <c r="D97" s="791"/>
      <c r="E97" s="791"/>
      <c r="F97" s="789">
        <f>+'Phase II Pro Forma'!F96</f>
        <v>0</v>
      </c>
      <c r="G97" s="789">
        <f>+'Phase II Pro Forma'!G96</f>
        <v>0</v>
      </c>
      <c r="H97" s="789">
        <f>+'Phase II Pro Forma'!H96</f>
        <v>0</v>
      </c>
      <c r="I97" s="789">
        <f>+'Phase II Pro Forma'!I96</f>
        <v>67468.5</v>
      </c>
      <c r="J97" s="789">
        <f>+'Phase II Pro Forma'!J96</f>
        <v>67468.5</v>
      </c>
      <c r="K97" s="789">
        <f>+'Phase II Pro Forma'!K96</f>
        <v>0</v>
      </c>
      <c r="L97" s="789">
        <f>+'Phase II Pro Forma'!L96</f>
        <v>0</v>
      </c>
      <c r="M97" s="789">
        <f>+'Phase II Pro Forma'!M96</f>
        <v>0</v>
      </c>
      <c r="N97" s="789">
        <f>+'Phase II Pro Forma'!N96</f>
        <v>0</v>
      </c>
      <c r="O97" s="789">
        <f>+'Phase II Pro Forma'!O96</f>
        <v>0</v>
      </c>
      <c r="P97" s="789">
        <f>+'Phase II Pro Forma'!P96</f>
        <v>0</v>
      </c>
      <c r="Q97" s="789">
        <f>+'Phase II Pro Forma'!Q96</f>
        <v>0</v>
      </c>
      <c r="R97" s="789">
        <f>+'Phase II Pro Forma'!R96</f>
        <v>0</v>
      </c>
      <c r="S97" s="789">
        <f>+'Phase II Pro Forma'!S96</f>
        <v>0</v>
      </c>
      <c r="T97" s="789">
        <f>+'Phase II Pro Forma'!T96</f>
        <v>0</v>
      </c>
      <c r="U97" s="789">
        <f>+'Phase II Pro Forma'!U96</f>
        <v>0</v>
      </c>
      <c r="V97" s="789">
        <f>+'Phase II Pro Forma'!V96</f>
        <v>0</v>
      </c>
      <c r="W97" s="789">
        <f>+'Phase II Pro Forma'!W96</f>
        <v>0</v>
      </c>
      <c r="X97" s="789">
        <f>+'Phase II Pro Forma'!X96</f>
        <v>0</v>
      </c>
      <c r="Y97" s="789">
        <f>+'Phase II Pro Forma'!Y96</f>
        <v>0</v>
      </c>
      <c r="Z97" s="789">
        <f>+'Phase II Pro Forma'!Z96</f>
        <v>0</v>
      </c>
    </row>
    <row r="98" spans="2:26" x14ac:dyDescent="0.2">
      <c r="B98" s="32" t="s">
        <v>784</v>
      </c>
      <c r="C98" s="32"/>
      <c r="D98" s="41">
        <v>0</v>
      </c>
      <c r="E98" s="41"/>
      <c r="F98" s="41">
        <f>+D98+F97</f>
        <v>0</v>
      </c>
      <c r="G98" s="41">
        <f t="shared" ref="G98:Z98" si="28">+F98+G97</f>
        <v>0</v>
      </c>
      <c r="H98" s="41">
        <f t="shared" si="28"/>
        <v>0</v>
      </c>
      <c r="I98" s="41">
        <f t="shared" si="28"/>
        <v>67468.5</v>
      </c>
      <c r="J98" s="41">
        <f t="shared" si="28"/>
        <v>134937</v>
      </c>
      <c r="K98" s="41">
        <f t="shared" si="28"/>
        <v>134937</v>
      </c>
      <c r="L98" s="41">
        <f t="shared" si="28"/>
        <v>134937</v>
      </c>
      <c r="M98" s="41">
        <f t="shared" si="28"/>
        <v>134937</v>
      </c>
      <c r="N98" s="41">
        <f t="shared" si="28"/>
        <v>134937</v>
      </c>
      <c r="O98" s="41">
        <f t="shared" si="28"/>
        <v>134937</v>
      </c>
      <c r="P98" s="41">
        <f t="shared" si="28"/>
        <v>134937</v>
      </c>
      <c r="Q98" s="41">
        <f t="shared" si="28"/>
        <v>134937</v>
      </c>
      <c r="R98" s="41">
        <f t="shared" si="28"/>
        <v>134937</v>
      </c>
      <c r="S98" s="41">
        <f t="shared" si="28"/>
        <v>134937</v>
      </c>
      <c r="T98" s="41">
        <f t="shared" si="28"/>
        <v>134937</v>
      </c>
      <c r="U98" s="41">
        <f t="shared" si="28"/>
        <v>134937</v>
      </c>
      <c r="V98" s="41">
        <f t="shared" si="28"/>
        <v>134937</v>
      </c>
      <c r="W98" s="41">
        <f t="shared" si="28"/>
        <v>134937</v>
      </c>
      <c r="X98" s="41">
        <f t="shared" si="28"/>
        <v>134937</v>
      </c>
      <c r="Y98" s="41">
        <f t="shared" si="28"/>
        <v>134937</v>
      </c>
      <c r="Z98" s="41">
        <f t="shared" si="28"/>
        <v>134937</v>
      </c>
    </row>
    <row r="99" spans="2:26" hidden="1" x14ac:dyDescent="0.2">
      <c r="B99" s="788" t="s">
        <v>301</v>
      </c>
      <c r="C99" s="788"/>
      <c r="D99" s="789"/>
      <c r="E99" s="789"/>
      <c r="F99" s="790">
        <f>+'Phase II Pro Forma'!F98</f>
        <v>0</v>
      </c>
      <c r="G99" s="790">
        <f>+'Phase II Pro Forma'!G98</f>
        <v>0</v>
      </c>
      <c r="H99" s="790">
        <f>+'Phase II Pro Forma'!H98</f>
        <v>0</v>
      </c>
      <c r="I99" s="790">
        <f>+'Phase II Pro Forma'!I98</f>
        <v>0.5</v>
      </c>
      <c r="J99" s="790">
        <f>+'Phase II Pro Forma'!J98</f>
        <v>1</v>
      </c>
      <c r="K99" s="790">
        <f>+'Phase II Pro Forma'!K98</f>
        <v>1</v>
      </c>
      <c r="L99" s="790">
        <f>+'Phase II Pro Forma'!L98</f>
        <v>1</v>
      </c>
      <c r="M99" s="790">
        <f>+'Phase II Pro Forma'!M98</f>
        <v>1</v>
      </c>
      <c r="N99" s="790">
        <f>+'Phase II Pro Forma'!N98</f>
        <v>1</v>
      </c>
      <c r="O99" s="790">
        <f>+'Phase II Pro Forma'!O98</f>
        <v>1</v>
      </c>
      <c r="P99" s="790">
        <f>+'Phase II Pro Forma'!P98</f>
        <v>1</v>
      </c>
      <c r="Q99" s="790">
        <f>+'Phase II Pro Forma'!Q98</f>
        <v>1</v>
      </c>
      <c r="R99" s="790">
        <f>+'Phase II Pro Forma'!R98</f>
        <v>1</v>
      </c>
      <c r="S99" s="790">
        <f>+'Phase II Pro Forma'!S98</f>
        <v>1</v>
      </c>
      <c r="T99" s="790">
        <f>+'Phase II Pro Forma'!T98</f>
        <v>1</v>
      </c>
      <c r="U99" s="790">
        <f>+'Phase II Pro Forma'!U98</f>
        <v>1</v>
      </c>
      <c r="V99" s="790">
        <f>+'Phase II Pro Forma'!V98</f>
        <v>1</v>
      </c>
      <c r="W99" s="790">
        <f>+'Phase II Pro Forma'!W98</f>
        <v>1</v>
      </c>
      <c r="X99" s="790">
        <f>+'Phase II Pro Forma'!X98</f>
        <v>1</v>
      </c>
      <c r="Y99" s="790">
        <f>+'Phase II Pro Forma'!Y98</f>
        <v>1</v>
      </c>
      <c r="Z99" s="790">
        <f>+'Phase II Pro Forma'!Z98</f>
        <v>1</v>
      </c>
    </row>
    <row r="100" spans="2:26" hidden="1" x14ac:dyDescent="0.2">
      <c r="B100" s="788"/>
      <c r="C100" s="788"/>
      <c r="D100" s="791"/>
      <c r="E100" s="791"/>
      <c r="F100" s="792"/>
      <c r="G100" s="792"/>
      <c r="H100" s="792"/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  <c r="S100" s="792"/>
      <c r="T100" s="792"/>
      <c r="U100" s="792"/>
      <c r="V100" s="792"/>
      <c r="W100" s="792"/>
      <c r="X100" s="792"/>
      <c r="Y100" s="792"/>
      <c r="Z100" s="792"/>
    </row>
    <row r="101" spans="2:26" hidden="1" x14ac:dyDescent="0.2">
      <c r="B101" s="788" t="s">
        <v>251</v>
      </c>
      <c r="C101" s="788"/>
      <c r="D101" s="789"/>
      <c r="E101" s="789"/>
      <c r="F101" s="790">
        <f>+'Phase II Pro Forma'!F100</f>
        <v>1</v>
      </c>
      <c r="G101" s="790">
        <f>+'Phase II Pro Forma'!G100</f>
        <v>1</v>
      </c>
      <c r="H101" s="790">
        <f>+'Phase II Pro Forma'!H100</f>
        <v>1</v>
      </c>
      <c r="I101" s="790">
        <f>+'Phase II Pro Forma'!I100</f>
        <v>1</v>
      </c>
      <c r="J101" s="790">
        <f>+'Phase II Pro Forma'!J100</f>
        <v>1</v>
      </c>
      <c r="K101" s="790">
        <f>+'Phase II Pro Forma'!K100</f>
        <v>1</v>
      </c>
      <c r="L101" s="790">
        <f>+'Phase II Pro Forma'!L100</f>
        <v>1.1000000000000001</v>
      </c>
      <c r="M101" s="790">
        <f>+'Phase II Pro Forma'!M100</f>
        <v>1.1000000000000001</v>
      </c>
      <c r="N101" s="790">
        <f>+'Phase II Pro Forma'!N100</f>
        <v>1.1000000000000001</v>
      </c>
      <c r="O101" s="790">
        <f>+'Phase II Pro Forma'!O100</f>
        <v>1.1000000000000001</v>
      </c>
      <c r="P101" s="790">
        <f>+'Phase II Pro Forma'!P100</f>
        <v>1.1000000000000001</v>
      </c>
      <c r="Q101" s="790">
        <f>+'Phase II Pro Forma'!Q100</f>
        <v>1.2100000000000002</v>
      </c>
      <c r="R101" s="790">
        <f>+'Phase II Pro Forma'!R100</f>
        <v>1.2100000000000002</v>
      </c>
      <c r="S101" s="790">
        <f>+'Phase II Pro Forma'!S100</f>
        <v>1.2100000000000002</v>
      </c>
      <c r="T101" s="790">
        <f>+'Phase II Pro Forma'!T100</f>
        <v>1.2100000000000002</v>
      </c>
      <c r="U101" s="790">
        <f>+'Phase II Pro Forma'!U100</f>
        <v>1.2100000000000002</v>
      </c>
      <c r="V101" s="790">
        <f>+'Phase II Pro Forma'!V100</f>
        <v>1.3310000000000004</v>
      </c>
      <c r="W101" s="790">
        <f>+'Phase II Pro Forma'!W100</f>
        <v>1.3310000000000004</v>
      </c>
      <c r="X101" s="790">
        <f>+'Phase II Pro Forma'!X100</f>
        <v>1.3310000000000004</v>
      </c>
      <c r="Y101" s="790">
        <f>+'Phase II Pro Forma'!Y100</f>
        <v>1.3310000000000004</v>
      </c>
      <c r="Z101" s="790">
        <f>+'Phase II Pro Forma'!Z100</f>
        <v>1.3310000000000004</v>
      </c>
    </row>
    <row r="102" spans="2:26" hidden="1" x14ac:dyDescent="0.2">
      <c r="B102" s="788" t="s">
        <v>252</v>
      </c>
      <c r="C102" s="788"/>
      <c r="D102" s="789"/>
      <c r="E102" s="789"/>
      <c r="F102" s="790">
        <f>+'Phase II Pro Forma'!F101</f>
        <v>1</v>
      </c>
      <c r="G102" s="790">
        <f>+'Phase II Pro Forma'!G101</f>
        <v>1.03</v>
      </c>
      <c r="H102" s="790">
        <f>+'Phase II Pro Forma'!H101</f>
        <v>1.0609</v>
      </c>
      <c r="I102" s="790">
        <f>+'Phase II Pro Forma'!I101</f>
        <v>1.092727</v>
      </c>
      <c r="J102" s="790">
        <f>+'Phase II Pro Forma'!J101</f>
        <v>1.1255088100000001</v>
      </c>
      <c r="K102" s="790">
        <f>+'Phase II Pro Forma'!K101</f>
        <v>1.1592740743000001</v>
      </c>
      <c r="L102" s="790">
        <f>+'Phase II Pro Forma'!L101</f>
        <v>1.1940522965290001</v>
      </c>
      <c r="M102" s="790">
        <f>+'Phase II Pro Forma'!M101</f>
        <v>1.2298738654248702</v>
      </c>
      <c r="N102" s="790">
        <f>+'Phase II Pro Forma'!N101</f>
        <v>1.2667700813876164</v>
      </c>
      <c r="O102" s="790">
        <f>+'Phase II Pro Forma'!O101</f>
        <v>1.3047731838292449</v>
      </c>
      <c r="P102" s="790">
        <f>+'Phase II Pro Forma'!P101</f>
        <v>1.3439163793441222</v>
      </c>
      <c r="Q102" s="790">
        <f>+'Phase II Pro Forma'!Q101</f>
        <v>1.3842338707244459</v>
      </c>
      <c r="R102" s="790">
        <f>+'Phase II Pro Forma'!R101</f>
        <v>1.4257608868461793</v>
      </c>
      <c r="S102" s="790">
        <f>+'Phase II Pro Forma'!S101</f>
        <v>1.4685337134515648</v>
      </c>
      <c r="T102" s="790">
        <f>+'Phase II Pro Forma'!T101</f>
        <v>1.5125897248551119</v>
      </c>
      <c r="U102" s="790">
        <f>+'Phase II Pro Forma'!U101</f>
        <v>1.5579674166007653</v>
      </c>
      <c r="V102" s="790">
        <f>+'Phase II Pro Forma'!V101</f>
        <v>1.6047064390987884</v>
      </c>
      <c r="W102" s="790">
        <f>+'Phase II Pro Forma'!W101</f>
        <v>1.652847632271752</v>
      </c>
      <c r="X102" s="790">
        <f>+'Phase II Pro Forma'!X101</f>
        <v>1.7024330612399046</v>
      </c>
      <c r="Y102" s="790">
        <f>+'Phase II Pro Forma'!Y101</f>
        <v>1.7535060530771018</v>
      </c>
      <c r="Z102" s="790">
        <f>+'Phase II Pro Forma'!Z101</f>
        <v>1.806111234669415</v>
      </c>
    </row>
    <row r="103" spans="2:26" ht="5" customHeight="1" x14ac:dyDescent="0.2">
      <c r="B103" s="32"/>
      <c r="C103" s="32"/>
      <c r="D103" s="39"/>
      <c r="E103" s="39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2:26" x14ac:dyDescent="0.2">
      <c r="B104" s="32" t="s">
        <v>243</v>
      </c>
      <c r="C104" s="32"/>
      <c r="D104" s="39"/>
      <c r="E104" s="39"/>
      <c r="F104" s="48">
        <f>+'Phase II Pro Forma'!F103/1000000</f>
        <v>0</v>
      </c>
      <c r="G104" s="48">
        <f>+'Phase II Pro Forma'!G103/1000000</f>
        <v>0</v>
      </c>
      <c r="H104" s="48">
        <f>+'Phase II Pro Forma'!H103/1000000</f>
        <v>0</v>
      </c>
      <c r="I104" s="48">
        <f>+'Phase II Pro Forma'!I103/1000000</f>
        <v>1.6846614576000001</v>
      </c>
      <c r="J104" s="48">
        <f>+'Phase II Pro Forma'!J103/1000000</f>
        <v>3.3693229152000002</v>
      </c>
      <c r="K104" s="48">
        <f>+'Phase II Pro Forma'!K103/1000000</f>
        <v>3.3693229152000002</v>
      </c>
      <c r="L104" s="48">
        <f>+'Phase II Pro Forma'!L103/1000000</f>
        <v>3.7062552067200007</v>
      </c>
      <c r="M104" s="48">
        <f>+'Phase II Pro Forma'!M103/1000000</f>
        <v>3.7062552067200007</v>
      </c>
      <c r="N104" s="48">
        <f>+'Phase II Pro Forma'!N103/1000000</f>
        <v>3.7062552067200007</v>
      </c>
      <c r="O104" s="48">
        <f>+'Phase II Pro Forma'!O103/1000000</f>
        <v>3.7062552067200007</v>
      </c>
      <c r="P104" s="48">
        <f>+'Phase II Pro Forma'!P103/1000000</f>
        <v>3.7062552067200007</v>
      </c>
      <c r="Q104" s="48">
        <f>+'Phase II Pro Forma'!Q103/1000000</f>
        <v>4.0768807273920009</v>
      </c>
      <c r="R104" s="48">
        <f>+'Phase II Pro Forma'!R103/1000000</f>
        <v>4.0768807273920009</v>
      </c>
      <c r="S104" s="48">
        <f>+'Phase II Pro Forma'!S103/1000000</f>
        <v>4.0768807273920009</v>
      </c>
      <c r="T104" s="48">
        <f>+'Phase II Pro Forma'!T103/1000000</f>
        <v>4.0768807273920009</v>
      </c>
      <c r="U104" s="48">
        <f>+'Phase II Pro Forma'!U103/1000000</f>
        <v>4.0768807273920009</v>
      </c>
      <c r="V104" s="48">
        <f>+'Phase II Pro Forma'!V103/1000000</f>
        <v>4.4845688001312016</v>
      </c>
      <c r="W104" s="48">
        <f>+'Phase II Pro Forma'!W103/1000000</f>
        <v>4.4845688001312016</v>
      </c>
      <c r="X104" s="48">
        <f>+'Phase II Pro Forma'!X103/1000000</f>
        <v>4.4845688001312016</v>
      </c>
      <c r="Y104" s="48">
        <f>+'Phase II Pro Forma'!Y103/1000000</f>
        <v>4.4845688001312016</v>
      </c>
      <c r="Z104" s="48">
        <f>+'Phase II Pro Forma'!Z103/1000000</f>
        <v>4.4845688001312016</v>
      </c>
    </row>
    <row r="105" spans="2:26" x14ac:dyDescent="0.2">
      <c r="B105" s="32" t="s">
        <v>244</v>
      </c>
      <c r="C105" s="32"/>
      <c r="D105" s="39"/>
      <c r="E105" s="39"/>
      <c r="F105" s="771">
        <f>+'Phase II Pro Forma'!F104/1000000</f>
        <v>0</v>
      </c>
      <c r="G105" s="771">
        <f>+'Phase II Pro Forma'!G104/1000000</f>
        <v>0</v>
      </c>
      <c r="H105" s="771">
        <f>+'Phase II Pro Forma'!H104/1000000</f>
        <v>0</v>
      </c>
      <c r="I105" s="771">
        <f>+'Phase II Pro Forma'!I104/1000000</f>
        <v>-0.16846614576000002</v>
      </c>
      <c r="J105" s="771">
        <f>+'Phase II Pro Forma'!J104/1000000</f>
        <v>-0.33693229152000004</v>
      </c>
      <c r="K105" s="771">
        <f>+'Phase II Pro Forma'!K104/1000000</f>
        <v>-0.33693229152000004</v>
      </c>
      <c r="L105" s="771">
        <f>+'Phase II Pro Forma'!L104/1000000</f>
        <v>-0.37062552067200005</v>
      </c>
      <c r="M105" s="771">
        <f>+'Phase II Pro Forma'!M104/1000000</f>
        <v>-0.37062552067200005</v>
      </c>
      <c r="N105" s="771">
        <f>+'Phase II Pro Forma'!N104/1000000</f>
        <v>-0.37062552067200005</v>
      </c>
      <c r="O105" s="771">
        <f>+'Phase II Pro Forma'!O104/1000000</f>
        <v>-0.37062552067200005</v>
      </c>
      <c r="P105" s="771">
        <f>+'Phase II Pro Forma'!P104/1000000</f>
        <v>-0.37062552067200005</v>
      </c>
      <c r="Q105" s="771">
        <f>+'Phase II Pro Forma'!Q104/1000000</f>
        <v>-0.4076880727392001</v>
      </c>
      <c r="R105" s="771">
        <f>+'Phase II Pro Forma'!R104/1000000</f>
        <v>-0.4076880727392001</v>
      </c>
      <c r="S105" s="771">
        <f>+'Phase II Pro Forma'!S104/1000000</f>
        <v>-0.4076880727392001</v>
      </c>
      <c r="T105" s="771">
        <f>+'Phase II Pro Forma'!T104/1000000</f>
        <v>-0.4076880727392001</v>
      </c>
      <c r="U105" s="771">
        <f>+'Phase II Pro Forma'!U104/1000000</f>
        <v>-0.4076880727392001</v>
      </c>
      <c r="V105" s="771">
        <f>+'Phase II Pro Forma'!V104/1000000</f>
        <v>-0.44845688001312017</v>
      </c>
      <c r="W105" s="771">
        <f>+'Phase II Pro Forma'!W104/1000000</f>
        <v>-0.44845688001312017</v>
      </c>
      <c r="X105" s="771">
        <f>+'Phase II Pro Forma'!X104/1000000</f>
        <v>-0.44845688001312017</v>
      </c>
      <c r="Y105" s="771">
        <f>+'Phase II Pro Forma'!Y104/1000000</f>
        <v>-0.44845688001312017</v>
      </c>
      <c r="Z105" s="771">
        <f>+'Phase II Pro Forma'!Z104/1000000</f>
        <v>-0.44845688001312017</v>
      </c>
    </row>
    <row r="106" spans="2:26" x14ac:dyDescent="0.2">
      <c r="B106" s="32" t="s">
        <v>259</v>
      </c>
      <c r="C106" s="32"/>
      <c r="D106" s="39"/>
      <c r="E106" s="39"/>
      <c r="F106" s="772">
        <f ca="1">+'Phase II Pro Forma'!F105/1000000</f>
        <v>0</v>
      </c>
      <c r="G106" s="772">
        <f ca="1">+'Phase II Pro Forma'!G105/1000000</f>
        <v>0</v>
      </c>
      <c r="H106" s="772">
        <f ca="1">+'Phase II Pro Forma'!H105/1000000</f>
        <v>0</v>
      </c>
      <c r="I106" s="772">
        <f ca="1">+'Phase II Pro Forma'!I105/1000000</f>
        <v>0.96713655589861236</v>
      </c>
      <c r="J106" s="772">
        <f ca="1">+'Phase II Pro Forma'!J105/1000000</f>
        <v>1.9833134962489256</v>
      </c>
      <c r="K106" s="772">
        <f ca="1">+'Phase II Pro Forma'!K105/1000000</f>
        <v>2.0153102058956121</v>
      </c>
      <c r="L106" s="772">
        <f ca="1">+'Phase II Pro Forma'!L105/1000000</f>
        <v>2.0482668168316995</v>
      </c>
      <c r="M106" s="772">
        <f ca="1">+'Phase II Pro Forma'!M105/1000000</f>
        <v>2.1005472562563905</v>
      </c>
      <c r="N106" s="772">
        <f ca="1">+'Phase II Pro Forma'!N105/1000000</f>
        <v>2.1355109247984849</v>
      </c>
      <c r="O106" s="772">
        <f ca="1">+'Phase II Pro Forma'!O105/1000000</f>
        <v>2.1715235033968425</v>
      </c>
      <c r="P106" s="772">
        <f ca="1">+'Phase II Pro Forma'!P105/1000000</f>
        <v>2.2273182921168821</v>
      </c>
      <c r="Q106" s="772">
        <f ca="1">+'Phase II Pro Forma'!Q105/1000000</f>
        <v>2.2655240367518799</v>
      </c>
      <c r="R106" s="772">
        <f ca="1">+'Phase II Pro Forma'!R105/1000000</f>
        <v>2.3048759537259276</v>
      </c>
      <c r="S106" s="772">
        <f ca="1">+'Phase II Pro Forma'!S105/1000000</f>
        <v>2.3644842976282026</v>
      </c>
      <c r="T106" s="772">
        <f ca="1">+'Phase II Pro Forma'!T105/1000000</f>
        <v>2.4062327463459705</v>
      </c>
      <c r="U106" s="772">
        <f ca="1">+'Phase II Pro Forma'!U105/1000000</f>
        <v>2.4492336485252704</v>
      </c>
      <c r="V106" s="772">
        <f ca="1">+'Phase II Pro Forma'!V105/1000000</f>
        <v>2.5129819645773357</v>
      </c>
      <c r="W106" s="772">
        <f ca="1">+'Phase II Pro Forma'!W105/1000000</f>
        <v>2.5586016216993555</v>
      </c>
      <c r="X106" s="772">
        <f ca="1">+'Phase II Pro Forma'!X105/1000000</f>
        <v>2.6055898685350356</v>
      </c>
      <c r="Y106" s="772">
        <f ca="1">+'Phase II Pro Forma'!Y105/1000000</f>
        <v>2.6738342973193201</v>
      </c>
      <c r="Z106" s="772">
        <f ca="1">+'Phase II Pro Forma'!Z105/1000000</f>
        <v>2.7236841283872928</v>
      </c>
    </row>
    <row r="107" spans="2:26" x14ac:dyDescent="0.2">
      <c r="B107" s="136" t="s">
        <v>253</v>
      </c>
      <c r="C107" s="136"/>
      <c r="D107" s="136"/>
      <c r="E107" s="136"/>
      <c r="F107" s="773">
        <f ca="1">+'Phase II Pro Forma'!F106/1000000</f>
        <v>0</v>
      </c>
      <c r="G107" s="773">
        <f ca="1">+'Phase II Pro Forma'!G106/1000000</f>
        <v>0</v>
      </c>
      <c r="H107" s="773">
        <f ca="1">+'Phase II Pro Forma'!H106/1000000</f>
        <v>0</v>
      </c>
      <c r="I107" s="773">
        <f ca="1">+'Phase II Pro Forma'!I106/1000000</f>
        <v>2.4833318677386123</v>
      </c>
      <c r="J107" s="773">
        <f ca="1">+'Phase II Pro Forma'!J106/1000000</f>
        <v>5.0157041199289258</v>
      </c>
      <c r="K107" s="773">
        <f ca="1">+'Phase II Pro Forma'!K106/1000000</f>
        <v>5.0477008295756125</v>
      </c>
      <c r="L107" s="773">
        <f ca="1">+'Phase II Pro Forma'!L106/1000000</f>
        <v>5.3838965028796997</v>
      </c>
      <c r="M107" s="773">
        <f ca="1">+'Phase II Pro Forma'!M106/1000000</f>
        <v>5.4361769423043915</v>
      </c>
      <c r="N107" s="773">
        <f ca="1">+'Phase II Pro Forma'!N106/1000000</f>
        <v>5.4711406108464855</v>
      </c>
      <c r="O107" s="773">
        <f ca="1">+'Phase II Pro Forma'!O106/1000000</f>
        <v>5.5071531894448436</v>
      </c>
      <c r="P107" s="773">
        <f ca="1">+'Phase II Pro Forma'!P106/1000000</f>
        <v>5.5629479781648836</v>
      </c>
      <c r="Q107" s="773">
        <f ca="1">+'Phase II Pro Forma'!Q106/1000000</f>
        <v>5.9347166914046801</v>
      </c>
      <c r="R107" s="773">
        <f ca="1">+'Phase II Pro Forma'!R106/1000000</f>
        <v>5.9740686083787278</v>
      </c>
      <c r="S107" s="773">
        <f ca="1">+'Phase II Pro Forma'!S106/1000000</f>
        <v>6.0336769522810032</v>
      </c>
      <c r="T107" s="773">
        <f ca="1">+'Phase II Pro Forma'!T106/1000000</f>
        <v>6.0754254009987712</v>
      </c>
      <c r="U107" s="773">
        <f ca="1">+'Phase II Pro Forma'!U106/1000000</f>
        <v>6.1184263031780697</v>
      </c>
      <c r="V107" s="773">
        <f ca="1">+'Phase II Pro Forma'!V106/1000000</f>
        <v>6.5490938846954174</v>
      </c>
      <c r="W107" s="773">
        <f ca="1">+'Phase II Pro Forma'!W106/1000000</f>
        <v>6.5947135418174367</v>
      </c>
      <c r="X107" s="773">
        <f ca="1">+'Phase II Pro Forma'!X106/1000000</f>
        <v>6.6417017886531164</v>
      </c>
      <c r="Y107" s="773">
        <f ca="1">+'Phase II Pro Forma'!Y106/1000000</f>
        <v>6.7099462174374018</v>
      </c>
      <c r="Z107" s="773">
        <f ca="1">+'Phase II Pro Forma'!Z106/1000000</f>
        <v>6.7597960485053745</v>
      </c>
    </row>
    <row r="108" spans="2:26" ht="5" customHeight="1" x14ac:dyDescent="0.2"/>
    <row r="109" spans="2:26" x14ac:dyDescent="0.2">
      <c r="B109" s="32" t="s">
        <v>389</v>
      </c>
      <c r="F109" s="48">
        <f>+'Phase II Pro Forma'!F108/1000000</f>
        <v>0</v>
      </c>
      <c r="G109" s="48">
        <f>+'Phase II Pro Forma'!G108/1000000</f>
        <v>0</v>
      </c>
      <c r="H109" s="48">
        <f>+'Phase II Pro Forma'!H108/1000000</f>
        <v>0</v>
      </c>
      <c r="I109" s="48">
        <f>+'Phase II Pro Forma'!I108/1000000</f>
        <v>0.57527345643089856</v>
      </c>
      <c r="J109" s="48">
        <f>+'Phase II Pro Forma'!J108/1000000</f>
        <v>1.185063320247651</v>
      </c>
      <c r="K109" s="48">
        <f>+'Phase II Pro Forma'!K108/1000000</f>
        <v>1.2206152198550806</v>
      </c>
      <c r="L109" s="48">
        <f>+'Phase II Pro Forma'!L108/1000000</f>
        <v>1.257233676450733</v>
      </c>
      <c r="M109" s="48">
        <f>+'Phase II Pro Forma'!M108/1000000</f>
        <v>1.2949506867442553</v>
      </c>
      <c r="N109" s="48">
        <f>+'Phase II Pro Forma'!N108/1000000</f>
        <v>1.3337992073465827</v>
      </c>
      <c r="O109" s="48">
        <f>+'Phase II Pro Forma'!O108/1000000</f>
        <v>1.3738131835669802</v>
      </c>
      <c r="P109" s="48">
        <f>+'Phase II Pro Forma'!P108/1000000</f>
        <v>1.4150275790739897</v>
      </c>
      <c r="Q109" s="48">
        <f>+'Phase II Pro Forma'!Q108/1000000</f>
        <v>1.4574784064462094</v>
      </c>
      <c r="R109" s="48">
        <f>+'Phase II Pro Forma'!R108/1000000</f>
        <v>1.5012027586395957</v>
      </c>
      <c r="S109" s="48">
        <f>+'Phase II Pro Forma'!S108/1000000</f>
        <v>1.5462388413987838</v>
      </c>
      <c r="T109" s="48">
        <f>+'Phase II Pro Forma'!T108/1000000</f>
        <v>1.5926260066407474</v>
      </c>
      <c r="U109" s="48">
        <f>+'Phase II Pro Forma'!U108/1000000</f>
        <v>1.6404047868399698</v>
      </c>
      <c r="V109" s="48">
        <f>+'Phase II Pro Forma'!V108/1000000</f>
        <v>1.6896169304451691</v>
      </c>
      <c r="W109" s="48">
        <f>+'Phase II Pro Forma'!W108/1000000</f>
        <v>1.7403054383585241</v>
      </c>
      <c r="X109" s="48">
        <f>+'Phase II Pro Forma'!X108/1000000</f>
        <v>1.7925146015092801</v>
      </c>
      <c r="Y109" s="48">
        <f>+'Phase II Pro Forma'!Y108/1000000</f>
        <v>1.8462900395545585</v>
      </c>
      <c r="Z109" s="48">
        <f>+'Phase II Pro Forma'!Z108/1000000</f>
        <v>1.9016787407411955</v>
      </c>
    </row>
    <row r="110" spans="2:26" x14ac:dyDescent="0.2">
      <c r="B110" s="32" t="s">
        <v>325</v>
      </c>
      <c r="F110" s="772">
        <f ca="1">+'Phase II Pro Forma'!F109/1000000</f>
        <v>0</v>
      </c>
      <c r="G110" s="772">
        <f ca="1">+'Phase II Pro Forma'!G109/1000000</f>
        <v>0</v>
      </c>
      <c r="H110" s="772">
        <f ca="1">+'Phase II Pro Forma'!H109/1000000</f>
        <v>0</v>
      </c>
      <c r="I110" s="772">
        <f ca="1">+'Phase II Pro Forma'!I109/1000000</f>
        <v>0.49932271678978224</v>
      </c>
      <c r="J110" s="772">
        <f ca="1">+'Phase II Pro Forma'!J109/1000000</f>
        <v>1.0186183422511557</v>
      </c>
      <c r="K110" s="772">
        <f ca="1">+'Phase II Pro Forma'!K109/1000000</f>
        <v>1.0186183422511557</v>
      </c>
      <c r="L110" s="772">
        <f ca="1">+'Phase II Pro Forma'!L109/1000000</f>
        <v>1.0186183422511557</v>
      </c>
      <c r="M110" s="772">
        <f ca="1">+'Phase II Pro Forma'!M109/1000000</f>
        <v>1.038990709096179</v>
      </c>
      <c r="N110" s="772">
        <f ca="1">+'Phase II Pro Forma'!N109/1000000</f>
        <v>1.038990709096179</v>
      </c>
      <c r="O110" s="772">
        <f ca="1">+'Phase II Pro Forma'!O109/1000000</f>
        <v>1.038990709096179</v>
      </c>
      <c r="P110" s="772">
        <f ca="1">+'Phase II Pro Forma'!P109/1000000</f>
        <v>1.0597705232781023</v>
      </c>
      <c r="Q110" s="772">
        <f ca="1">+'Phase II Pro Forma'!Q109/1000000</f>
        <v>1.0597705232781023</v>
      </c>
      <c r="R110" s="772">
        <f ca="1">+'Phase II Pro Forma'!R109/1000000</f>
        <v>1.0597705232781023</v>
      </c>
      <c r="S110" s="772">
        <f ca="1">+'Phase II Pro Forma'!S109/1000000</f>
        <v>1.0809659337436643</v>
      </c>
      <c r="T110" s="772">
        <f ca="1">+'Phase II Pro Forma'!T109/1000000</f>
        <v>1.0809659337436643</v>
      </c>
      <c r="U110" s="772">
        <f ca="1">+'Phase II Pro Forma'!U109/1000000</f>
        <v>1.0809659337436643</v>
      </c>
      <c r="V110" s="772">
        <f ca="1">+'Phase II Pro Forma'!V109/1000000</f>
        <v>1.1025852524185378</v>
      </c>
      <c r="W110" s="772">
        <f ca="1">+'Phase II Pro Forma'!W109/1000000</f>
        <v>1.1025852524185378</v>
      </c>
      <c r="X110" s="772">
        <f ca="1">+'Phase II Pro Forma'!X109/1000000</f>
        <v>1.1025852524185378</v>
      </c>
      <c r="Y110" s="772">
        <f ca="1">+'Phase II Pro Forma'!Y109/1000000</f>
        <v>1.1246369574669088</v>
      </c>
      <c r="Z110" s="772">
        <f ca="1">+'Phase II Pro Forma'!Z109/1000000</f>
        <v>1.1246369574669088</v>
      </c>
    </row>
    <row r="111" spans="2:26" x14ac:dyDescent="0.2">
      <c r="B111" s="136" t="s">
        <v>249</v>
      </c>
      <c r="C111" s="136"/>
      <c r="D111" s="136"/>
      <c r="E111" s="136"/>
      <c r="F111" s="773">
        <f ca="1">+'Phase II Pro Forma'!F110/1000000</f>
        <v>0</v>
      </c>
      <c r="G111" s="773">
        <f ca="1">+'Phase II Pro Forma'!G110/1000000</f>
        <v>0</v>
      </c>
      <c r="H111" s="773">
        <f ca="1">+'Phase II Pro Forma'!H110/1000000</f>
        <v>0</v>
      </c>
      <c r="I111" s="773">
        <f ca="1">+'Phase II Pro Forma'!I110/1000000</f>
        <v>1.0745961732206808</v>
      </c>
      <c r="J111" s="773">
        <f ca="1">+'Phase II Pro Forma'!J110/1000000</f>
        <v>2.2036816624988065</v>
      </c>
      <c r="K111" s="773">
        <f ca="1">+'Phase II Pro Forma'!K110/1000000</f>
        <v>2.2392335621062363</v>
      </c>
      <c r="L111" s="773">
        <f ca="1">+'Phase II Pro Forma'!L110/1000000</f>
        <v>2.2758520187018885</v>
      </c>
      <c r="M111" s="773">
        <f ca="1">+'Phase II Pro Forma'!M110/1000000</f>
        <v>2.3339413958404345</v>
      </c>
      <c r="N111" s="773">
        <f ca="1">+'Phase II Pro Forma'!N110/1000000</f>
        <v>2.3727899164427617</v>
      </c>
      <c r="O111" s="773">
        <f ca="1">+'Phase II Pro Forma'!O110/1000000</f>
        <v>2.4128038926631592</v>
      </c>
      <c r="P111" s="773">
        <f ca="1">+'Phase II Pro Forma'!P110/1000000</f>
        <v>2.474798102352092</v>
      </c>
      <c r="Q111" s="773">
        <f ca="1">+'Phase II Pro Forma'!Q110/1000000</f>
        <v>2.5172489297243112</v>
      </c>
      <c r="R111" s="773">
        <f ca="1">+'Phase II Pro Forma'!R110/1000000</f>
        <v>2.5609732819176978</v>
      </c>
      <c r="S111" s="773">
        <f ca="1">+'Phase II Pro Forma'!S110/1000000</f>
        <v>2.6272047751424479</v>
      </c>
      <c r="T111" s="773">
        <f ca="1">+'Phase II Pro Forma'!T110/1000000</f>
        <v>2.6735919403844117</v>
      </c>
      <c r="U111" s="773">
        <f ca="1">+'Phase II Pro Forma'!U110/1000000</f>
        <v>2.7213707205836344</v>
      </c>
      <c r="V111" s="773">
        <f ca="1">+'Phase II Pro Forma'!V110/1000000</f>
        <v>2.7922021828637069</v>
      </c>
      <c r="W111" s="773">
        <f ca="1">+'Phase II Pro Forma'!W110/1000000</f>
        <v>2.8428906907770619</v>
      </c>
      <c r="X111" s="773">
        <f ca="1">+'Phase II Pro Forma'!X110/1000000</f>
        <v>2.8950998539278183</v>
      </c>
      <c r="Y111" s="773">
        <f ca="1">+'Phase II Pro Forma'!Y110/1000000</f>
        <v>2.9709269970214676</v>
      </c>
      <c r="Z111" s="773">
        <f ca="1">+'Phase II Pro Forma'!Z110/1000000</f>
        <v>3.0263156982081041</v>
      </c>
    </row>
    <row r="112" spans="2:26" ht="5" customHeight="1" x14ac:dyDescent="0.2">
      <c r="B112" s="32"/>
    </row>
    <row r="113" spans="2:26" x14ac:dyDescent="0.2">
      <c r="B113" s="777" t="s">
        <v>248</v>
      </c>
      <c r="C113" s="777"/>
      <c r="D113" s="777"/>
      <c r="E113" s="777"/>
      <c r="F113" s="778">
        <f ca="1">+F107-F111</f>
        <v>0</v>
      </c>
      <c r="G113" s="778">
        <f t="shared" ref="G113:Z113" ca="1" si="29">+G107-G111</f>
        <v>0</v>
      </c>
      <c r="H113" s="778">
        <f t="shared" ca="1" si="29"/>
        <v>0</v>
      </c>
      <c r="I113" s="778">
        <f t="shared" ca="1" si="29"/>
        <v>1.4087356945179315</v>
      </c>
      <c r="J113" s="778">
        <f t="shared" ca="1" si="29"/>
        <v>2.8120224574301194</v>
      </c>
      <c r="K113" s="778">
        <f t="shared" ca="1" si="29"/>
        <v>2.8084672674693762</v>
      </c>
      <c r="L113" s="778">
        <f t="shared" ca="1" si="29"/>
        <v>3.1080444841778112</v>
      </c>
      <c r="M113" s="778">
        <f t="shared" ca="1" si="29"/>
        <v>3.102235546463957</v>
      </c>
      <c r="N113" s="778">
        <f t="shared" ca="1" si="29"/>
        <v>3.0983506944037238</v>
      </c>
      <c r="O113" s="778">
        <f t="shared" ca="1" si="29"/>
        <v>3.0943492967816844</v>
      </c>
      <c r="P113" s="778">
        <f t="shared" ca="1" si="29"/>
        <v>3.0881498758127917</v>
      </c>
      <c r="Q113" s="778">
        <f t="shared" ca="1" si="29"/>
        <v>3.4174677616803688</v>
      </c>
      <c r="R113" s="778">
        <f t="shared" ca="1" si="29"/>
        <v>3.41309532646103</v>
      </c>
      <c r="S113" s="778">
        <f t="shared" ca="1" si="29"/>
        <v>3.4064721771385553</v>
      </c>
      <c r="T113" s="778">
        <f t="shared" ca="1" si="29"/>
        <v>3.4018334606143594</v>
      </c>
      <c r="U113" s="778">
        <f t="shared" ca="1" si="29"/>
        <v>3.3970555825944353</v>
      </c>
      <c r="V113" s="778">
        <f t="shared" ca="1" si="29"/>
        <v>3.7568917018317105</v>
      </c>
      <c r="W113" s="778">
        <f t="shared" ca="1" si="29"/>
        <v>3.7518228510403748</v>
      </c>
      <c r="X113" s="778">
        <f t="shared" ca="1" si="29"/>
        <v>3.7466019347252981</v>
      </c>
      <c r="Y113" s="778">
        <f t="shared" ca="1" si="29"/>
        <v>3.7390192204159343</v>
      </c>
      <c r="Z113" s="778">
        <f t="shared" ca="1" si="29"/>
        <v>3.7334803502972704</v>
      </c>
    </row>
    <row r="114" spans="2:26" x14ac:dyDescent="0.2">
      <c r="B114" s="779" t="s">
        <v>254</v>
      </c>
      <c r="C114" s="780"/>
      <c r="D114" s="780"/>
      <c r="E114" s="780"/>
      <c r="F114" s="781" t="str">
        <f ca="1">+IFERROR(F113/F107,"")</f>
        <v/>
      </c>
      <c r="G114" s="781" t="str">
        <f t="shared" ref="G114:Z114" ca="1" si="30">+IFERROR(G113/G107,"")</f>
        <v/>
      </c>
      <c r="H114" s="781" t="str">
        <f t="shared" ca="1" si="30"/>
        <v/>
      </c>
      <c r="I114" s="782">
        <f t="shared" ca="1" si="30"/>
        <v>0.56727645338871424</v>
      </c>
      <c r="J114" s="782">
        <f t="shared" ca="1" si="30"/>
        <v>0.56064360859267881</v>
      </c>
      <c r="K114" s="782">
        <f t="shared" ca="1" si="30"/>
        <v>0.55638544404492751</v>
      </c>
      <c r="L114" s="782">
        <f t="shared" ca="1" si="30"/>
        <v>0.5772853327539641</v>
      </c>
      <c r="M114" s="782">
        <f t="shared" ca="1" si="30"/>
        <v>0.5706649322472056</v>
      </c>
      <c r="N114" s="782">
        <f t="shared" ca="1" si="30"/>
        <v>0.56630799951682331</v>
      </c>
      <c r="O114" s="782">
        <f t="shared" ca="1" si="30"/>
        <v>0.56187819556434282</v>
      </c>
      <c r="P114" s="782">
        <f t="shared" ca="1" si="30"/>
        <v>0.55512830390183099</v>
      </c>
      <c r="Q114" s="782">
        <f t="shared" ca="1" si="30"/>
        <v>0.5758434546049902</v>
      </c>
      <c r="R114" s="782">
        <f t="shared" ca="1" si="30"/>
        <v>0.57131840127749933</v>
      </c>
      <c r="S114" s="782">
        <f t="shared" ca="1" si="30"/>
        <v>0.56457649358419071</v>
      </c>
      <c r="T114" s="782">
        <f t="shared" ca="1" si="30"/>
        <v>0.55993337685540734</v>
      </c>
      <c r="U114" s="782">
        <f t="shared" ca="1" si="30"/>
        <v>0.55521721015580694</v>
      </c>
      <c r="V114" s="782">
        <f t="shared" ca="1" si="30"/>
        <v>0.57365060998914574</v>
      </c>
      <c r="W114" s="782">
        <f t="shared" ca="1" si="30"/>
        <v>0.56891369537886105</v>
      </c>
      <c r="X114" s="782">
        <f t="shared" ca="1" si="30"/>
        <v>0.56410270348573999</v>
      </c>
      <c r="Y114" s="782">
        <f t="shared" ca="1" si="30"/>
        <v>0.55723534872741565</v>
      </c>
      <c r="Z114" s="782">
        <f t="shared" ca="1" si="30"/>
        <v>0.55230665592681039</v>
      </c>
    </row>
    <row r="115" spans="2:26" x14ac:dyDescent="0.2">
      <c r="B115" s="779" t="s">
        <v>188</v>
      </c>
      <c r="C115" s="780"/>
      <c r="D115" s="780"/>
      <c r="E115" s="780"/>
      <c r="F115" s="783">
        <f ca="1">+'Phase II Pro Forma'!F114/1000000</f>
        <v>0</v>
      </c>
      <c r="G115" s="783">
        <f ca="1">+'Phase II Pro Forma'!G114/1000000</f>
        <v>0</v>
      </c>
      <c r="H115" s="783">
        <f ca="1">+'Phase II Pro Forma'!H114/1000000</f>
        <v>0</v>
      </c>
      <c r="I115" s="783">
        <f ca="1">+'Phase II Pro Forma'!I114/1000000</f>
        <v>21.67285683873741</v>
      </c>
      <c r="J115" s="783">
        <f ca="1">+'Phase II Pro Forma'!J114/1000000</f>
        <v>43.261883960463372</v>
      </c>
      <c r="K115" s="783">
        <f ca="1">+'Phase II Pro Forma'!K114/1000000</f>
        <v>43.207188730298085</v>
      </c>
      <c r="L115" s="783">
        <f ca="1">+'Phase II Pro Forma'!L114/1000000</f>
        <v>47.816068987350938</v>
      </c>
      <c r="M115" s="783">
        <f ca="1">+'Phase II Pro Forma'!M114/1000000</f>
        <v>47.726700714830109</v>
      </c>
      <c r="N115" s="783">
        <f ca="1">+'Phase II Pro Forma'!N114/1000000</f>
        <v>47.66693376005729</v>
      </c>
      <c r="O115" s="783">
        <f ca="1">+'Phase II Pro Forma'!O114/1000000</f>
        <v>47.605373796641295</v>
      </c>
      <c r="P115" s="783">
        <f ca="1">+'Phase II Pro Forma'!P114/1000000</f>
        <v>47.509998089427555</v>
      </c>
      <c r="Q115" s="783">
        <f ca="1">+'Phase II Pro Forma'!Q114/1000000</f>
        <v>52.576427102774893</v>
      </c>
      <c r="R115" s="783">
        <f ca="1">+'Phase II Pro Forma'!R114/1000000</f>
        <v>52.509158868631232</v>
      </c>
      <c r="S115" s="783">
        <f ca="1">+'Phase II Pro Forma'!S114/1000000</f>
        <v>52.407264263670072</v>
      </c>
      <c r="T115" s="783">
        <f ca="1">+'Phase II Pro Forma'!T114/1000000</f>
        <v>52.335899394067063</v>
      </c>
      <c r="U115" s="783">
        <f ca="1">+'Phase II Pro Forma'!U114/1000000</f>
        <v>52.262393578375928</v>
      </c>
      <c r="V115" s="783">
        <f ca="1">+'Phase II Pro Forma'!V114/1000000</f>
        <v>57.798333874334006</v>
      </c>
      <c r="W115" s="783">
        <f ca="1">+'Phase II Pro Forma'!W114/1000000</f>
        <v>57.720351554467307</v>
      </c>
      <c r="X115" s="783">
        <f ca="1">+'Phase II Pro Forma'!X114/1000000</f>
        <v>57.640029765004591</v>
      </c>
      <c r="Y115" s="783">
        <f ca="1">+'Phase II Pro Forma'!Y114/1000000</f>
        <v>57.523372621783601</v>
      </c>
      <c r="Z115" s="783">
        <f ca="1">+'Phase II Pro Forma'!Z114/1000000</f>
        <v>57.438159235342624</v>
      </c>
    </row>
    <row r="116" spans="2:26" ht="5" customHeight="1" x14ac:dyDescent="0.2"/>
    <row r="117" spans="2:26" x14ac:dyDescent="0.2">
      <c r="B117" s="147" t="s">
        <v>221</v>
      </c>
      <c r="C117" s="148"/>
      <c r="D117" s="148"/>
      <c r="E117" s="148"/>
      <c r="F117" s="776">
        <f>+F96</f>
        <v>44926</v>
      </c>
      <c r="G117" s="776">
        <f t="shared" ref="G117:Z117" si="31">+G96</f>
        <v>45291</v>
      </c>
      <c r="H117" s="776">
        <f t="shared" si="31"/>
        <v>45657</v>
      </c>
      <c r="I117" s="776">
        <f t="shared" si="31"/>
        <v>46022</v>
      </c>
      <c r="J117" s="776">
        <f t="shared" si="31"/>
        <v>46387</v>
      </c>
      <c r="K117" s="776">
        <f t="shared" si="31"/>
        <v>46752</v>
      </c>
      <c r="L117" s="776">
        <f t="shared" si="31"/>
        <v>47118</v>
      </c>
      <c r="M117" s="776">
        <f t="shared" si="31"/>
        <v>47483</v>
      </c>
      <c r="N117" s="776">
        <f t="shared" si="31"/>
        <v>47848</v>
      </c>
      <c r="O117" s="776">
        <f t="shared" si="31"/>
        <v>48213</v>
      </c>
      <c r="P117" s="776">
        <f t="shared" si="31"/>
        <v>48579</v>
      </c>
      <c r="Q117" s="776">
        <f t="shared" si="31"/>
        <v>48944</v>
      </c>
      <c r="R117" s="776">
        <f t="shared" si="31"/>
        <v>49309</v>
      </c>
      <c r="S117" s="776">
        <f t="shared" si="31"/>
        <v>49674</v>
      </c>
      <c r="T117" s="776">
        <f t="shared" si="31"/>
        <v>50040</v>
      </c>
      <c r="U117" s="776">
        <f t="shared" si="31"/>
        <v>50405</v>
      </c>
      <c r="V117" s="776">
        <f t="shared" si="31"/>
        <v>50770</v>
      </c>
      <c r="W117" s="776">
        <f t="shared" si="31"/>
        <v>51135</v>
      </c>
      <c r="X117" s="776">
        <f t="shared" si="31"/>
        <v>51501</v>
      </c>
      <c r="Y117" s="776">
        <f t="shared" si="31"/>
        <v>51866</v>
      </c>
      <c r="Z117" s="776">
        <f t="shared" si="31"/>
        <v>52231</v>
      </c>
    </row>
    <row r="118" spans="2:26" hidden="1" x14ac:dyDescent="0.2">
      <c r="B118" s="788" t="s">
        <v>756</v>
      </c>
      <c r="C118" s="788"/>
      <c r="D118" s="791"/>
      <c r="E118" s="791"/>
      <c r="F118" s="789">
        <f>+'Phase II Pro Forma'!F117/1000000</f>
        <v>0</v>
      </c>
      <c r="G118" s="789">
        <f>+'Phase II Pro Forma'!G117/1000000</f>
        <v>0</v>
      </c>
      <c r="H118" s="789">
        <f>+'Phase II Pro Forma'!H117/1000000</f>
        <v>0</v>
      </c>
      <c r="I118" s="789">
        <f>+'Phase II Pro Forma'!I117/1000000</f>
        <v>5.2999999999999992E-2</v>
      </c>
      <c r="J118" s="789">
        <f>+'Phase II Pro Forma'!J117/1000000</f>
        <v>5.2999999999999992E-2</v>
      </c>
      <c r="K118" s="789">
        <f>+'Phase II Pro Forma'!K117/1000000</f>
        <v>0</v>
      </c>
      <c r="L118" s="789">
        <f>+'Phase II Pro Forma'!L117/1000000</f>
        <v>0</v>
      </c>
      <c r="M118" s="789">
        <f>+'Phase II Pro Forma'!M117/1000000</f>
        <v>0</v>
      </c>
      <c r="N118" s="789">
        <f>+'Phase II Pro Forma'!N117/1000000</f>
        <v>0</v>
      </c>
      <c r="O118" s="789">
        <f>+'Phase II Pro Forma'!O117/1000000</f>
        <v>0</v>
      </c>
      <c r="P118" s="789">
        <f>+'Phase II Pro Forma'!P117/1000000</f>
        <v>0</v>
      </c>
      <c r="Q118" s="789">
        <f>+'Phase II Pro Forma'!Q117/1000000</f>
        <v>0</v>
      </c>
      <c r="R118" s="789">
        <f>+'Phase II Pro Forma'!R117/1000000</f>
        <v>0</v>
      </c>
      <c r="S118" s="789">
        <f>+'Phase II Pro Forma'!S117/1000000</f>
        <v>0</v>
      </c>
      <c r="T118" s="789">
        <f>+'Phase II Pro Forma'!T117/1000000</f>
        <v>0</v>
      </c>
      <c r="U118" s="789">
        <f>+'Phase II Pro Forma'!U117/1000000</f>
        <v>0</v>
      </c>
      <c r="V118" s="789">
        <f>+'Phase II Pro Forma'!V117/1000000</f>
        <v>0</v>
      </c>
      <c r="W118" s="789">
        <f>+'Phase II Pro Forma'!W117/1000000</f>
        <v>0</v>
      </c>
      <c r="X118" s="789">
        <f>+'Phase II Pro Forma'!X117/1000000</f>
        <v>0</v>
      </c>
      <c r="Y118" s="789">
        <f>+'Phase II Pro Forma'!Y117/1000000</f>
        <v>0</v>
      </c>
      <c r="Z118" s="789">
        <f>+'Phase II Pro Forma'!Z117/1000000</f>
        <v>0</v>
      </c>
    </row>
    <row r="119" spans="2:26" x14ac:dyDescent="0.2">
      <c r="B119" s="32" t="s">
        <v>490</v>
      </c>
      <c r="C119" s="32"/>
      <c r="D119" s="41"/>
      <c r="E119" s="41"/>
      <c r="F119" s="41">
        <f>+F120-E120</f>
        <v>0</v>
      </c>
      <c r="G119" s="41">
        <f t="shared" ref="G119:Z119" si="32">+G120-F120</f>
        <v>0</v>
      </c>
      <c r="H119" s="41">
        <f t="shared" si="32"/>
        <v>0</v>
      </c>
      <c r="I119" s="41">
        <f t="shared" si="32"/>
        <v>160.60606060606059</v>
      </c>
      <c r="J119" s="41">
        <f t="shared" si="32"/>
        <v>160.60606060606059</v>
      </c>
      <c r="K119" s="41">
        <f t="shared" si="32"/>
        <v>0</v>
      </c>
      <c r="L119" s="41">
        <f t="shared" si="32"/>
        <v>0</v>
      </c>
      <c r="M119" s="41">
        <f t="shared" si="32"/>
        <v>0</v>
      </c>
      <c r="N119" s="41">
        <f t="shared" si="32"/>
        <v>0</v>
      </c>
      <c r="O119" s="41">
        <f t="shared" si="32"/>
        <v>0</v>
      </c>
      <c r="P119" s="41">
        <f t="shared" si="32"/>
        <v>0</v>
      </c>
      <c r="Q119" s="41">
        <f t="shared" si="32"/>
        <v>0</v>
      </c>
      <c r="R119" s="41">
        <f t="shared" si="32"/>
        <v>0</v>
      </c>
      <c r="S119" s="41">
        <f t="shared" si="32"/>
        <v>0</v>
      </c>
      <c r="T119" s="41">
        <f t="shared" si="32"/>
        <v>0</v>
      </c>
      <c r="U119" s="41">
        <f t="shared" si="32"/>
        <v>0</v>
      </c>
      <c r="V119" s="41">
        <f t="shared" si="32"/>
        <v>0</v>
      </c>
      <c r="W119" s="41">
        <f t="shared" si="32"/>
        <v>0</v>
      </c>
      <c r="X119" s="41">
        <f t="shared" si="32"/>
        <v>0</v>
      </c>
      <c r="Y119" s="41">
        <f t="shared" si="32"/>
        <v>0</v>
      </c>
      <c r="Z119" s="41">
        <f t="shared" si="32"/>
        <v>0</v>
      </c>
    </row>
    <row r="120" spans="2:26" hidden="1" x14ac:dyDescent="0.2">
      <c r="B120" s="788" t="s">
        <v>247</v>
      </c>
      <c r="C120" s="788"/>
      <c r="D120" s="791"/>
      <c r="E120" s="791"/>
      <c r="F120" s="789">
        <f>+'Phase II Pro Forma'!F119</f>
        <v>0</v>
      </c>
      <c r="G120" s="789">
        <f>+'Phase II Pro Forma'!G119</f>
        <v>0</v>
      </c>
      <c r="H120" s="789">
        <f>+'Phase II Pro Forma'!H119</f>
        <v>0</v>
      </c>
      <c r="I120" s="789">
        <f>+'Phase II Pro Forma'!I119</f>
        <v>160.60606060606059</v>
      </c>
      <c r="J120" s="789">
        <f>+'Phase II Pro Forma'!J119</f>
        <v>321.21212121212119</v>
      </c>
      <c r="K120" s="789">
        <f>+'Phase II Pro Forma'!K119</f>
        <v>321.21212121212119</v>
      </c>
      <c r="L120" s="789">
        <f>+'Phase II Pro Forma'!L119</f>
        <v>321.21212121212119</v>
      </c>
      <c r="M120" s="789">
        <f>+'Phase II Pro Forma'!M119</f>
        <v>321.21212121212119</v>
      </c>
      <c r="N120" s="789">
        <f>+'Phase II Pro Forma'!N119</f>
        <v>321.21212121212119</v>
      </c>
      <c r="O120" s="789">
        <f>+'Phase II Pro Forma'!O119</f>
        <v>321.21212121212119</v>
      </c>
      <c r="P120" s="789">
        <f>+'Phase II Pro Forma'!P119</f>
        <v>321.21212121212119</v>
      </c>
      <c r="Q120" s="789">
        <f>+'Phase II Pro Forma'!Q119</f>
        <v>321.21212121212119</v>
      </c>
      <c r="R120" s="789">
        <f>+'Phase II Pro Forma'!R119</f>
        <v>321.21212121212119</v>
      </c>
      <c r="S120" s="789">
        <f>+'Phase II Pro Forma'!S119</f>
        <v>321.21212121212119</v>
      </c>
      <c r="T120" s="789">
        <f>+'Phase II Pro Forma'!T119</f>
        <v>321.21212121212119</v>
      </c>
      <c r="U120" s="789">
        <f>+'Phase II Pro Forma'!U119</f>
        <v>321.21212121212119</v>
      </c>
      <c r="V120" s="789">
        <f>+'Phase II Pro Forma'!V119</f>
        <v>321.21212121212119</v>
      </c>
      <c r="W120" s="789">
        <f>+'Phase II Pro Forma'!W119</f>
        <v>321.21212121212119</v>
      </c>
      <c r="X120" s="789">
        <f>+'Phase II Pro Forma'!X119</f>
        <v>321.21212121212119</v>
      </c>
      <c r="Y120" s="789">
        <f>+'Phase II Pro Forma'!Y119</f>
        <v>321.21212121212119</v>
      </c>
      <c r="Z120" s="789">
        <f>+'Phase II Pro Forma'!Z119</f>
        <v>321.21212121212119</v>
      </c>
    </row>
    <row r="121" spans="2:26" hidden="1" x14ac:dyDescent="0.2">
      <c r="B121" s="788" t="s">
        <v>784</v>
      </c>
      <c r="C121" s="788"/>
      <c r="D121" s="789">
        <v>0</v>
      </c>
      <c r="E121" s="789"/>
      <c r="F121" s="789">
        <f>+D121+F118</f>
        <v>0</v>
      </c>
      <c r="G121" s="789">
        <f t="shared" ref="G121:Z121" si="33">+F121+G118</f>
        <v>0</v>
      </c>
      <c r="H121" s="789">
        <f t="shared" si="33"/>
        <v>0</v>
      </c>
      <c r="I121" s="789">
        <f t="shared" si="33"/>
        <v>5.2999999999999992E-2</v>
      </c>
      <c r="J121" s="789">
        <f t="shared" si="33"/>
        <v>0.10599999999999998</v>
      </c>
      <c r="K121" s="789">
        <f t="shared" si="33"/>
        <v>0.10599999999999998</v>
      </c>
      <c r="L121" s="789">
        <f t="shared" si="33"/>
        <v>0.10599999999999998</v>
      </c>
      <c r="M121" s="789">
        <f t="shared" si="33"/>
        <v>0.10599999999999998</v>
      </c>
      <c r="N121" s="789">
        <f t="shared" si="33"/>
        <v>0.10599999999999998</v>
      </c>
      <c r="O121" s="789">
        <f t="shared" si="33"/>
        <v>0.10599999999999998</v>
      </c>
      <c r="P121" s="789">
        <f t="shared" si="33"/>
        <v>0.10599999999999998</v>
      </c>
      <c r="Q121" s="789">
        <f t="shared" si="33"/>
        <v>0.10599999999999998</v>
      </c>
      <c r="R121" s="789">
        <f t="shared" si="33"/>
        <v>0.10599999999999998</v>
      </c>
      <c r="S121" s="789">
        <f t="shared" si="33"/>
        <v>0.10599999999999998</v>
      </c>
      <c r="T121" s="789">
        <f t="shared" si="33"/>
        <v>0.10599999999999998</v>
      </c>
      <c r="U121" s="789">
        <f t="shared" si="33"/>
        <v>0.10599999999999998</v>
      </c>
      <c r="V121" s="789">
        <f t="shared" si="33"/>
        <v>0.10599999999999998</v>
      </c>
      <c r="W121" s="789">
        <f t="shared" si="33"/>
        <v>0.10599999999999998</v>
      </c>
      <c r="X121" s="789">
        <f t="shared" si="33"/>
        <v>0.10599999999999998</v>
      </c>
      <c r="Y121" s="789">
        <f t="shared" si="33"/>
        <v>0.10599999999999998</v>
      </c>
      <c r="Z121" s="789">
        <f t="shared" si="33"/>
        <v>0.10599999999999998</v>
      </c>
    </row>
    <row r="122" spans="2:26" hidden="1" x14ac:dyDescent="0.2">
      <c r="B122" s="788" t="s">
        <v>301</v>
      </c>
      <c r="C122" s="788"/>
      <c r="D122" s="789"/>
      <c r="E122" s="789"/>
      <c r="F122" s="790">
        <f t="shared" ref="F122:Z122" si="34">+F121/SUM($F118:$Z118)</f>
        <v>0</v>
      </c>
      <c r="G122" s="790">
        <f t="shared" si="34"/>
        <v>0</v>
      </c>
      <c r="H122" s="790">
        <f t="shared" si="34"/>
        <v>0</v>
      </c>
      <c r="I122" s="790">
        <f t="shared" si="34"/>
        <v>0.5</v>
      </c>
      <c r="J122" s="790">
        <f t="shared" si="34"/>
        <v>1</v>
      </c>
      <c r="K122" s="790">
        <f t="shared" si="34"/>
        <v>1</v>
      </c>
      <c r="L122" s="790">
        <f t="shared" si="34"/>
        <v>1</v>
      </c>
      <c r="M122" s="790">
        <f t="shared" si="34"/>
        <v>1</v>
      </c>
      <c r="N122" s="790">
        <f t="shared" si="34"/>
        <v>1</v>
      </c>
      <c r="O122" s="790">
        <f t="shared" si="34"/>
        <v>1</v>
      </c>
      <c r="P122" s="790">
        <f t="shared" si="34"/>
        <v>1</v>
      </c>
      <c r="Q122" s="790">
        <f t="shared" si="34"/>
        <v>1</v>
      </c>
      <c r="R122" s="790">
        <f t="shared" si="34"/>
        <v>1</v>
      </c>
      <c r="S122" s="790">
        <f t="shared" si="34"/>
        <v>1</v>
      </c>
      <c r="T122" s="790">
        <f t="shared" si="34"/>
        <v>1</v>
      </c>
      <c r="U122" s="790">
        <f t="shared" si="34"/>
        <v>1</v>
      </c>
      <c r="V122" s="790">
        <f t="shared" si="34"/>
        <v>1</v>
      </c>
      <c r="W122" s="790">
        <f t="shared" si="34"/>
        <v>1</v>
      </c>
      <c r="X122" s="790">
        <f t="shared" si="34"/>
        <v>1</v>
      </c>
      <c r="Y122" s="790">
        <f t="shared" si="34"/>
        <v>1</v>
      </c>
      <c r="Z122" s="790">
        <f t="shared" si="34"/>
        <v>1</v>
      </c>
    </row>
    <row r="123" spans="2:26" hidden="1" x14ac:dyDescent="0.2">
      <c r="B123" s="788"/>
      <c r="C123" s="788"/>
      <c r="D123" s="791"/>
      <c r="E123" s="791"/>
      <c r="F123" s="792"/>
      <c r="G123" s="792"/>
      <c r="H123" s="792"/>
      <c r="I123" s="792"/>
      <c r="J123" s="792"/>
      <c r="K123" s="792"/>
      <c r="L123" s="792"/>
      <c r="M123" s="792"/>
      <c r="N123" s="792"/>
      <c r="O123" s="792"/>
      <c r="P123" s="792"/>
      <c r="Q123" s="792"/>
      <c r="R123" s="792"/>
      <c r="S123" s="792"/>
      <c r="T123" s="792"/>
      <c r="U123" s="792"/>
      <c r="V123" s="792"/>
      <c r="W123" s="792"/>
      <c r="X123" s="792"/>
      <c r="Y123" s="792"/>
      <c r="Z123" s="792"/>
    </row>
    <row r="124" spans="2:26" hidden="1" x14ac:dyDescent="0.2">
      <c r="B124" s="788" t="s">
        <v>251</v>
      </c>
      <c r="C124" s="788"/>
      <c r="D124" s="789"/>
      <c r="E124" s="789"/>
      <c r="F124" s="790">
        <f>+'Phase II Pro Forma'!F123</f>
        <v>1</v>
      </c>
      <c r="G124" s="790">
        <f>+'Phase II Pro Forma'!G123</f>
        <v>1.02</v>
      </c>
      <c r="H124" s="790">
        <f>+'Phase II Pro Forma'!H123</f>
        <v>1.0404</v>
      </c>
      <c r="I124" s="790">
        <f>+'Phase II Pro Forma'!I123</f>
        <v>1.0612079999999999</v>
      </c>
      <c r="J124" s="790">
        <f>+'Phase II Pro Forma'!J123</f>
        <v>1.08243216</v>
      </c>
      <c r="K124" s="790">
        <f>+'Phase II Pro Forma'!K123</f>
        <v>1.1040808032</v>
      </c>
      <c r="L124" s="790">
        <f>+'Phase II Pro Forma'!L123</f>
        <v>1.1261624192640001</v>
      </c>
      <c r="M124" s="790">
        <f>+'Phase II Pro Forma'!M123</f>
        <v>1.14868566764928</v>
      </c>
      <c r="N124" s="790">
        <f>+'Phase II Pro Forma'!N123</f>
        <v>1.1716593810022657</v>
      </c>
      <c r="O124" s="790">
        <f>+'Phase II Pro Forma'!O123</f>
        <v>1.1950925686223111</v>
      </c>
      <c r="P124" s="790">
        <f>+'Phase II Pro Forma'!P123</f>
        <v>1.2189944199947573</v>
      </c>
      <c r="Q124" s="790">
        <f>+'Phase II Pro Forma'!Q123</f>
        <v>1.2433743083946525</v>
      </c>
      <c r="R124" s="790">
        <f>+'Phase II Pro Forma'!R123</f>
        <v>1.2682417945625455</v>
      </c>
      <c r="S124" s="790">
        <f>+'Phase II Pro Forma'!S123</f>
        <v>1.2936066304537963</v>
      </c>
      <c r="T124" s="790">
        <f>+'Phase II Pro Forma'!T123</f>
        <v>1.3194787630628724</v>
      </c>
      <c r="U124" s="790">
        <f>+'Phase II Pro Forma'!U123</f>
        <v>1.3458683383241299</v>
      </c>
      <c r="V124" s="790">
        <f>+'Phase II Pro Forma'!V123</f>
        <v>1.3727857050906125</v>
      </c>
      <c r="W124" s="790">
        <f>+'Phase II Pro Forma'!W123</f>
        <v>1.4002414191924248</v>
      </c>
      <c r="X124" s="790">
        <f>+'Phase II Pro Forma'!X123</f>
        <v>1.4282462475762734</v>
      </c>
      <c r="Y124" s="790">
        <f>+'Phase II Pro Forma'!Y123</f>
        <v>1.4568111725277988</v>
      </c>
      <c r="Z124" s="790">
        <f>+'Phase II Pro Forma'!Z123</f>
        <v>1.4859473959783549</v>
      </c>
    </row>
    <row r="125" spans="2:26" hidden="1" x14ac:dyDescent="0.2">
      <c r="B125" s="788" t="s">
        <v>252</v>
      </c>
      <c r="C125" s="788"/>
      <c r="D125" s="789"/>
      <c r="E125" s="789"/>
      <c r="F125" s="790">
        <f>+'Phase II Pro Forma'!F124</f>
        <v>1</v>
      </c>
      <c r="G125" s="790">
        <f>+'Phase II Pro Forma'!G124</f>
        <v>1.03</v>
      </c>
      <c r="H125" s="790">
        <f>+'Phase II Pro Forma'!H124</f>
        <v>1.0609</v>
      </c>
      <c r="I125" s="790">
        <f>+'Phase II Pro Forma'!I124</f>
        <v>1.092727</v>
      </c>
      <c r="J125" s="790">
        <f>+'Phase II Pro Forma'!J124</f>
        <v>1.1255088100000001</v>
      </c>
      <c r="K125" s="790">
        <f>+'Phase II Pro Forma'!K124</f>
        <v>1.1592740743000001</v>
      </c>
      <c r="L125" s="790">
        <f>+'Phase II Pro Forma'!L124</f>
        <v>1.1940522965290001</v>
      </c>
      <c r="M125" s="790">
        <f>+'Phase II Pro Forma'!M124</f>
        <v>1.2298738654248702</v>
      </c>
      <c r="N125" s="790">
        <f>+'Phase II Pro Forma'!N124</f>
        <v>1.2667700813876164</v>
      </c>
      <c r="O125" s="790">
        <f>+'Phase II Pro Forma'!O124</f>
        <v>1.3047731838292449</v>
      </c>
      <c r="P125" s="790">
        <f>+'Phase II Pro Forma'!P124</f>
        <v>1.3439163793441222</v>
      </c>
      <c r="Q125" s="790">
        <f>+'Phase II Pro Forma'!Q124</f>
        <v>1.3842338707244459</v>
      </c>
      <c r="R125" s="790">
        <f>+'Phase II Pro Forma'!R124</f>
        <v>1.4257608868461793</v>
      </c>
      <c r="S125" s="790">
        <f>+'Phase II Pro Forma'!S124</f>
        <v>1.4685337134515648</v>
      </c>
      <c r="T125" s="790">
        <f>+'Phase II Pro Forma'!T124</f>
        <v>1.5125897248551119</v>
      </c>
      <c r="U125" s="790">
        <f>+'Phase II Pro Forma'!U124</f>
        <v>1.5579674166007653</v>
      </c>
      <c r="V125" s="790">
        <f>+'Phase II Pro Forma'!V124</f>
        <v>1.6047064390987884</v>
      </c>
      <c r="W125" s="790">
        <f>+'Phase II Pro Forma'!W124</f>
        <v>1.652847632271752</v>
      </c>
      <c r="X125" s="790">
        <f>+'Phase II Pro Forma'!X124</f>
        <v>1.7024330612399046</v>
      </c>
      <c r="Y125" s="790">
        <f>+'Phase II Pro Forma'!Y124</f>
        <v>1.7535060530771018</v>
      </c>
      <c r="Z125" s="790">
        <f>+'Phase II Pro Forma'!Z124</f>
        <v>1.806111234669415</v>
      </c>
    </row>
    <row r="126" spans="2:26" ht="5" customHeight="1" x14ac:dyDescent="0.2">
      <c r="B126" s="32"/>
      <c r="C126" s="32"/>
      <c r="D126" s="39"/>
      <c r="E126" s="39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2:26" x14ac:dyDescent="0.2">
      <c r="B127" s="32" t="s">
        <v>243</v>
      </c>
      <c r="C127" s="32"/>
      <c r="D127" s="39"/>
      <c r="E127" s="39"/>
      <c r="F127" s="48">
        <f>+'Phase II Pro Forma'!F126/1000000</f>
        <v>0</v>
      </c>
      <c r="G127" s="48">
        <f>+'Phase II Pro Forma'!G126/1000000</f>
        <v>0</v>
      </c>
      <c r="H127" s="48">
        <f>+'Phase II Pro Forma'!H126/1000000</f>
        <v>0</v>
      </c>
      <c r="I127" s="48">
        <f>+'Phase II Pro Forma'!I126/1000000</f>
        <v>0.28726175079621818</v>
      </c>
      <c r="J127" s="48">
        <f>+'Phase II Pro Forma'!J126/1000000</f>
        <v>0.58601397162428515</v>
      </c>
      <c r="K127" s="48">
        <f>+'Phase II Pro Forma'!K126/1000000</f>
        <v>0.5977342510567708</v>
      </c>
      <c r="L127" s="48">
        <f>+'Phase II Pro Forma'!L126/1000000</f>
        <v>0.60968893607790631</v>
      </c>
      <c r="M127" s="48">
        <f>+'Phase II Pro Forma'!M126/1000000</f>
        <v>0.62188271479946433</v>
      </c>
      <c r="N127" s="48">
        <f>+'Phase II Pro Forma'!N126/1000000</f>
        <v>0.63432036909545364</v>
      </c>
      <c r="O127" s="48">
        <f>+'Phase II Pro Forma'!O126/1000000</f>
        <v>0.64700677647736271</v>
      </c>
      <c r="P127" s="48">
        <f>+'Phase II Pro Forma'!P126/1000000</f>
        <v>0.65994691200691002</v>
      </c>
      <c r="Q127" s="48">
        <f>+'Phase II Pro Forma'!Q126/1000000</f>
        <v>0.67314585024704821</v>
      </c>
      <c r="R127" s="48">
        <f>+'Phase II Pro Forma'!R126/1000000</f>
        <v>0.68660876725198927</v>
      </c>
      <c r="S127" s="48">
        <f>+'Phase II Pro Forma'!S126/1000000</f>
        <v>0.70034094259702895</v>
      </c>
      <c r="T127" s="48">
        <f>+'Phase II Pro Forma'!T126/1000000</f>
        <v>0.71434776144896961</v>
      </c>
      <c r="U127" s="48">
        <f>+'Phase II Pro Forma'!U126/1000000</f>
        <v>0.7286347166779491</v>
      </c>
      <c r="V127" s="48">
        <f>+'Phase II Pro Forma'!V126/1000000</f>
        <v>0.743207411011508</v>
      </c>
      <c r="W127" s="48">
        <f>+'Phase II Pro Forma'!W126/1000000</f>
        <v>0.75807155923173819</v>
      </c>
      <c r="X127" s="48">
        <f>+'Phase II Pro Forma'!X126/1000000</f>
        <v>0.77323299041637306</v>
      </c>
      <c r="Y127" s="48">
        <f>+'Phase II Pro Forma'!Y126/1000000</f>
        <v>0.78869765022470051</v>
      </c>
      <c r="Z127" s="48">
        <f>+'Phase II Pro Forma'!Z126/1000000</f>
        <v>0.80447160322919453</v>
      </c>
    </row>
    <row r="128" spans="2:26" x14ac:dyDescent="0.2">
      <c r="B128" s="32" t="s">
        <v>244</v>
      </c>
      <c r="C128" s="32"/>
      <c r="D128" s="39"/>
      <c r="E128" s="39"/>
      <c r="F128" s="771">
        <f>+'Phase II Pro Forma'!F127/1000000</f>
        <v>0</v>
      </c>
      <c r="G128" s="771">
        <f>+'Phase II Pro Forma'!G127/1000000</f>
        <v>0</v>
      </c>
      <c r="H128" s="771">
        <f>+'Phase II Pro Forma'!H127/1000000</f>
        <v>0</v>
      </c>
      <c r="I128" s="771">
        <f>+'Phase II Pro Forma'!I127/1000000</f>
        <v>-2.8726175079621819E-2</v>
      </c>
      <c r="J128" s="771">
        <f>+'Phase II Pro Forma'!J127/1000000</f>
        <v>-5.8601397162428515E-2</v>
      </c>
      <c r="K128" s="771">
        <f>+'Phase II Pro Forma'!K127/1000000</f>
        <v>-5.9773425105677083E-2</v>
      </c>
      <c r="L128" s="771">
        <f>+'Phase II Pro Forma'!L127/1000000</f>
        <v>-6.0968893607790633E-2</v>
      </c>
      <c r="M128" s="771">
        <f>+'Phase II Pro Forma'!M127/1000000</f>
        <v>-6.218827147994644E-2</v>
      </c>
      <c r="N128" s="771">
        <f>+'Phase II Pro Forma'!N127/1000000</f>
        <v>-6.3432036909545367E-2</v>
      </c>
      <c r="O128" s="771">
        <f>+'Phase II Pro Forma'!O127/1000000</f>
        <v>-6.4700677647736279E-2</v>
      </c>
      <c r="P128" s="771">
        <f>+'Phase II Pro Forma'!P127/1000000</f>
        <v>-6.5994691200691014E-2</v>
      </c>
      <c r="Q128" s="771">
        <f>+'Phase II Pro Forma'!Q127/1000000</f>
        <v>-6.7314585024704818E-2</v>
      </c>
      <c r="R128" s="771">
        <f>+'Phase II Pro Forma'!R127/1000000</f>
        <v>-6.8660876725198924E-2</v>
      </c>
      <c r="S128" s="771">
        <f>+'Phase II Pro Forma'!S127/1000000</f>
        <v>-7.0034094259702889E-2</v>
      </c>
      <c r="T128" s="771">
        <f>+'Phase II Pro Forma'!T127/1000000</f>
        <v>-7.1434776144896975E-2</v>
      </c>
      <c r="U128" s="771">
        <f>+'Phase II Pro Forma'!U127/1000000</f>
        <v>-7.2863471667794902E-2</v>
      </c>
      <c r="V128" s="771">
        <f>+'Phase II Pro Forma'!V127/1000000</f>
        <v>-7.4320741101150792E-2</v>
      </c>
      <c r="W128" s="771">
        <f>+'Phase II Pro Forma'!W127/1000000</f>
        <v>-7.5807155923173816E-2</v>
      </c>
      <c r="X128" s="771">
        <f>+'Phase II Pro Forma'!X127/1000000</f>
        <v>-7.7323299041637303E-2</v>
      </c>
      <c r="Y128" s="771">
        <f>+'Phase II Pro Forma'!Y127/1000000</f>
        <v>-7.8869765022470048E-2</v>
      </c>
      <c r="Z128" s="771">
        <f>+'Phase II Pro Forma'!Z127/1000000</f>
        <v>-8.0447160322919459E-2</v>
      </c>
    </row>
    <row r="129" spans="2:26" x14ac:dyDescent="0.2">
      <c r="B129" s="136" t="s">
        <v>253</v>
      </c>
      <c r="C129" s="136"/>
      <c r="D129" s="136"/>
      <c r="E129" s="136"/>
      <c r="F129" s="773">
        <f>+'Phase II Pro Forma'!F128/1000000</f>
        <v>0</v>
      </c>
      <c r="G129" s="773">
        <f>+'Phase II Pro Forma'!G128/1000000</f>
        <v>0</v>
      </c>
      <c r="H129" s="773">
        <f>+'Phase II Pro Forma'!H128/1000000</f>
        <v>0</v>
      </c>
      <c r="I129" s="773">
        <f>+'Phase II Pro Forma'!I128/1000000</f>
        <v>0.25853557571659636</v>
      </c>
      <c r="J129" s="773">
        <f>+'Phase II Pro Forma'!J128/1000000</f>
        <v>0.52741257446185663</v>
      </c>
      <c r="K129" s="773">
        <f>+'Phase II Pro Forma'!K128/1000000</f>
        <v>0.53796082595109374</v>
      </c>
      <c r="L129" s="773">
        <f>+'Phase II Pro Forma'!L128/1000000</f>
        <v>0.54872004247011574</v>
      </c>
      <c r="M129" s="773">
        <f>+'Phase II Pro Forma'!M128/1000000</f>
        <v>0.5596944433195179</v>
      </c>
      <c r="N129" s="773">
        <f>+'Phase II Pro Forma'!N128/1000000</f>
        <v>0.57088833218590818</v>
      </c>
      <c r="O129" s="773">
        <f>+'Phase II Pro Forma'!O128/1000000</f>
        <v>0.58230609882962647</v>
      </c>
      <c r="P129" s="773">
        <f>+'Phase II Pro Forma'!P128/1000000</f>
        <v>0.59395222080621901</v>
      </c>
      <c r="Q129" s="773">
        <f>+'Phase II Pro Forma'!Q128/1000000</f>
        <v>0.60583126522234343</v>
      </c>
      <c r="R129" s="773">
        <f>+'Phase II Pro Forma'!R128/1000000</f>
        <v>0.61794789052679033</v>
      </c>
      <c r="S129" s="773">
        <f>+'Phase II Pro Forma'!S128/1000000</f>
        <v>0.63030684833732598</v>
      </c>
      <c r="T129" s="773">
        <f>+'Phase II Pro Forma'!T128/1000000</f>
        <v>0.64291298530407259</v>
      </c>
      <c r="U129" s="773">
        <f>+'Phase II Pro Forma'!U128/1000000</f>
        <v>0.65577124501015416</v>
      </c>
      <c r="V129" s="773">
        <f>+'Phase II Pro Forma'!V128/1000000</f>
        <v>0.66888666991035717</v>
      </c>
      <c r="W129" s="773">
        <f>+'Phase II Pro Forma'!W128/1000000</f>
        <v>0.6822644033085643</v>
      </c>
      <c r="X129" s="773">
        <f>+'Phase II Pro Forma'!X128/1000000</f>
        <v>0.69590969137473568</v>
      </c>
      <c r="Y129" s="773">
        <f>+'Phase II Pro Forma'!Y128/1000000</f>
        <v>0.70982788520223039</v>
      </c>
      <c r="Z129" s="773">
        <f>+'Phase II Pro Forma'!Z128/1000000</f>
        <v>0.72402444290627499</v>
      </c>
    </row>
    <row r="130" spans="2:26" ht="5" customHeight="1" x14ac:dyDescent="0.2"/>
    <row r="131" spans="2:26" x14ac:dyDescent="0.2">
      <c r="B131" s="32" t="s">
        <v>389</v>
      </c>
      <c r="F131" s="48">
        <f>+'Phase II Pro Forma'!F130/1000000</f>
        <v>0</v>
      </c>
      <c r="G131" s="48">
        <f>+'Phase II Pro Forma'!G130/1000000</f>
        <v>0</v>
      </c>
      <c r="H131" s="48">
        <f>+'Phase II Pro Forma'!H130/1000000</f>
        <v>0</v>
      </c>
      <c r="I131" s="48">
        <f>+'Phase II Pro Forma'!I130/1000000</f>
        <v>9.1294360685454545E-2</v>
      </c>
      <c r="J131" s="48">
        <f>+'Phase II Pro Forma'!J130/1000000</f>
        <v>0.1880663830120364</v>
      </c>
      <c r="K131" s="48">
        <f>+'Phase II Pro Forma'!K130/1000000</f>
        <v>0.1937083745023975</v>
      </c>
      <c r="L131" s="48">
        <f>+'Phase II Pro Forma'!L130/1000000</f>
        <v>0.1995196257374694</v>
      </c>
      <c r="M131" s="48">
        <f>+'Phase II Pro Forma'!M130/1000000</f>
        <v>0.20550521450959353</v>
      </c>
      <c r="N131" s="48">
        <f>+'Phase II Pro Forma'!N130/1000000</f>
        <v>0.21167037094488131</v>
      </c>
      <c r="O131" s="48">
        <f>+'Phase II Pro Forma'!O130/1000000</f>
        <v>0.2180204820732278</v>
      </c>
      <c r="P131" s="48">
        <f>+'Phase II Pro Forma'!P130/1000000</f>
        <v>0.22456109653542461</v>
      </c>
      <c r="Q131" s="48">
        <f>+'Phase II Pro Forma'!Q130/1000000</f>
        <v>0.23129792943148733</v>
      </c>
      <c r="R131" s="48">
        <f>+'Phase II Pro Forma'!R130/1000000</f>
        <v>0.23823686731443197</v>
      </c>
      <c r="S131" s="48">
        <f>+'Phase II Pro Forma'!S130/1000000</f>
        <v>0.24538397333386494</v>
      </c>
      <c r="T131" s="48">
        <f>+'Phase II Pro Forma'!T130/1000000</f>
        <v>0.2527454925338809</v>
      </c>
      <c r="U131" s="48">
        <f>+'Phase II Pro Forma'!U130/1000000</f>
        <v>0.26032785730989738</v>
      </c>
      <c r="V131" s="48">
        <f>+'Phase II Pro Forma'!V130/1000000</f>
        <v>0.26813769302919432</v>
      </c>
      <c r="W131" s="48">
        <f>+'Phase II Pro Forma'!W130/1000000</f>
        <v>0.27618182382007012</v>
      </c>
      <c r="X131" s="48">
        <f>+'Phase II Pro Forma'!X130/1000000</f>
        <v>0.28446727853467224</v>
      </c>
      <c r="Y131" s="48">
        <f>+'Phase II Pro Forma'!Y130/1000000</f>
        <v>0.29300129689071241</v>
      </c>
      <c r="Z131" s="48">
        <f>+'Phase II Pro Forma'!Z130/1000000</f>
        <v>0.30179133579743378</v>
      </c>
    </row>
    <row r="132" spans="2:26" x14ac:dyDescent="0.2">
      <c r="B132" s="32" t="s">
        <v>325</v>
      </c>
      <c r="F132" s="772">
        <f ca="1">+'Phase II Pro Forma'!F131/1000000</f>
        <v>0</v>
      </c>
      <c r="G132" s="772">
        <f ca="1">+'Phase II Pro Forma'!G131/1000000</f>
        <v>0</v>
      </c>
      <c r="H132" s="772">
        <f ca="1">+'Phase II Pro Forma'!H131/1000000</f>
        <v>0</v>
      </c>
      <c r="I132" s="772">
        <f ca="1">+'Phase II Pro Forma'!I131/1000000</f>
        <v>4.4914874358260769E-2</v>
      </c>
      <c r="J132" s="772">
        <f ca="1">+'Phase II Pro Forma'!J131/1000000</f>
        <v>9.1626343690851972E-2</v>
      </c>
      <c r="K132" s="772">
        <f ca="1">+'Phase II Pro Forma'!K131/1000000</f>
        <v>9.1626343690851972E-2</v>
      </c>
      <c r="L132" s="772">
        <f ca="1">+'Phase II Pro Forma'!L131/1000000</f>
        <v>9.1626343690851972E-2</v>
      </c>
      <c r="M132" s="772">
        <f ca="1">+'Phase II Pro Forma'!M131/1000000</f>
        <v>9.3458870564669019E-2</v>
      </c>
      <c r="N132" s="772">
        <f ca="1">+'Phase II Pro Forma'!N131/1000000</f>
        <v>9.3458870564669019E-2</v>
      </c>
      <c r="O132" s="772">
        <f ca="1">+'Phase II Pro Forma'!O131/1000000</f>
        <v>9.3458870564669019E-2</v>
      </c>
      <c r="P132" s="772">
        <f ca="1">+'Phase II Pro Forma'!P131/1000000</f>
        <v>9.5328047975962379E-2</v>
      </c>
      <c r="Q132" s="772">
        <f ca="1">+'Phase II Pro Forma'!Q131/1000000</f>
        <v>9.5328047975962379E-2</v>
      </c>
      <c r="R132" s="772">
        <f ca="1">+'Phase II Pro Forma'!R131/1000000</f>
        <v>9.5328047975962379E-2</v>
      </c>
      <c r="S132" s="772">
        <f ca="1">+'Phase II Pro Forma'!S131/1000000</f>
        <v>9.7234608935481637E-2</v>
      </c>
      <c r="T132" s="772">
        <f ca="1">+'Phase II Pro Forma'!T131/1000000</f>
        <v>9.7234608935481637E-2</v>
      </c>
      <c r="U132" s="772">
        <f ca="1">+'Phase II Pro Forma'!U131/1000000</f>
        <v>9.7234608935481637E-2</v>
      </c>
      <c r="V132" s="772">
        <f ca="1">+'Phase II Pro Forma'!V131/1000000</f>
        <v>9.9179301114191293E-2</v>
      </c>
      <c r="W132" s="772">
        <f ca="1">+'Phase II Pro Forma'!W131/1000000</f>
        <v>9.9179301114191293E-2</v>
      </c>
      <c r="X132" s="772">
        <f ca="1">+'Phase II Pro Forma'!X131/1000000</f>
        <v>9.9179301114191293E-2</v>
      </c>
      <c r="Y132" s="772">
        <f ca="1">+'Phase II Pro Forma'!Y131/1000000</f>
        <v>0.10116288713647512</v>
      </c>
      <c r="Z132" s="772">
        <f ca="1">+'Phase II Pro Forma'!Z131/1000000</f>
        <v>0.10116288713647512</v>
      </c>
    </row>
    <row r="133" spans="2:26" x14ac:dyDescent="0.2">
      <c r="B133" s="136" t="s">
        <v>249</v>
      </c>
      <c r="C133" s="136"/>
      <c r="D133" s="136"/>
      <c r="E133" s="136"/>
      <c r="F133" s="773">
        <f ca="1">+'Phase II Pro Forma'!F132/1000000</f>
        <v>0</v>
      </c>
      <c r="G133" s="773">
        <f ca="1">+'Phase II Pro Forma'!G132/1000000</f>
        <v>0</v>
      </c>
      <c r="H133" s="773">
        <f ca="1">+'Phase II Pro Forma'!H132/1000000</f>
        <v>0</v>
      </c>
      <c r="I133" s="773">
        <f ca="1">+'Phase II Pro Forma'!I132/1000000</f>
        <v>0.13620923504371535</v>
      </c>
      <c r="J133" s="773">
        <f ca="1">+'Phase II Pro Forma'!J132/1000000</f>
        <v>0.27969272670288836</v>
      </c>
      <c r="K133" s="773">
        <f ca="1">+'Phase II Pro Forma'!K132/1000000</f>
        <v>0.2853347181932494</v>
      </c>
      <c r="L133" s="773">
        <f ca="1">+'Phase II Pro Forma'!L132/1000000</f>
        <v>0.29114596942832133</v>
      </c>
      <c r="M133" s="773">
        <f ca="1">+'Phase II Pro Forma'!M132/1000000</f>
        <v>0.29896408507426259</v>
      </c>
      <c r="N133" s="773">
        <f ca="1">+'Phase II Pro Forma'!N132/1000000</f>
        <v>0.30512924150955034</v>
      </c>
      <c r="O133" s="773">
        <f ca="1">+'Phase II Pro Forma'!O132/1000000</f>
        <v>0.31147935263789678</v>
      </c>
      <c r="P133" s="773">
        <f ca="1">+'Phase II Pro Forma'!P132/1000000</f>
        <v>0.319889144511387</v>
      </c>
      <c r="Q133" s="773">
        <f ca="1">+'Phase II Pro Forma'!Q132/1000000</f>
        <v>0.32662597740744975</v>
      </c>
      <c r="R133" s="773">
        <f ca="1">+'Phase II Pro Forma'!R132/1000000</f>
        <v>0.33356491529039434</v>
      </c>
      <c r="S133" s="773">
        <f ca="1">+'Phase II Pro Forma'!S132/1000000</f>
        <v>0.34261858226934655</v>
      </c>
      <c r="T133" s="773">
        <f ca="1">+'Phase II Pro Forma'!T132/1000000</f>
        <v>0.34998010146936254</v>
      </c>
      <c r="U133" s="773">
        <f ca="1">+'Phase II Pro Forma'!U132/1000000</f>
        <v>0.35756246624537902</v>
      </c>
      <c r="V133" s="773">
        <f ca="1">+'Phase II Pro Forma'!V132/1000000</f>
        <v>0.36731699414338559</v>
      </c>
      <c r="W133" s="773">
        <f ca="1">+'Phase II Pro Forma'!W132/1000000</f>
        <v>0.37536112493426144</v>
      </c>
      <c r="X133" s="773">
        <f ca="1">+'Phase II Pro Forma'!X132/1000000</f>
        <v>0.38364657964886351</v>
      </c>
      <c r="Y133" s="773">
        <f ca="1">+'Phase II Pro Forma'!Y132/1000000</f>
        <v>0.3941641840271875</v>
      </c>
      <c r="Z133" s="773">
        <f ca="1">+'Phase II Pro Forma'!Z132/1000000</f>
        <v>0.40295422293390892</v>
      </c>
    </row>
    <row r="134" spans="2:26" ht="5" customHeight="1" x14ac:dyDescent="0.2">
      <c r="B134" s="32"/>
    </row>
    <row r="135" spans="2:26" x14ac:dyDescent="0.2">
      <c r="B135" s="777" t="s">
        <v>248</v>
      </c>
      <c r="C135" s="777"/>
      <c r="D135" s="777"/>
      <c r="E135" s="777"/>
      <c r="F135" s="778">
        <f ca="1">+F129-F133</f>
        <v>0</v>
      </c>
      <c r="G135" s="778">
        <f t="shared" ref="G135:Z135" ca="1" si="35">+G129-G133</f>
        <v>0</v>
      </c>
      <c r="H135" s="778">
        <f t="shared" ca="1" si="35"/>
        <v>0</v>
      </c>
      <c r="I135" s="778">
        <f t="shared" ca="1" si="35"/>
        <v>0.12232634067288101</v>
      </c>
      <c r="J135" s="778">
        <f t="shared" ca="1" si="35"/>
        <v>0.24771984775896827</v>
      </c>
      <c r="K135" s="778">
        <f t="shared" ca="1" si="35"/>
        <v>0.25262610775784433</v>
      </c>
      <c r="L135" s="778">
        <f t="shared" ca="1" si="35"/>
        <v>0.25757407304179442</v>
      </c>
      <c r="M135" s="778">
        <f t="shared" ca="1" si="35"/>
        <v>0.26073035824525531</v>
      </c>
      <c r="N135" s="778">
        <f t="shared" ca="1" si="35"/>
        <v>0.26575909067635783</v>
      </c>
      <c r="O135" s="778">
        <f t="shared" ca="1" si="35"/>
        <v>0.27082674619172969</v>
      </c>
      <c r="P135" s="778">
        <f t="shared" ca="1" si="35"/>
        <v>0.27406307629483201</v>
      </c>
      <c r="Q135" s="778">
        <f t="shared" ca="1" si="35"/>
        <v>0.27920528781489368</v>
      </c>
      <c r="R135" s="778">
        <f t="shared" ca="1" si="35"/>
        <v>0.284382975236396</v>
      </c>
      <c r="S135" s="778">
        <f t="shared" ca="1" si="35"/>
        <v>0.28768826606797943</v>
      </c>
      <c r="T135" s="778">
        <f t="shared" ca="1" si="35"/>
        <v>0.29293288383471006</v>
      </c>
      <c r="U135" s="778">
        <f t="shared" ca="1" si="35"/>
        <v>0.29820877876477514</v>
      </c>
      <c r="V135" s="778">
        <f t="shared" ca="1" si="35"/>
        <v>0.30156967576697158</v>
      </c>
      <c r="W135" s="778">
        <f t="shared" ca="1" si="35"/>
        <v>0.30690327837430287</v>
      </c>
      <c r="X135" s="778">
        <f t="shared" ca="1" si="35"/>
        <v>0.31226311172587218</v>
      </c>
      <c r="Y135" s="778">
        <f t="shared" ca="1" si="35"/>
        <v>0.31566370117504289</v>
      </c>
      <c r="Z135" s="778">
        <f t="shared" ca="1" si="35"/>
        <v>0.32107021997236607</v>
      </c>
    </row>
    <row r="136" spans="2:26" x14ac:dyDescent="0.2">
      <c r="B136" s="779" t="s">
        <v>254</v>
      </c>
      <c r="C136" s="780"/>
      <c r="D136" s="780"/>
      <c r="E136" s="780"/>
      <c r="F136" s="781" t="str">
        <f ca="1">+IFERROR(F135/F129,"")</f>
        <v/>
      </c>
      <c r="G136" s="781" t="str">
        <f t="shared" ref="G136:Z136" ca="1" si="36">+IFERROR(G135/G129,"")</f>
        <v/>
      </c>
      <c r="H136" s="781" t="str">
        <f t="shared" ca="1" si="36"/>
        <v/>
      </c>
      <c r="I136" s="782">
        <f t="shared" ca="1" si="36"/>
        <v>0.47315090131724735</v>
      </c>
      <c r="J136" s="782">
        <f t="shared" ca="1" si="36"/>
        <v>0.4696889299837575</v>
      </c>
      <c r="K136" s="782">
        <f t="shared" ca="1" si="36"/>
        <v>0.4695994495718368</v>
      </c>
      <c r="L136" s="782">
        <f t="shared" ca="1" si="36"/>
        <v>0.46940890272988772</v>
      </c>
      <c r="M136" s="782">
        <f t="shared" ca="1" si="36"/>
        <v>0.46584410718619512</v>
      </c>
      <c r="N136" s="782">
        <f t="shared" ca="1" si="36"/>
        <v>0.46551851858449639</v>
      </c>
      <c r="O136" s="782">
        <f t="shared" ca="1" si="36"/>
        <v>0.46509343923421503</v>
      </c>
      <c r="P136" s="782">
        <f t="shared" ca="1" si="36"/>
        <v>0.46142276549252431</v>
      </c>
      <c r="Q136" s="782">
        <f t="shared" ca="1" si="36"/>
        <v>0.46086312120656864</v>
      </c>
      <c r="R136" s="782">
        <f t="shared" ca="1" si="36"/>
        <v>0.46020543090448002</v>
      </c>
      <c r="S136" s="782">
        <f t="shared" ca="1" si="36"/>
        <v>0.45642573427032662</v>
      </c>
      <c r="T136" s="782">
        <f t="shared" ca="1" si="36"/>
        <v>0.45563379575567958</v>
      </c>
      <c r="U136" s="782">
        <f t="shared" ca="1" si="36"/>
        <v>0.45474512802121658</v>
      </c>
      <c r="V136" s="782">
        <f t="shared" ca="1" si="36"/>
        <v>0.45085317039938522</v>
      </c>
      <c r="W136" s="782">
        <f t="shared" ca="1" si="36"/>
        <v>0.44983041308620236</v>
      </c>
      <c r="X136" s="782">
        <f t="shared" ca="1" si="36"/>
        <v>0.44871211824771634</v>
      </c>
      <c r="Y136" s="782">
        <f t="shared" ca="1" si="36"/>
        <v>0.44470456536813868</v>
      </c>
      <c r="Z136" s="782">
        <f t="shared" ca="1" si="36"/>
        <v>0.44345218330416042</v>
      </c>
    </row>
    <row r="137" spans="2:26" x14ac:dyDescent="0.2">
      <c r="B137" s="779" t="s">
        <v>188</v>
      </c>
      <c r="C137" s="780"/>
      <c r="D137" s="780"/>
      <c r="E137" s="780"/>
      <c r="F137" s="783">
        <f ca="1">+'Phase II Pro Forma'!F136/1000000</f>
        <v>0</v>
      </c>
      <c r="G137" s="783">
        <f ca="1">+'Phase II Pro Forma'!G136/1000000</f>
        <v>0</v>
      </c>
      <c r="H137" s="783">
        <f ca="1">+'Phase II Pro Forma'!H136/1000000</f>
        <v>0</v>
      </c>
      <c r="I137" s="783">
        <f ca="1">+'Phase II Pro Forma'!I136/1000000</f>
        <v>1.8819437026597079</v>
      </c>
      <c r="J137" s="783">
        <f ca="1">+'Phase II Pro Forma'!J136/1000000</f>
        <v>3.8110745809072037</v>
      </c>
      <c r="K137" s="783">
        <f ca="1">+'Phase II Pro Forma'!K136/1000000</f>
        <v>3.8865555039668349</v>
      </c>
      <c r="L137" s="783">
        <f ca="1">+'Phase II Pro Forma'!L136/1000000</f>
        <v>3.9626780467968361</v>
      </c>
      <c r="M137" s="783">
        <f ca="1">+'Phase II Pro Forma'!M136/1000000</f>
        <v>4.0112362806962354</v>
      </c>
      <c r="N137" s="783">
        <f ca="1">+'Phase II Pro Forma'!N136/1000000</f>
        <v>4.0886013950208904</v>
      </c>
      <c r="O137" s="783">
        <f ca="1">+'Phase II Pro Forma'!O136/1000000</f>
        <v>4.1665653260266104</v>
      </c>
      <c r="P137" s="783">
        <f ca="1">+'Phase II Pro Forma'!P136/1000000</f>
        <v>4.2163550199204929</v>
      </c>
      <c r="Q137" s="783">
        <f ca="1">+'Phase II Pro Forma'!Q136/1000000</f>
        <v>4.2954659663829791</v>
      </c>
      <c r="R137" s="783">
        <f ca="1">+'Phase II Pro Forma'!R136/1000000</f>
        <v>4.3751226959445528</v>
      </c>
      <c r="S137" s="783">
        <f ca="1">+'Phase II Pro Forma'!S136/1000000</f>
        <v>4.4259733241227597</v>
      </c>
      <c r="T137" s="783">
        <f ca="1">+'Phase II Pro Forma'!T136/1000000</f>
        <v>4.5066597513032312</v>
      </c>
      <c r="U137" s="783">
        <f ca="1">+'Phase II Pro Forma'!U136/1000000</f>
        <v>4.5878273656119255</v>
      </c>
      <c r="V137" s="783">
        <f ca="1">+'Phase II Pro Forma'!V136/1000000</f>
        <v>4.6395334733380249</v>
      </c>
      <c r="W137" s="783">
        <f ca="1">+'Phase II Pro Forma'!W136/1000000</f>
        <v>4.7215888980661989</v>
      </c>
      <c r="X137" s="783">
        <f ca="1">+'Phase II Pro Forma'!X136/1000000</f>
        <v>4.8040478727057252</v>
      </c>
      <c r="Y137" s="783">
        <f ca="1">+'Phase II Pro Forma'!Y136/1000000</f>
        <v>4.8563646334621984</v>
      </c>
      <c r="Z137" s="783">
        <f ca="1">+'Phase II Pro Forma'!Z136/1000000</f>
        <v>4.9395418457287095</v>
      </c>
    </row>
    <row r="138" spans="2:26" ht="5" customHeight="1" x14ac:dyDescent="0.2"/>
    <row r="139" spans="2:26" x14ac:dyDescent="0.2">
      <c r="B139" s="137" t="s">
        <v>770</v>
      </c>
      <c r="C139" s="137"/>
      <c r="D139" s="137"/>
      <c r="E139" s="137"/>
      <c r="F139" s="774">
        <f t="shared" ref="F139:Z139" ca="1" si="37">+F135+F113+F92+F71+F50+F27</f>
        <v>0</v>
      </c>
      <c r="G139" s="774">
        <f t="shared" ca="1" si="37"/>
        <v>0</v>
      </c>
      <c r="H139" s="774">
        <f t="shared" ca="1" si="37"/>
        <v>0</v>
      </c>
      <c r="I139" s="774">
        <f t="shared" ca="1" si="37"/>
        <v>5.5255446244101574</v>
      </c>
      <c r="J139" s="774">
        <f t="shared" ca="1" si="37"/>
        <v>11.201767311985197</v>
      </c>
      <c r="K139" s="774">
        <f t="shared" ca="1" si="37"/>
        <v>11.403435464829812</v>
      </c>
      <c r="L139" s="774">
        <f t="shared" ca="1" si="37"/>
        <v>12.212578757939669</v>
      </c>
      <c r="M139" s="774">
        <f t="shared" ca="1" si="37"/>
        <v>12.379583089409325</v>
      </c>
      <c r="N139" s="774">
        <f t="shared" ca="1" si="37"/>
        <v>12.598984298541032</v>
      </c>
      <c r="O139" s="774">
        <f t="shared" ca="1" si="37"/>
        <v>12.824641957385866</v>
      </c>
      <c r="P139" s="774">
        <f t="shared" ca="1" si="37"/>
        <v>13.009494462040752</v>
      </c>
      <c r="Q139" s="774">
        <f t="shared" ca="1" si="37"/>
        <v>13.910118964295345</v>
      </c>
      <c r="R139" s="774">
        <f t="shared" ca="1" si="37"/>
        <v>14.155654440265192</v>
      </c>
      <c r="S139" s="774">
        <f t="shared" ca="1" si="37"/>
        <v>14.360015913773319</v>
      </c>
      <c r="T139" s="774">
        <f t="shared" ca="1" si="37"/>
        <v>14.619782028232914</v>
      </c>
      <c r="U139" s="774">
        <f t="shared" ca="1" si="37"/>
        <v>14.886974462777271</v>
      </c>
      <c r="V139" s="774">
        <f t="shared" ca="1" si="37"/>
        <v>15.840752882371198</v>
      </c>
      <c r="W139" s="774">
        <f t="shared" ca="1" si="37"/>
        <v>16.123450643116509</v>
      </c>
      <c r="X139" s="774">
        <f t="shared" ca="1" si="37"/>
        <v>16.414240230604893</v>
      </c>
      <c r="Y139" s="774">
        <f t="shared" ca="1" si="37"/>
        <v>16.663222195428926</v>
      </c>
      <c r="Z139" s="774">
        <f t="shared" ca="1" si="37"/>
        <v>16.970907247983565</v>
      </c>
    </row>
    <row r="141" spans="2:26" x14ac:dyDescent="0.2">
      <c r="B141" s="147" t="s">
        <v>786</v>
      </c>
      <c r="F141" s="776">
        <f>+F117</f>
        <v>44926</v>
      </c>
      <c r="G141" s="776">
        <f t="shared" ref="G141:Z141" si="38">+G117</f>
        <v>45291</v>
      </c>
      <c r="H141" s="776">
        <f t="shared" si="38"/>
        <v>45657</v>
      </c>
      <c r="I141" s="776">
        <f t="shared" si="38"/>
        <v>46022</v>
      </c>
      <c r="J141" s="776">
        <f t="shared" si="38"/>
        <v>46387</v>
      </c>
      <c r="K141" s="776">
        <f t="shared" si="38"/>
        <v>46752</v>
      </c>
      <c r="L141" s="776">
        <f t="shared" si="38"/>
        <v>47118</v>
      </c>
      <c r="M141" s="776">
        <f t="shared" si="38"/>
        <v>47483</v>
      </c>
      <c r="N141" s="776">
        <f t="shared" si="38"/>
        <v>47848</v>
      </c>
      <c r="O141" s="776">
        <f t="shared" si="38"/>
        <v>48213</v>
      </c>
      <c r="P141" s="776">
        <f t="shared" si="38"/>
        <v>48579</v>
      </c>
      <c r="Q141" s="776">
        <f t="shared" si="38"/>
        <v>48944</v>
      </c>
      <c r="R141" s="776">
        <f t="shared" si="38"/>
        <v>49309</v>
      </c>
      <c r="S141" s="776">
        <f t="shared" si="38"/>
        <v>49674</v>
      </c>
      <c r="T141" s="776">
        <f t="shared" si="38"/>
        <v>50040</v>
      </c>
      <c r="U141" s="776">
        <f t="shared" si="38"/>
        <v>50405</v>
      </c>
      <c r="V141" s="776">
        <f t="shared" si="38"/>
        <v>50770</v>
      </c>
      <c r="W141" s="776">
        <f t="shared" si="38"/>
        <v>51135</v>
      </c>
      <c r="X141" s="776">
        <f t="shared" si="38"/>
        <v>51501</v>
      </c>
      <c r="Y141" s="776">
        <f t="shared" si="38"/>
        <v>51866</v>
      </c>
      <c r="Z141" s="776">
        <f t="shared" si="38"/>
        <v>52231</v>
      </c>
    </row>
    <row r="142" spans="2:26" hidden="1" x14ac:dyDescent="0.2">
      <c r="B142" s="788" t="s">
        <v>331</v>
      </c>
      <c r="C142" s="793"/>
      <c r="D142" s="793"/>
      <c r="E142" s="793"/>
      <c r="F142" s="794">
        <f>+'Phase II Pro Forma'!F141/1000000</f>
        <v>0</v>
      </c>
      <c r="G142" s="794">
        <f ca="1">+'Phase II Pro Forma'!G141/1000000</f>
        <v>0</v>
      </c>
      <c r="H142" s="794">
        <f ca="1">+'Phase II Pro Forma'!H141/1000000</f>
        <v>0</v>
      </c>
      <c r="I142" s="794">
        <f ca="1">+'Phase II Pro Forma'!I141/1000000</f>
        <v>0</v>
      </c>
      <c r="J142" s="794">
        <f ca="1">+'Phase II Pro Forma'!J141/1000000</f>
        <v>117.75178192173362</v>
      </c>
      <c r="K142" s="794">
        <f ca="1">+'Phase II Pro Forma'!K141/1000000</f>
        <v>116.28289937478246</v>
      </c>
      <c r="L142" s="794">
        <f ca="1">+'Phase II Pro Forma'!L141/1000000</f>
        <v>114.71853946227947</v>
      </c>
      <c r="M142" s="794">
        <f ca="1">+'Phase II Pro Forma'!M141/1000000</f>
        <v>113.05249615546379</v>
      </c>
      <c r="N142" s="794">
        <f ca="1">+'Phase II Pro Forma'!N141/1000000</f>
        <v>111.27816003370509</v>
      </c>
      <c r="O142" s="794">
        <f ca="1">+'Phase II Pro Forma'!O141/1000000</f>
        <v>109.38849206403208</v>
      </c>
      <c r="P142" s="794">
        <f ca="1">+'Phase II Pro Forma'!P141/1000000</f>
        <v>107.37599567633033</v>
      </c>
      <c r="Q142" s="794">
        <f ca="1">+'Phase II Pro Forma'!Q141/1000000</f>
        <v>105.23268702342796</v>
      </c>
      <c r="R142" s="794">
        <f ca="1">+'Phase II Pro Forma'!R141/1000000</f>
        <v>102.95006330808692</v>
      </c>
      <c r="S142" s="794">
        <f ca="1">+'Phase II Pro Forma'!S141/1000000</f>
        <v>100.51906905124875</v>
      </c>
      <c r="T142" s="794">
        <f ca="1">+'Phase II Pro Forma'!T141/1000000</f>
        <v>97.930060167716064</v>
      </c>
      <c r="U142" s="794">
        <f ca="1">+'Phase II Pro Forma'!U141/1000000</f>
        <v>95.172765706753779</v>
      </c>
      <c r="V142" s="794">
        <f ca="1">+'Phase II Pro Forma'!V141/1000000</f>
        <v>92.236247105828923</v>
      </c>
      <c r="W142" s="794">
        <f ca="1">+'Phase II Pro Forma'!W141/1000000</f>
        <v>89.108854795843953</v>
      </c>
      <c r="X142" s="794">
        <f ca="1">+'Phase II Pro Forma'!X141/1000000</f>
        <v>85.778181985709963</v>
      </c>
      <c r="Y142" s="794">
        <f ca="1">+'Phase II Pro Forma'!Y141/1000000</f>
        <v>82.231015442917268</v>
      </c>
      <c r="Z142" s="794">
        <f ca="1">+'Phase II Pro Forma'!Z141/1000000</f>
        <v>78.453283074843043</v>
      </c>
    </row>
    <row r="143" spans="2:26" x14ac:dyDescent="0.2">
      <c r="B143" s="32" t="s">
        <v>342</v>
      </c>
      <c r="F143" s="48">
        <f>+'Phase II Pro Forma'!F142/1000000</f>
        <v>0</v>
      </c>
      <c r="G143" s="48">
        <f>+'Phase II Pro Forma'!G142/1000000</f>
        <v>0</v>
      </c>
      <c r="H143" s="48">
        <f>+'Phase II Pro Forma'!H142/1000000</f>
        <v>0</v>
      </c>
      <c r="I143" s="48">
        <f ca="1">+'Phase II Pro Forma'!I142/1000000</f>
        <v>119.13101436018542</v>
      </c>
      <c r="J143" s="48">
        <f>+'Phase II Pro Forma'!J142/1000000</f>
        <v>0</v>
      </c>
      <c r="K143" s="48">
        <f>+'Phase II Pro Forma'!K142/1000000</f>
        <v>0</v>
      </c>
      <c r="L143" s="48">
        <f>+'Phase II Pro Forma'!L142/1000000</f>
        <v>0</v>
      </c>
      <c r="M143" s="48">
        <f>+'Phase II Pro Forma'!M142/1000000</f>
        <v>0</v>
      </c>
      <c r="N143" s="48">
        <f>+'Phase II Pro Forma'!N142/1000000</f>
        <v>0</v>
      </c>
      <c r="O143" s="48">
        <f>+'Phase II Pro Forma'!O142/1000000</f>
        <v>0</v>
      </c>
      <c r="P143" s="48">
        <f>+'Phase II Pro Forma'!P142/1000000</f>
        <v>0</v>
      </c>
      <c r="Q143" s="48">
        <f>+'Phase II Pro Forma'!Q142/1000000</f>
        <v>0</v>
      </c>
      <c r="R143" s="48">
        <f>+'Phase II Pro Forma'!R142/1000000</f>
        <v>0</v>
      </c>
      <c r="S143" s="48">
        <f>+'Phase II Pro Forma'!S142/1000000</f>
        <v>0</v>
      </c>
      <c r="T143" s="48">
        <f>+'Phase II Pro Forma'!T142/1000000</f>
        <v>0</v>
      </c>
      <c r="U143" s="48">
        <f>+'Phase II Pro Forma'!U142/1000000</f>
        <v>0</v>
      </c>
      <c r="V143" s="48">
        <f>+'Phase II Pro Forma'!V142/1000000</f>
        <v>0</v>
      </c>
      <c r="W143" s="48">
        <f>+'Phase II Pro Forma'!W142/1000000</f>
        <v>0</v>
      </c>
      <c r="X143" s="48">
        <f>+'Phase II Pro Forma'!X142/1000000</f>
        <v>0</v>
      </c>
      <c r="Y143" s="48">
        <f>+'Phase II Pro Forma'!Y142/1000000</f>
        <v>0</v>
      </c>
      <c r="Z143" s="48">
        <f>+'Phase II Pro Forma'!Z142/1000000</f>
        <v>0</v>
      </c>
    </row>
    <row r="144" spans="2:26" x14ac:dyDescent="0.2">
      <c r="B144" s="32" t="s">
        <v>162</v>
      </c>
      <c r="F144" s="772">
        <f ca="1">+'Phase II Pro Forma'!F143/1000000</f>
        <v>0</v>
      </c>
      <c r="G144" s="772">
        <f ca="1">+'Phase II Pro Forma'!G143/1000000</f>
        <v>0</v>
      </c>
      <c r="H144" s="772">
        <f ca="1">+'Phase II Pro Forma'!H143/1000000</f>
        <v>0</v>
      </c>
      <c r="I144" s="772">
        <f ca="1">+'Phase II Pro Forma'!I143/1000000</f>
        <v>-1.3792324384517916</v>
      </c>
      <c r="J144" s="772">
        <f ca="1">+'Phase II Pro Forma'!J143/1000000</f>
        <v>-1.4688825469511577</v>
      </c>
      <c r="K144" s="772">
        <f ca="1">+'Phase II Pro Forma'!K143/1000000</f>
        <v>-1.5643599125029832</v>
      </c>
      <c r="L144" s="772">
        <f ca="1">+'Phase II Pro Forma'!L143/1000000</f>
        <v>-1.666043306815677</v>
      </c>
      <c r="M144" s="772">
        <f ca="1">+'Phase II Pro Forma'!M143/1000000</f>
        <v>-1.7743361217586961</v>
      </c>
      <c r="N144" s="772">
        <f ca="1">+'Phase II Pro Forma'!N143/1000000</f>
        <v>-1.8896679696730114</v>
      </c>
      <c r="O144" s="772">
        <f ca="1">+'Phase II Pro Forma'!O143/1000000</f>
        <v>-2.012496387701757</v>
      </c>
      <c r="P144" s="772">
        <f ca="1">+'Phase II Pro Forma'!P143/1000000</f>
        <v>-2.143308652902371</v>
      </c>
      <c r="Q144" s="772">
        <f ca="1">+'Phase II Pro Forma'!Q143/1000000</f>
        <v>-2.2826237153410256</v>
      </c>
      <c r="R144" s="772">
        <f ca="1">+'Phase II Pro Forma'!R143/1000000</f>
        <v>-2.4309942568381921</v>
      </c>
      <c r="S144" s="772">
        <f ca="1">+'Phase II Pro Forma'!S143/1000000</f>
        <v>-2.5890088835326748</v>
      </c>
      <c r="T144" s="772">
        <f ca="1">+'Phase II Pro Forma'!T143/1000000</f>
        <v>-2.7572944609622989</v>
      </c>
      <c r="U144" s="772">
        <f ca="1">+'Phase II Pro Forma'!U143/1000000</f>
        <v>-2.9365186009248476</v>
      </c>
      <c r="V144" s="772">
        <f ca="1">+'Phase II Pro Forma'!V143/1000000</f>
        <v>-3.127392309984963</v>
      </c>
      <c r="W144" s="772">
        <f ca="1">+'Phase II Pro Forma'!W143/1000000</f>
        <v>-3.330672810133986</v>
      </c>
      <c r="X144" s="772">
        <f ca="1">+'Phase II Pro Forma'!X143/1000000</f>
        <v>-3.5471665427926951</v>
      </c>
      <c r="Y144" s="772">
        <f ca="1">+'Phase II Pro Forma'!Y143/1000000</f>
        <v>-3.7777323680742203</v>
      </c>
      <c r="Z144" s="772">
        <f ca="1">+'Phase II Pro Forma'!Z143/1000000</f>
        <v>-4.0232849719990442</v>
      </c>
    </row>
    <row r="145" spans="2:26" x14ac:dyDescent="0.2">
      <c r="B145" s="32" t="s">
        <v>785</v>
      </c>
      <c r="F145" s="772">
        <f t="shared" ref="F145:N145" ca="1" si="39">+SUM(F142:F144)</f>
        <v>0</v>
      </c>
      <c r="G145" s="772">
        <f t="shared" ca="1" si="39"/>
        <v>0</v>
      </c>
      <c r="H145" s="772">
        <f t="shared" ca="1" si="39"/>
        <v>0</v>
      </c>
      <c r="I145" s="772">
        <f t="shared" ca="1" si="39"/>
        <v>117.75178192173362</v>
      </c>
      <c r="J145" s="772">
        <f t="shared" ca="1" si="39"/>
        <v>116.28289937478246</v>
      </c>
      <c r="K145" s="772">
        <f t="shared" ca="1" si="39"/>
        <v>114.71853946227948</v>
      </c>
      <c r="L145" s="772">
        <f t="shared" ca="1" si="39"/>
        <v>113.05249615546379</v>
      </c>
      <c r="M145" s="772">
        <f t="shared" ca="1" si="39"/>
        <v>111.27816003370509</v>
      </c>
      <c r="N145" s="772">
        <f t="shared" ca="1" si="39"/>
        <v>109.38849206403208</v>
      </c>
      <c r="O145" s="772">
        <f t="shared" ref="O145:Z145" ca="1" si="40">+SUM(O142:O144)</f>
        <v>107.37599567633032</v>
      </c>
      <c r="P145" s="772">
        <f t="shared" ca="1" si="40"/>
        <v>105.23268702342796</v>
      </c>
      <c r="Q145" s="772">
        <f t="shared" ca="1" si="40"/>
        <v>102.95006330808692</v>
      </c>
      <c r="R145" s="772">
        <f t="shared" ca="1" si="40"/>
        <v>100.51906905124874</v>
      </c>
      <c r="S145" s="772">
        <f t="shared" ca="1" si="40"/>
        <v>97.930060167716078</v>
      </c>
      <c r="T145" s="772">
        <f t="shared" ca="1" si="40"/>
        <v>95.172765706753765</v>
      </c>
      <c r="U145" s="772">
        <f t="shared" ca="1" si="40"/>
        <v>92.236247105828937</v>
      </c>
      <c r="V145" s="772">
        <f t="shared" ca="1" si="40"/>
        <v>89.108854795843953</v>
      </c>
      <c r="W145" s="772">
        <f t="shared" ca="1" si="40"/>
        <v>85.778181985709963</v>
      </c>
      <c r="X145" s="772">
        <f t="shared" ca="1" si="40"/>
        <v>82.231015442917268</v>
      </c>
      <c r="Y145" s="772">
        <f t="shared" ca="1" si="40"/>
        <v>78.453283074843043</v>
      </c>
      <c r="Z145" s="772">
        <f t="shared" ca="1" si="40"/>
        <v>74.429998102843996</v>
      </c>
    </row>
    <row r="146" spans="2:26" ht="5" customHeight="1" x14ac:dyDescent="0.2"/>
    <row r="147" spans="2:26" x14ac:dyDescent="0.2">
      <c r="B147" s="40" t="s">
        <v>332</v>
      </c>
      <c r="F147" s="48">
        <f ca="1">+'Phase II Pro Forma'!F146/1000000</f>
        <v>0</v>
      </c>
      <c r="G147" s="48">
        <f ca="1">+'Phase II Pro Forma'!G146/1000000</f>
        <v>0</v>
      </c>
      <c r="H147" s="48">
        <f ca="1">+'Phase II Pro Forma'!H146/1000000</f>
        <v>0</v>
      </c>
      <c r="I147" s="48">
        <f ca="1">+'Phase II Pro Forma'!I146/1000000</f>
        <v>7.743515933412052</v>
      </c>
      <c r="J147" s="48">
        <f ca="1">+'Phase II Pro Forma'!J146/1000000</f>
        <v>7.6538658249126872</v>
      </c>
      <c r="K147" s="48">
        <f ca="1">+'Phase II Pro Forma'!K146/1000000</f>
        <v>7.5583884593608612</v>
      </c>
      <c r="L147" s="48">
        <f ca="1">+'Phase II Pro Forma'!L146/1000000</f>
        <v>7.4567050650481663</v>
      </c>
      <c r="M147" s="48">
        <f ca="1">+'Phase II Pro Forma'!M146/1000000</f>
        <v>7.348412250105147</v>
      </c>
      <c r="N147" s="48">
        <f ca="1">+'Phase II Pro Forma'!N146/1000000</f>
        <v>7.2330804021908319</v>
      </c>
      <c r="O147" s="48">
        <f ca="1">+'Phase II Pro Forma'!O146/1000000</f>
        <v>7.1102519841620877</v>
      </c>
      <c r="P147" s="48">
        <f ca="1">+'Phase II Pro Forma'!P146/1000000</f>
        <v>6.9794397189614727</v>
      </c>
      <c r="Q147" s="48">
        <f ca="1">+'Phase II Pro Forma'!Q146/1000000</f>
        <v>6.8401246565228186</v>
      </c>
      <c r="R147" s="48">
        <f ca="1">+'Phase II Pro Forma'!R146/1000000</f>
        <v>6.6917541150256517</v>
      </c>
      <c r="S147" s="48">
        <f ca="1">+'Phase II Pro Forma'!S146/1000000</f>
        <v>6.5337394883311699</v>
      </c>
      <c r="T147" s="48">
        <f ca="1">+'Phase II Pro Forma'!T146/1000000</f>
        <v>6.3654539109015449</v>
      </c>
      <c r="U147" s="48">
        <f ca="1">+'Phase II Pro Forma'!U146/1000000</f>
        <v>6.1862297709389953</v>
      </c>
      <c r="V147" s="48">
        <f ca="1">+'Phase II Pro Forma'!V146/1000000</f>
        <v>5.9953560618788808</v>
      </c>
      <c r="W147" s="48">
        <f ca="1">+'Phase II Pro Forma'!W146/1000000</f>
        <v>5.7920755617298578</v>
      </c>
      <c r="X147" s="48">
        <f ca="1">+'Phase II Pro Forma'!X146/1000000</f>
        <v>5.5755818290711483</v>
      </c>
      <c r="Y147" s="48">
        <f ca="1">+'Phase II Pro Forma'!Y146/1000000</f>
        <v>5.345016003789623</v>
      </c>
      <c r="Z147" s="48">
        <f ca="1">+'Phase II Pro Forma'!Z146/1000000</f>
        <v>5.0994633998647991</v>
      </c>
    </row>
    <row r="148" spans="2:26" x14ac:dyDescent="0.2">
      <c r="B148" s="136" t="s">
        <v>341</v>
      </c>
      <c r="C148" s="136"/>
      <c r="D148" s="136"/>
      <c r="E148" s="136"/>
      <c r="F148" s="773">
        <f t="shared" ref="F148:K148" ca="1" si="41">+F147-F144</f>
        <v>0</v>
      </c>
      <c r="G148" s="773">
        <f t="shared" ca="1" si="41"/>
        <v>0</v>
      </c>
      <c r="H148" s="773">
        <f t="shared" ca="1" si="41"/>
        <v>0</v>
      </c>
      <c r="I148" s="773">
        <f t="shared" ca="1" si="41"/>
        <v>9.1227483718638442</v>
      </c>
      <c r="J148" s="773">
        <f t="shared" ca="1" si="41"/>
        <v>9.1227483718638442</v>
      </c>
      <c r="K148" s="773">
        <f t="shared" ca="1" si="41"/>
        <v>9.1227483718638442</v>
      </c>
      <c r="L148" s="773">
        <f ca="1">+L147-L144</f>
        <v>9.1227483718638425</v>
      </c>
      <c r="M148" s="773">
        <f t="shared" ref="M148:Z148" ca="1" si="42">+M147-M144</f>
        <v>9.1227483718638425</v>
      </c>
      <c r="N148" s="773">
        <f t="shared" ca="1" si="42"/>
        <v>9.1227483718638425</v>
      </c>
      <c r="O148" s="773">
        <f t="shared" ca="1" si="42"/>
        <v>9.1227483718638442</v>
      </c>
      <c r="P148" s="773">
        <f t="shared" ca="1" si="42"/>
        <v>9.1227483718638442</v>
      </c>
      <c r="Q148" s="773">
        <f t="shared" ca="1" si="42"/>
        <v>9.1227483718638442</v>
      </c>
      <c r="R148" s="773">
        <f t="shared" ca="1" si="42"/>
        <v>9.1227483718638442</v>
      </c>
      <c r="S148" s="773">
        <f t="shared" ca="1" si="42"/>
        <v>9.1227483718638442</v>
      </c>
      <c r="T148" s="773">
        <f t="shared" ca="1" si="42"/>
        <v>9.1227483718638442</v>
      </c>
      <c r="U148" s="773">
        <f t="shared" ca="1" si="42"/>
        <v>9.1227483718638425</v>
      </c>
      <c r="V148" s="773">
        <f t="shared" ca="1" si="42"/>
        <v>9.1227483718638442</v>
      </c>
      <c r="W148" s="773">
        <f t="shared" ca="1" si="42"/>
        <v>9.1227483718638442</v>
      </c>
      <c r="X148" s="773">
        <f t="shared" ca="1" si="42"/>
        <v>9.1227483718638425</v>
      </c>
      <c r="Y148" s="773">
        <f t="shared" ca="1" si="42"/>
        <v>9.1227483718638425</v>
      </c>
      <c r="Z148" s="773">
        <f t="shared" ca="1" si="42"/>
        <v>9.1227483718638425</v>
      </c>
    </row>
    <row r="149" spans="2:26" x14ac:dyDescent="0.2">
      <c r="B149" s="145" t="s">
        <v>181</v>
      </c>
      <c r="F149" s="178" t="str">
        <f ca="1">+IFERROR(F139/F148,"")</f>
        <v/>
      </c>
      <c r="G149" s="178" t="str">
        <f t="shared" ref="G149:Z149" ca="1" si="43">+IFERROR(G139/G148,"")</f>
        <v/>
      </c>
      <c r="H149" s="178" t="str">
        <f t="shared" ca="1" si="43"/>
        <v/>
      </c>
      <c r="I149" s="178">
        <f t="shared" ca="1" si="43"/>
        <v>0.60568859286439447</v>
      </c>
      <c r="J149" s="178">
        <f t="shared" ca="1" si="43"/>
        <v>1.2278939257530561</v>
      </c>
      <c r="K149" s="178">
        <f t="shared" ca="1" si="43"/>
        <v>1.2500000000000007</v>
      </c>
      <c r="L149" s="178">
        <f t="shared" ca="1" si="43"/>
        <v>1.3386951234570281</v>
      </c>
      <c r="M149" s="178">
        <f t="shared" ca="1" si="43"/>
        <v>1.3570014851653842</v>
      </c>
      <c r="N149" s="178">
        <f t="shared" ca="1" si="43"/>
        <v>1.381051387693484</v>
      </c>
      <c r="O149" s="178">
        <f t="shared" ca="1" si="43"/>
        <v>1.4057870977719074</v>
      </c>
      <c r="P149" s="178">
        <f t="shared" ca="1" si="43"/>
        <v>1.4260499064256025</v>
      </c>
      <c r="Q149" s="178">
        <f t="shared" ca="1" si="43"/>
        <v>1.5247728422715889</v>
      </c>
      <c r="R149" s="178">
        <f t="shared" ca="1" si="43"/>
        <v>1.5516874809266594</v>
      </c>
      <c r="S149" s="178">
        <f t="shared" ca="1" si="43"/>
        <v>1.5740887864519124</v>
      </c>
      <c r="T149" s="178">
        <f t="shared" ca="1" si="43"/>
        <v>1.6025633320461721</v>
      </c>
      <c r="U149" s="178">
        <f t="shared" ca="1" si="43"/>
        <v>1.6318519218058578</v>
      </c>
      <c r="V149" s="178">
        <f t="shared" ca="1" si="43"/>
        <v>1.7364013822004407</v>
      </c>
      <c r="W149" s="178">
        <f t="shared" ca="1" si="43"/>
        <v>1.7673896051812696</v>
      </c>
      <c r="X149" s="178">
        <f t="shared" ca="1" si="43"/>
        <v>1.7992648225647976</v>
      </c>
      <c r="Y149" s="178">
        <f t="shared" ca="1" si="43"/>
        <v>1.8265572518498074</v>
      </c>
      <c r="Z149" s="178">
        <f t="shared" ca="1" si="43"/>
        <v>1.860284484040448</v>
      </c>
    </row>
    <row r="150" spans="2:26" ht="5" customHeight="1" x14ac:dyDescent="0.2"/>
    <row r="151" spans="2:26" x14ac:dyDescent="0.2">
      <c r="B151" s="40" t="s">
        <v>156</v>
      </c>
      <c r="F151" s="48">
        <f>+'Phase II Pro Forma'!F150/1000000</f>
        <v>0</v>
      </c>
      <c r="G151" s="48">
        <f>+'Phase II Pro Forma'!G150/1000000</f>
        <v>0</v>
      </c>
      <c r="H151" s="48">
        <f>+'Phase II Pro Forma'!H150/1000000</f>
        <v>0</v>
      </c>
      <c r="I151" s="48">
        <f ca="1">+'Phase II Pro Forma'!I150/1000000</f>
        <v>0.89348260770139065</v>
      </c>
      <c r="J151" s="48">
        <f>+'Phase II Pro Forma'!J150/1000000</f>
        <v>0</v>
      </c>
      <c r="K151" s="48">
        <f>+'Phase II Pro Forma'!K150/1000000</f>
        <v>0</v>
      </c>
      <c r="L151" s="48">
        <f>+'Phase II Pro Forma'!L150/1000000</f>
        <v>0</v>
      </c>
      <c r="M151" s="48">
        <f>+'Phase II Pro Forma'!M150/1000000</f>
        <v>0</v>
      </c>
      <c r="N151" s="48">
        <f>+'Phase II Pro Forma'!N150/1000000</f>
        <v>0</v>
      </c>
      <c r="O151" s="48">
        <f>+'Phase II Pro Forma'!O150/1000000</f>
        <v>0</v>
      </c>
      <c r="P151" s="48">
        <f>+'Phase II Pro Forma'!P150/1000000</f>
        <v>0</v>
      </c>
      <c r="Q151" s="48">
        <f>+'Phase II Pro Forma'!Q150/1000000</f>
        <v>0</v>
      </c>
      <c r="R151" s="48">
        <f>+'Phase II Pro Forma'!R150/1000000</f>
        <v>0</v>
      </c>
      <c r="S151" s="48">
        <f>+'Phase II Pro Forma'!S150/1000000</f>
        <v>0</v>
      </c>
      <c r="T151" s="48">
        <f>+'Phase II Pro Forma'!T150/1000000</f>
        <v>0</v>
      </c>
      <c r="U151" s="48">
        <f>+'Phase II Pro Forma'!U150/1000000</f>
        <v>0</v>
      </c>
      <c r="V151" s="48">
        <f>+'Phase II Pro Forma'!V150/1000000</f>
        <v>0</v>
      </c>
      <c r="W151" s="48">
        <f>+'Phase II Pro Forma'!W150/1000000</f>
        <v>0</v>
      </c>
      <c r="X151" s="48">
        <f>+'Phase II Pro Forma'!X150/1000000</f>
        <v>0</v>
      </c>
      <c r="Y151" s="48">
        <f>+'Phase II Pro Forma'!Y150/1000000</f>
        <v>0</v>
      </c>
      <c r="Z151" s="48">
        <f>+'Phase II Pro Forma'!Z150/1000000</f>
        <v>0</v>
      </c>
    </row>
    <row r="152" spans="2:26" ht="5" customHeight="1" x14ac:dyDescent="0.2"/>
    <row r="153" spans="2:26" s="156" customFormat="1" x14ac:dyDescent="0.2">
      <c r="B153" s="136" t="s">
        <v>334</v>
      </c>
      <c r="C153" s="136"/>
      <c r="D153" s="136"/>
      <c r="E153" s="136"/>
      <c r="F153" s="128">
        <f ca="1">+F139-F148-F151</f>
        <v>0</v>
      </c>
      <c r="G153" s="128">
        <f t="shared" ref="G153:Z153" ca="1" si="44">+G139-G148-G151</f>
        <v>0</v>
      </c>
      <c r="H153" s="128">
        <f t="shared" ca="1" si="44"/>
        <v>0</v>
      </c>
      <c r="I153" s="128">
        <f t="shared" ca="1" si="44"/>
        <v>-4.4906863551550771</v>
      </c>
      <c r="J153" s="128">
        <f t="shared" ca="1" si="44"/>
        <v>2.0790189401213528</v>
      </c>
      <c r="K153" s="128">
        <f t="shared" ca="1" si="44"/>
        <v>2.2806870929659677</v>
      </c>
      <c r="L153" s="128">
        <f t="shared" ca="1" si="44"/>
        <v>3.0898303860758265</v>
      </c>
      <c r="M153" s="128">
        <f t="shared" ca="1" si="44"/>
        <v>3.2568347175454821</v>
      </c>
      <c r="N153" s="128">
        <f t="shared" ca="1" si="44"/>
        <v>3.4762359266771892</v>
      </c>
      <c r="O153" s="128">
        <f t="shared" ca="1" si="44"/>
        <v>3.7018935855220221</v>
      </c>
      <c r="P153" s="128">
        <f t="shared" ca="1" si="44"/>
        <v>3.8867460901769082</v>
      </c>
      <c r="Q153" s="128">
        <f t="shared" ca="1" si="44"/>
        <v>4.7873705924315004</v>
      </c>
      <c r="R153" s="128">
        <f t="shared" ca="1" si="44"/>
        <v>5.0329060684013474</v>
      </c>
      <c r="S153" s="128">
        <f t="shared" ca="1" si="44"/>
        <v>5.2372675419094747</v>
      </c>
      <c r="T153" s="128">
        <f t="shared" ca="1" si="44"/>
        <v>5.4970336563690694</v>
      </c>
      <c r="U153" s="128">
        <f t="shared" ca="1" si="44"/>
        <v>5.7642260909134286</v>
      </c>
      <c r="V153" s="128">
        <f t="shared" ca="1" si="44"/>
        <v>6.7180045105073543</v>
      </c>
      <c r="W153" s="128">
        <f t="shared" ca="1" si="44"/>
        <v>7.0007022712526652</v>
      </c>
      <c r="X153" s="128">
        <f t="shared" ca="1" si="44"/>
        <v>7.2914918587410504</v>
      </c>
      <c r="Y153" s="128">
        <f t="shared" ca="1" si="44"/>
        <v>7.5404738235650832</v>
      </c>
      <c r="Z153" s="128">
        <f t="shared" ca="1" si="44"/>
        <v>7.8481588761197223</v>
      </c>
    </row>
    <row r="154" spans="2:26" ht="5" customHeight="1" x14ac:dyDescent="0.2"/>
    <row r="155" spans="2:26" x14ac:dyDescent="0.2">
      <c r="B155" s="147" t="s">
        <v>335</v>
      </c>
    </row>
    <row r="156" spans="2:26" x14ac:dyDescent="0.2">
      <c r="B156" s="32" t="s">
        <v>336</v>
      </c>
      <c r="F156" s="48">
        <f>+'Phase II Pro Forma'!F155/1000000</f>
        <v>0</v>
      </c>
      <c r="G156" s="48">
        <f>+'Phase II Pro Forma'!G155/1000000</f>
        <v>0</v>
      </c>
      <c r="H156" s="48">
        <f>+'Phase II Pro Forma'!H155/1000000</f>
        <v>0</v>
      </c>
      <c r="I156" s="48">
        <f>+'Phase II Pro Forma'!I155/1000000</f>
        <v>0</v>
      </c>
      <c r="J156" s="48">
        <f>+'Phase II Pro Forma'!J155/1000000</f>
        <v>0</v>
      </c>
      <c r="K156" s="48">
        <f>+'Phase II Pro Forma'!K155/1000000</f>
        <v>0</v>
      </c>
      <c r="L156" s="48">
        <f>+'Phase II Pro Forma'!L155/1000000</f>
        <v>0</v>
      </c>
      <c r="M156" s="48">
        <f>+'Phase II Pro Forma'!M155/1000000</f>
        <v>0</v>
      </c>
      <c r="N156" s="48">
        <f ca="1">+'Phase II Pro Forma'!N155/1000000</f>
        <v>210.94943878373721</v>
      </c>
      <c r="O156" s="48">
        <f>+'Phase II Pro Forma'!O155/1000000</f>
        <v>0</v>
      </c>
      <c r="P156" s="48">
        <f>+'Phase II Pro Forma'!P155/1000000</f>
        <v>0</v>
      </c>
      <c r="Q156" s="48">
        <f>+'Phase II Pro Forma'!Q155/1000000</f>
        <v>0</v>
      </c>
      <c r="R156" s="48">
        <f>+'Phase II Pro Forma'!R155/1000000</f>
        <v>0</v>
      </c>
      <c r="S156" s="48">
        <f>+'Phase II Pro Forma'!S155/1000000</f>
        <v>0</v>
      </c>
      <c r="T156" s="48">
        <f>+'Phase II Pro Forma'!T155/1000000</f>
        <v>0</v>
      </c>
      <c r="U156" s="48">
        <f>+'Phase II Pro Forma'!U155/1000000</f>
        <v>0</v>
      </c>
      <c r="V156" s="48">
        <f>+'Phase II Pro Forma'!V155/1000000</f>
        <v>0</v>
      </c>
      <c r="W156" s="48">
        <f>+'Phase II Pro Forma'!W155/1000000</f>
        <v>0</v>
      </c>
      <c r="X156" s="48">
        <f>+'Phase II Pro Forma'!X155/1000000</f>
        <v>0</v>
      </c>
      <c r="Y156" s="48">
        <f>+'Phase II Pro Forma'!Y155/1000000</f>
        <v>0</v>
      </c>
      <c r="Z156" s="48">
        <f>+'Phase II Pro Forma'!Z155/1000000</f>
        <v>0</v>
      </c>
    </row>
    <row r="157" spans="2:26" x14ac:dyDescent="0.2">
      <c r="B157" s="204" t="s">
        <v>787</v>
      </c>
      <c r="C157" s="204"/>
      <c r="D157" s="204"/>
      <c r="E157" s="204"/>
      <c r="F157" s="772">
        <f>+'Phase II Pro Forma'!F156/1000000</f>
        <v>0</v>
      </c>
      <c r="G157" s="772">
        <f>+'Phase II Pro Forma'!G156/1000000</f>
        <v>0</v>
      </c>
      <c r="H157" s="772">
        <f>+'Phase II Pro Forma'!H156/1000000</f>
        <v>0</v>
      </c>
      <c r="I157" s="772">
        <f ca="1">+'Phase II Pro Forma'!I156/1000000</f>
        <v>24.672690320007653</v>
      </c>
      <c r="J157" s="772">
        <f>+'Phase II Pro Forma'!J156/1000000</f>
        <v>0</v>
      </c>
      <c r="K157" s="772">
        <f>+'Phase II Pro Forma'!K156/1000000</f>
        <v>0</v>
      </c>
      <c r="L157" s="772">
        <f>+'Phase II Pro Forma'!L156/1000000</f>
        <v>0</v>
      </c>
      <c r="M157" s="772">
        <f>+'Phase II Pro Forma'!M156/1000000</f>
        <v>0</v>
      </c>
      <c r="N157" s="772">
        <f>+'Phase II Pro Forma'!N156/1000000</f>
        <v>0</v>
      </c>
      <c r="O157" s="772">
        <f>+'Phase II Pro Forma'!O156/1000000</f>
        <v>0</v>
      </c>
      <c r="P157" s="772">
        <f>+'Phase II Pro Forma'!P156/1000000</f>
        <v>0</v>
      </c>
      <c r="Q157" s="772">
        <f>+'Phase II Pro Forma'!Q156/1000000</f>
        <v>0</v>
      </c>
      <c r="R157" s="772">
        <f>+'Phase II Pro Forma'!R156/1000000</f>
        <v>0</v>
      </c>
      <c r="S157" s="772">
        <f>+'Phase II Pro Forma'!S156/1000000</f>
        <v>0</v>
      </c>
      <c r="T157" s="772">
        <f>+'Phase II Pro Forma'!T156/1000000</f>
        <v>0</v>
      </c>
      <c r="U157" s="772">
        <f>+'Phase II Pro Forma'!U156/1000000</f>
        <v>0</v>
      </c>
      <c r="V157" s="772">
        <f>+'Phase II Pro Forma'!V156/1000000</f>
        <v>0</v>
      </c>
      <c r="W157" s="772">
        <f>+'Phase II Pro Forma'!W156/1000000</f>
        <v>0</v>
      </c>
      <c r="X157" s="772">
        <f>+'Phase II Pro Forma'!X156/1000000</f>
        <v>0</v>
      </c>
      <c r="Y157" s="772">
        <f>+'Phase II Pro Forma'!Y156/1000000</f>
        <v>0</v>
      </c>
      <c r="Z157" s="772">
        <f>+'Phase II Pro Forma'!Z156/1000000</f>
        <v>0</v>
      </c>
    </row>
    <row r="158" spans="2:26" x14ac:dyDescent="0.2">
      <c r="B158" s="32" t="s">
        <v>337</v>
      </c>
      <c r="F158" s="772">
        <f>+'Phase II Pro Forma'!F157/1000000</f>
        <v>0</v>
      </c>
      <c r="G158" s="772">
        <f>+'Phase II Pro Forma'!G157/1000000</f>
        <v>0</v>
      </c>
      <c r="H158" s="772">
        <f>+'Phase II Pro Forma'!H157/1000000</f>
        <v>0</v>
      </c>
      <c r="I158" s="772">
        <f>+'Phase II Pro Forma'!I157/1000000</f>
        <v>0</v>
      </c>
      <c r="J158" s="772">
        <f>+'Phase II Pro Forma'!J157/1000000</f>
        <v>0</v>
      </c>
      <c r="K158" s="772">
        <f>+'Phase II Pro Forma'!K157/1000000</f>
        <v>0</v>
      </c>
      <c r="L158" s="772">
        <f>+'Phase II Pro Forma'!L157/1000000</f>
        <v>0</v>
      </c>
      <c r="M158" s="772">
        <f>+'Phase II Pro Forma'!M157/1000000</f>
        <v>0</v>
      </c>
      <c r="N158" s="772">
        <f ca="1">+'Phase II Pro Forma'!N157/1000000</f>
        <v>-4.2189887756747444</v>
      </c>
      <c r="O158" s="772">
        <f>+'Phase II Pro Forma'!O157/1000000</f>
        <v>0</v>
      </c>
      <c r="P158" s="772">
        <f>+'Phase II Pro Forma'!P157/1000000</f>
        <v>0</v>
      </c>
      <c r="Q158" s="772">
        <f>+'Phase II Pro Forma'!Q157/1000000</f>
        <v>0</v>
      </c>
      <c r="R158" s="772">
        <f>+'Phase II Pro Forma'!R157/1000000</f>
        <v>0</v>
      </c>
      <c r="S158" s="772">
        <f>+'Phase II Pro Forma'!S157/1000000</f>
        <v>0</v>
      </c>
      <c r="T158" s="772">
        <f>+'Phase II Pro Forma'!T157/1000000</f>
        <v>0</v>
      </c>
      <c r="U158" s="772">
        <f>+'Phase II Pro Forma'!U157/1000000</f>
        <v>0</v>
      </c>
      <c r="V158" s="772">
        <f>+'Phase II Pro Forma'!V157/1000000</f>
        <v>0</v>
      </c>
      <c r="W158" s="772">
        <f>+'Phase II Pro Forma'!W157/1000000</f>
        <v>0</v>
      </c>
      <c r="X158" s="772">
        <f>+'Phase II Pro Forma'!X157/1000000</f>
        <v>0</v>
      </c>
      <c r="Y158" s="772">
        <f>+'Phase II Pro Forma'!Y157/1000000</f>
        <v>0</v>
      </c>
      <c r="Z158" s="772">
        <f>+'Phase II Pro Forma'!Z157/1000000</f>
        <v>0</v>
      </c>
    </row>
    <row r="159" spans="2:26" x14ac:dyDescent="0.2">
      <c r="B159" s="32" t="s">
        <v>338</v>
      </c>
      <c r="F159" s="772">
        <f>+'Phase II Pro Forma'!F158/1000000</f>
        <v>0</v>
      </c>
      <c r="G159" s="772">
        <f>+'Phase II Pro Forma'!G158/1000000</f>
        <v>0</v>
      </c>
      <c r="H159" s="772">
        <f>+'Phase II Pro Forma'!H158/1000000</f>
        <v>0</v>
      </c>
      <c r="I159" s="772">
        <f>+'Phase II Pro Forma'!I158/1000000</f>
        <v>0</v>
      </c>
      <c r="J159" s="772">
        <f>+'Phase II Pro Forma'!J158/1000000</f>
        <v>0</v>
      </c>
      <c r="K159" s="772">
        <f>+'Phase II Pro Forma'!K158/1000000</f>
        <v>0</v>
      </c>
      <c r="L159" s="772">
        <f>+'Phase II Pro Forma'!L158/1000000</f>
        <v>0</v>
      </c>
      <c r="M159" s="772">
        <f>+'Phase II Pro Forma'!M158/1000000</f>
        <v>0</v>
      </c>
      <c r="N159" s="772">
        <f ca="1">+'Phase II Pro Forma'!N158/1000000</f>
        <v>-109.38849206403208</v>
      </c>
      <c r="O159" s="772">
        <f>+'Phase II Pro Forma'!O158/1000000</f>
        <v>0</v>
      </c>
      <c r="P159" s="772">
        <f>+'Phase II Pro Forma'!P158/1000000</f>
        <v>0</v>
      </c>
      <c r="Q159" s="772">
        <f>+'Phase II Pro Forma'!Q158/1000000</f>
        <v>0</v>
      </c>
      <c r="R159" s="772">
        <f>+'Phase II Pro Forma'!R158/1000000</f>
        <v>0</v>
      </c>
      <c r="S159" s="772">
        <f>+'Phase II Pro Forma'!S158/1000000</f>
        <v>0</v>
      </c>
      <c r="T159" s="772">
        <f>+'Phase II Pro Forma'!T158/1000000</f>
        <v>0</v>
      </c>
      <c r="U159" s="772">
        <f>+'Phase II Pro Forma'!U158/1000000</f>
        <v>0</v>
      </c>
      <c r="V159" s="772">
        <f>+'Phase II Pro Forma'!V158/1000000</f>
        <v>0</v>
      </c>
      <c r="W159" s="772">
        <f>+'Phase II Pro Forma'!W158/1000000</f>
        <v>0</v>
      </c>
      <c r="X159" s="772">
        <f>+'Phase II Pro Forma'!X158/1000000</f>
        <v>0</v>
      </c>
      <c r="Y159" s="772">
        <f>+'Phase II Pro Forma'!Y158/1000000</f>
        <v>0</v>
      </c>
      <c r="Z159" s="772">
        <f>+'Phase II Pro Forma'!Z158/1000000</f>
        <v>0</v>
      </c>
    </row>
    <row r="160" spans="2:26" x14ac:dyDescent="0.2">
      <c r="B160" s="136" t="s">
        <v>339</v>
      </c>
      <c r="C160" s="136"/>
      <c r="D160" s="136"/>
      <c r="E160" s="136"/>
      <c r="F160" s="773">
        <f>+SUM(F156:F159)</f>
        <v>0</v>
      </c>
      <c r="G160" s="773">
        <f t="shared" ref="G160:Z160" si="45">+SUM(G156:G159)</f>
        <v>0</v>
      </c>
      <c r="H160" s="773">
        <f t="shared" si="45"/>
        <v>0</v>
      </c>
      <c r="I160" s="773">
        <f t="shared" ca="1" si="45"/>
        <v>24.672690320007653</v>
      </c>
      <c r="J160" s="773">
        <f t="shared" si="45"/>
        <v>0</v>
      </c>
      <c r="K160" s="773">
        <f t="shared" si="45"/>
        <v>0</v>
      </c>
      <c r="L160" s="773">
        <f t="shared" si="45"/>
        <v>0</v>
      </c>
      <c r="M160" s="773">
        <f t="shared" si="45"/>
        <v>0</v>
      </c>
      <c r="N160" s="773">
        <f t="shared" ca="1" si="45"/>
        <v>97.341957944030383</v>
      </c>
      <c r="O160" s="773">
        <f t="shared" si="45"/>
        <v>0</v>
      </c>
      <c r="P160" s="773">
        <f t="shared" si="45"/>
        <v>0</v>
      </c>
      <c r="Q160" s="773">
        <f t="shared" si="45"/>
        <v>0</v>
      </c>
      <c r="R160" s="773">
        <f t="shared" si="45"/>
        <v>0</v>
      </c>
      <c r="S160" s="773">
        <f t="shared" si="45"/>
        <v>0</v>
      </c>
      <c r="T160" s="773">
        <f t="shared" si="45"/>
        <v>0</v>
      </c>
      <c r="U160" s="773">
        <f t="shared" si="45"/>
        <v>0</v>
      </c>
      <c r="V160" s="773">
        <f t="shared" si="45"/>
        <v>0</v>
      </c>
      <c r="W160" s="773">
        <f t="shared" si="45"/>
        <v>0</v>
      </c>
      <c r="X160" s="773">
        <f t="shared" si="45"/>
        <v>0</v>
      </c>
      <c r="Y160" s="773">
        <f t="shared" si="45"/>
        <v>0</v>
      </c>
      <c r="Z160" s="773">
        <f t="shared" si="45"/>
        <v>0</v>
      </c>
    </row>
    <row r="161" spans="2:26" hidden="1" x14ac:dyDescent="0.2">
      <c r="B161" s="795" t="s">
        <v>771</v>
      </c>
      <c r="C161" s="793"/>
      <c r="D161" s="793"/>
      <c r="E161" s="793"/>
      <c r="F161" s="793"/>
      <c r="G161" s="793"/>
      <c r="H161" s="793"/>
      <c r="I161" s="793"/>
      <c r="J161" s="793"/>
      <c r="K161" s="793"/>
      <c r="L161" s="793"/>
      <c r="M161" s="793"/>
      <c r="N161" s="793"/>
      <c r="O161" s="793"/>
      <c r="P161" s="793"/>
      <c r="Q161" s="793"/>
      <c r="R161" s="793"/>
      <c r="S161" s="793"/>
      <c r="T161" s="793"/>
      <c r="U161" s="793"/>
      <c r="V161" s="793"/>
      <c r="W161" s="793"/>
      <c r="X161" s="793"/>
      <c r="Y161" s="793"/>
      <c r="Z161" s="793"/>
    </row>
    <row r="162" spans="2:26" ht="5" customHeight="1" x14ac:dyDescent="0.2"/>
    <row r="163" spans="2:26" x14ac:dyDescent="0.2">
      <c r="B163" s="137" t="s">
        <v>788</v>
      </c>
      <c r="C163" s="137"/>
      <c r="D163" s="137"/>
      <c r="E163" s="137"/>
      <c r="F163" s="774">
        <f ca="1">+'Phase II Pro Forma'!F162/1000000</f>
        <v>0</v>
      </c>
      <c r="G163" s="774">
        <f ca="1">+'Phase II Pro Forma'!G162/1000000</f>
        <v>0</v>
      </c>
      <c r="H163" s="774">
        <f ca="1">+'Phase II Pro Forma'!H162/1000000</f>
        <v>0</v>
      </c>
      <c r="I163" s="774">
        <f ca="1">+'Phase II Pro Forma'!I162/1000000</f>
        <v>20.182003964852576</v>
      </c>
      <c r="J163" s="774">
        <f ca="1">+'Phase II Pro Forma'!J162/1000000</f>
        <v>2.0790189401213564</v>
      </c>
      <c r="K163" s="774">
        <f ca="1">+'Phase II Pro Forma'!K162/1000000</f>
        <v>2.2806870929659682</v>
      </c>
      <c r="L163" s="774">
        <f ca="1">+'Phase II Pro Forma'!L162/1000000</f>
        <v>3.0898303860758247</v>
      </c>
      <c r="M163" s="774">
        <f ca="1">+'Phase II Pro Forma'!M162/1000000</f>
        <v>3.2568347175454813</v>
      </c>
      <c r="N163" s="774">
        <f ca="1">+'Phase II Pro Forma'!N162/1000000</f>
        <v>100.8181938707076</v>
      </c>
      <c r="O163" s="774">
        <f>+'Phase II Pro Forma'!O162/1000000</f>
        <v>0</v>
      </c>
      <c r="P163" s="774">
        <f>+'Phase II Pro Forma'!P162/1000000</f>
        <v>0</v>
      </c>
      <c r="Q163" s="774">
        <f>+'Phase II Pro Forma'!Q162/1000000</f>
        <v>0</v>
      </c>
      <c r="R163" s="774">
        <f>+'Phase II Pro Forma'!R162/1000000</f>
        <v>0</v>
      </c>
      <c r="S163" s="774">
        <f>+'Phase II Pro Forma'!S162/1000000</f>
        <v>0</v>
      </c>
      <c r="T163" s="774">
        <f>+'Phase II Pro Forma'!T162/1000000</f>
        <v>0</v>
      </c>
      <c r="U163" s="774">
        <f>+'Phase II Pro Forma'!U162/1000000</f>
        <v>0</v>
      </c>
      <c r="V163" s="774">
        <f>+'Phase II Pro Forma'!V162/1000000</f>
        <v>0</v>
      </c>
      <c r="W163" s="774">
        <f>+'Phase II Pro Forma'!W162/1000000</f>
        <v>0</v>
      </c>
      <c r="X163" s="774">
        <f>+'Phase II Pro Forma'!X162/1000000</f>
        <v>0</v>
      </c>
      <c r="Y163" s="774">
        <f>+'Phase II Pro Forma'!Y162/1000000</f>
        <v>0</v>
      </c>
      <c r="Z163" s="774">
        <f>+'Phase II Pro Forma'!Z162/1000000</f>
        <v>0</v>
      </c>
    </row>
    <row r="165" spans="2:26" x14ac:dyDescent="0.2">
      <c r="B165" s="36" t="s">
        <v>768</v>
      </c>
      <c r="C165" s="37"/>
      <c r="D165" s="37"/>
      <c r="E165" s="37"/>
      <c r="F165" s="135">
        <f>+F6</f>
        <v>44926</v>
      </c>
      <c r="G165" s="135">
        <f t="shared" ref="G165:Z165" si="46">+G6</f>
        <v>45291</v>
      </c>
      <c r="H165" s="135">
        <f t="shared" si="46"/>
        <v>45657</v>
      </c>
      <c r="I165" s="135">
        <f t="shared" si="46"/>
        <v>46022</v>
      </c>
      <c r="J165" s="135">
        <f t="shared" si="46"/>
        <v>46387</v>
      </c>
      <c r="K165" s="135">
        <f t="shared" si="46"/>
        <v>46752</v>
      </c>
      <c r="L165" s="135">
        <f t="shared" si="46"/>
        <v>47118</v>
      </c>
      <c r="M165" s="135">
        <f t="shared" si="46"/>
        <v>47483</v>
      </c>
      <c r="N165" s="135">
        <f t="shared" si="46"/>
        <v>47848</v>
      </c>
      <c r="O165" s="135">
        <f t="shared" si="46"/>
        <v>48213</v>
      </c>
      <c r="P165" s="135">
        <f t="shared" si="46"/>
        <v>48579</v>
      </c>
      <c r="Q165" s="135">
        <f t="shared" si="46"/>
        <v>48944</v>
      </c>
      <c r="R165" s="135">
        <f t="shared" si="46"/>
        <v>49309</v>
      </c>
      <c r="S165" s="135">
        <f t="shared" si="46"/>
        <v>49674</v>
      </c>
      <c r="T165" s="135">
        <f t="shared" si="46"/>
        <v>50040</v>
      </c>
      <c r="U165" s="135">
        <f t="shared" si="46"/>
        <v>50405</v>
      </c>
      <c r="V165" s="135">
        <f t="shared" si="46"/>
        <v>50770</v>
      </c>
      <c r="W165" s="135">
        <f t="shared" si="46"/>
        <v>51135</v>
      </c>
      <c r="X165" s="135">
        <f t="shared" si="46"/>
        <v>51501</v>
      </c>
      <c r="Y165" s="135">
        <f t="shared" si="46"/>
        <v>51866</v>
      </c>
      <c r="Z165" s="135">
        <f t="shared" si="46"/>
        <v>52231</v>
      </c>
    </row>
    <row r="166" spans="2:26" hidden="1" x14ac:dyDescent="0.2">
      <c r="B166" s="793"/>
      <c r="C166" s="793"/>
      <c r="D166" s="793"/>
      <c r="E166" s="793"/>
      <c r="F166" s="793"/>
      <c r="G166" s="793"/>
      <c r="H166" s="793"/>
      <c r="I166" s="793"/>
      <c r="J166" s="793"/>
      <c r="K166" s="793"/>
      <c r="L166" s="793"/>
      <c r="M166" s="793"/>
      <c r="N166" s="793"/>
      <c r="O166" s="793"/>
      <c r="P166" s="793"/>
      <c r="Q166" s="793"/>
      <c r="R166" s="793"/>
      <c r="S166" s="793"/>
      <c r="T166" s="793"/>
      <c r="U166" s="793"/>
      <c r="V166" s="793"/>
      <c r="W166" s="793"/>
      <c r="X166" s="793"/>
      <c r="Y166" s="793"/>
      <c r="Z166" s="793"/>
    </row>
    <row r="167" spans="2:26" x14ac:dyDescent="0.2">
      <c r="B167" s="147" t="s">
        <v>26</v>
      </c>
      <c r="C167" s="148"/>
      <c r="D167" s="148"/>
      <c r="E167" s="148"/>
      <c r="F167" s="776">
        <f>+F165</f>
        <v>44926</v>
      </c>
      <c r="G167" s="776">
        <f t="shared" ref="G167:Z167" si="47">+G165</f>
        <v>45291</v>
      </c>
      <c r="H167" s="776">
        <f t="shared" si="47"/>
        <v>45657</v>
      </c>
      <c r="I167" s="776">
        <f t="shared" si="47"/>
        <v>46022</v>
      </c>
      <c r="J167" s="776">
        <f t="shared" si="47"/>
        <v>46387</v>
      </c>
      <c r="K167" s="776">
        <f t="shared" si="47"/>
        <v>46752</v>
      </c>
      <c r="L167" s="776">
        <f t="shared" si="47"/>
        <v>47118</v>
      </c>
      <c r="M167" s="776">
        <f t="shared" si="47"/>
        <v>47483</v>
      </c>
      <c r="N167" s="776">
        <f t="shared" si="47"/>
        <v>47848</v>
      </c>
      <c r="O167" s="776">
        <f t="shared" si="47"/>
        <v>48213</v>
      </c>
      <c r="P167" s="776">
        <f t="shared" si="47"/>
        <v>48579</v>
      </c>
      <c r="Q167" s="776">
        <f t="shared" si="47"/>
        <v>48944</v>
      </c>
      <c r="R167" s="776">
        <f t="shared" si="47"/>
        <v>49309</v>
      </c>
      <c r="S167" s="776">
        <f t="shared" si="47"/>
        <v>49674</v>
      </c>
      <c r="T167" s="776">
        <f t="shared" si="47"/>
        <v>50040</v>
      </c>
      <c r="U167" s="776">
        <f t="shared" si="47"/>
        <v>50405</v>
      </c>
      <c r="V167" s="776">
        <f t="shared" si="47"/>
        <v>50770</v>
      </c>
      <c r="W167" s="776">
        <f t="shared" si="47"/>
        <v>51135</v>
      </c>
      <c r="X167" s="776">
        <f t="shared" si="47"/>
        <v>51501</v>
      </c>
      <c r="Y167" s="776">
        <f t="shared" si="47"/>
        <v>51866</v>
      </c>
      <c r="Z167" s="776">
        <f t="shared" si="47"/>
        <v>52231</v>
      </c>
    </row>
    <row r="168" spans="2:26" hidden="1" x14ac:dyDescent="0.2">
      <c r="B168" s="788" t="s">
        <v>757</v>
      </c>
      <c r="C168" s="788"/>
      <c r="D168" s="791"/>
      <c r="E168" s="791"/>
      <c r="F168" s="789">
        <f>+'Phase II Pro Forma'!F167</f>
        <v>0</v>
      </c>
      <c r="G168" s="789">
        <f>+'Phase II Pro Forma'!G167</f>
        <v>0</v>
      </c>
      <c r="H168" s="789">
        <f>+'Phase II Pro Forma'!H167</f>
        <v>0</v>
      </c>
      <c r="I168" s="789">
        <f>+'Phase II Pro Forma'!I167</f>
        <v>115.94133333333335</v>
      </c>
      <c r="J168" s="789">
        <f>+'Phase II Pro Forma'!J167</f>
        <v>115.94133333333335</v>
      </c>
      <c r="K168" s="789">
        <f>+'Phase II Pro Forma'!K167</f>
        <v>0</v>
      </c>
      <c r="L168" s="789">
        <f>+'Phase II Pro Forma'!L167</f>
        <v>0</v>
      </c>
      <c r="M168" s="789">
        <f>+'Phase II Pro Forma'!M167</f>
        <v>0</v>
      </c>
      <c r="N168" s="789">
        <f>+'Phase II Pro Forma'!N167</f>
        <v>0</v>
      </c>
      <c r="O168" s="789">
        <f>+'Phase II Pro Forma'!O167</f>
        <v>0</v>
      </c>
      <c r="P168" s="789">
        <f>+'Phase II Pro Forma'!P167</f>
        <v>0</v>
      </c>
      <c r="Q168" s="789">
        <f>+'Phase II Pro Forma'!Q167</f>
        <v>0</v>
      </c>
      <c r="R168" s="789">
        <f>+'Phase II Pro Forma'!R167</f>
        <v>0</v>
      </c>
      <c r="S168" s="789">
        <f>+'Phase II Pro Forma'!S167</f>
        <v>0</v>
      </c>
      <c r="T168" s="789">
        <f>+'Phase II Pro Forma'!T167</f>
        <v>0</v>
      </c>
      <c r="U168" s="789">
        <f>+'Phase II Pro Forma'!U167</f>
        <v>0</v>
      </c>
      <c r="V168" s="789">
        <f>+'Phase II Pro Forma'!V167</f>
        <v>0</v>
      </c>
      <c r="W168" s="789">
        <f>+'Phase II Pro Forma'!W167</f>
        <v>0</v>
      </c>
      <c r="X168" s="789">
        <f>+'Phase II Pro Forma'!X167</f>
        <v>0</v>
      </c>
      <c r="Y168" s="789">
        <f>+'Phase II Pro Forma'!Y167</f>
        <v>0</v>
      </c>
      <c r="Z168" s="789">
        <f>+'Phase II Pro Forma'!Z167</f>
        <v>0</v>
      </c>
    </row>
    <row r="169" spans="2:26" x14ac:dyDescent="0.2">
      <c r="B169" s="32" t="s">
        <v>306</v>
      </c>
      <c r="C169" s="32"/>
      <c r="D169" s="39"/>
      <c r="E169" s="39"/>
      <c r="F169" s="41">
        <f>+D169+F168</f>
        <v>0</v>
      </c>
      <c r="G169" s="41">
        <f t="shared" ref="G169:Z169" si="48">+F169+G168</f>
        <v>0</v>
      </c>
      <c r="H169" s="41">
        <f t="shared" si="48"/>
        <v>0</v>
      </c>
      <c r="I169" s="41">
        <f t="shared" si="48"/>
        <v>115.94133333333335</v>
      </c>
      <c r="J169" s="41">
        <f t="shared" si="48"/>
        <v>231.88266666666669</v>
      </c>
      <c r="K169" s="41">
        <f t="shared" si="48"/>
        <v>231.88266666666669</v>
      </c>
      <c r="L169" s="41">
        <f t="shared" si="48"/>
        <v>231.88266666666669</v>
      </c>
      <c r="M169" s="41">
        <f t="shared" si="48"/>
        <v>231.88266666666669</v>
      </c>
      <c r="N169" s="41">
        <f t="shared" si="48"/>
        <v>231.88266666666669</v>
      </c>
      <c r="O169" s="41">
        <f t="shared" si="48"/>
        <v>231.88266666666669</v>
      </c>
      <c r="P169" s="41">
        <f t="shared" si="48"/>
        <v>231.88266666666669</v>
      </c>
      <c r="Q169" s="41">
        <f t="shared" si="48"/>
        <v>231.88266666666669</v>
      </c>
      <c r="R169" s="41">
        <f t="shared" si="48"/>
        <v>231.88266666666669</v>
      </c>
      <c r="S169" s="41">
        <f t="shared" si="48"/>
        <v>231.88266666666669</v>
      </c>
      <c r="T169" s="41">
        <f t="shared" si="48"/>
        <v>231.88266666666669</v>
      </c>
      <c r="U169" s="41">
        <f t="shared" si="48"/>
        <v>231.88266666666669</v>
      </c>
      <c r="V169" s="41">
        <f t="shared" si="48"/>
        <v>231.88266666666669</v>
      </c>
      <c r="W169" s="41">
        <f t="shared" si="48"/>
        <v>231.88266666666669</v>
      </c>
      <c r="X169" s="41">
        <f t="shared" si="48"/>
        <v>231.88266666666669</v>
      </c>
      <c r="Y169" s="41">
        <f t="shared" si="48"/>
        <v>231.88266666666669</v>
      </c>
      <c r="Z169" s="41">
        <f t="shared" si="48"/>
        <v>231.88266666666669</v>
      </c>
    </row>
    <row r="170" spans="2:26" hidden="1" x14ac:dyDescent="0.2">
      <c r="B170" s="788" t="s">
        <v>300</v>
      </c>
      <c r="C170" s="788"/>
      <c r="D170" s="789"/>
      <c r="E170" s="789"/>
      <c r="F170" s="790">
        <f>+'Phase II Pro Forma'!F169</f>
        <v>0</v>
      </c>
      <c r="G170" s="790">
        <f>+'Phase II Pro Forma'!G169</f>
        <v>0</v>
      </c>
      <c r="H170" s="790">
        <f>+'Phase II Pro Forma'!H169</f>
        <v>0</v>
      </c>
      <c r="I170" s="790">
        <f>+'Phase II Pro Forma'!I169</f>
        <v>0.5</v>
      </c>
      <c r="J170" s="790">
        <f>+'Phase II Pro Forma'!J169</f>
        <v>1</v>
      </c>
      <c r="K170" s="790">
        <f>+'Phase II Pro Forma'!K169</f>
        <v>1</v>
      </c>
      <c r="L170" s="790">
        <f>+'Phase II Pro Forma'!L169</f>
        <v>1</v>
      </c>
      <c r="M170" s="790">
        <f>+'Phase II Pro Forma'!M169</f>
        <v>1</v>
      </c>
      <c r="N170" s="790">
        <f>+'Phase II Pro Forma'!N169</f>
        <v>1</v>
      </c>
      <c r="O170" s="790">
        <f>+'Phase II Pro Forma'!O169</f>
        <v>1</v>
      </c>
      <c r="P170" s="790">
        <f>+'Phase II Pro Forma'!P169</f>
        <v>1</v>
      </c>
      <c r="Q170" s="790">
        <f>+'Phase II Pro Forma'!Q169</f>
        <v>1</v>
      </c>
      <c r="R170" s="790">
        <f>+'Phase II Pro Forma'!R169</f>
        <v>1</v>
      </c>
      <c r="S170" s="790">
        <f>+'Phase II Pro Forma'!S169</f>
        <v>1</v>
      </c>
      <c r="T170" s="790">
        <f>+'Phase II Pro Forma'!T169</f>
        <v>1</v>
      </c>
      <c r="U170" s="790">
        <f>+'Phase II Pro Forma'!U169</f>
        <v>1</v>
      </c>
      <c r="V170" s="790">
        <f>+'Phase II Pro Forma'!V169</f>
        <v>1</v>
      </c>
      <c r="W170" s="790">
        <f>+'Phase II Pro Forma'!W169</f>
        <v>1</v>
      </c>
      <c r="X170" s="790">
        <f>+'Phase II Pro Forma'!X169</f>
        <v>1</v>
      </c>
      <c r="Y170" s="790">
        <f>+'Phase II Pro Forma'!Y169</f>
        <v>1</v>
      </c>
      <c r="Z170" s="790">
        <f>+'Phase II Pro Forma'!Z169</f>
        <v>1</v>
      </c>
    </row>
    <row r="171" spans="2:26" ht="5" customHeight="1" x14ac:dyDescent="0.2">
      <c r="B171" s="32"/>
      <c r="C171" s="32"/>
      <c r="D171" s="41"/>
      <c r="E171" s="41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2:26" x14ac:dyDescent="0.2">
      <c r="B172" s="32" t="s">
        <v>303</v>
      </c>
      <c r="F172" s="33">
        <f>+'Phase II Pro Forma'!F171</f>
        <v>0</v>
      </c>
      <c r="G172" s="33">
        <f>+'Phase II Pro Forma'!G171</f>
        <v>0</v>
      </c>
      <c r="H172" s="33">
        <f>+'Phase II Pro Forma'!H171</f>
        <v>0</v>
      </c>
      <c r="I172" s="33">
        <f>+'Phase II Pro Forma'!I171</f>
        <v>125</v>
      </c>
      <c r="J172" s="33">
        <f>+'Phase II Pro Forma'!J171</f>
        <v>130</v>
      </c>
      <c r="K172" s="33">
        <f>+'Phase II Pro Forma'!K171</f>
        <v>135</v>
      </c>
      <c r="L172" s="33">
        <f>+'Phase II Pro Forma'!L171</f>
        <v>135</v>
      </c>
      <c r="M172" s="33">
        <f>+'Phase II Pro Forma'!M171</f>
        <v>135</v>
      </c>
      <c r="N172" s="33">
        <f>+'Phase II Pro Forma'!N171</f>
        <v>135</v>
      </c>
      <c r="O172" s="33">
        <f>+'Phase II Pro Forma'!O171</f>
        <v>135</v>
      </c>
      <c r="P172" s="33">
        <f>+'Phase II Pro Forma'!P171</f>
        <v>135</v>
      </c>
      <c r="Q172" s="33">
        <f>+'Phase II Pro Forma'!Q171</f>
        <v>135</v>
      </c>
      <c r="R172" s="33">
        <f>+'Phase II Pro Forma'!R171</f>
        <v>135</v>
      </c>
      <c r="S172" s="33">
        <f>+'Phase II Pro Forma'!S171</f>
        <v>135</v>
      </c>
      <c r="T172" s="33">
        <f>+'Phase II Pro Forma'!T171</f>
        <v>135</v>
      </c>
      <c r="U172" s="33">
        <f>+'Phase II Pro Forma'!U171</f>
        <v>135</v>
      </c>
      <c r="V172" s="33">
        <f>+'Phase II Pro Forma'!V171</f>
        <v>135</v>
      </c>
      <c r="W172" s="33">
        <f>+'Phase II Pro Forma'!W171</f>
        <v>135</v>
      </c>
      <c r="X172" s="33">
        <f>+'Phase II Pro Forma'!X171</f>
        <v>135</v>
      </c>
      <c r="Y172" s="33">
        <f>+'Phase II Pro Forma'!Y171</f>
        <v>135</v>
      </c>
      <c r="Z172" s="33">
        <f>+'Phase II Pro Forma'!Z171</f>
        <v>135</v>
      </c>
    </row>
    <row r="173" spans="2:26" x14ac:dyDescent="0.2">
      <c r="B173" s="32" t="s">
        <v>310</v>
      </c>
      <c r="C173" s="32"/>
      <c r="D173" s="41"/>
      <c r="E173" s="41"/>
      <c r="F173" s="107">
        <f>+'Phase II Pro Forma'!F172</f>
        <v>1</v>
      </c>
      <c r="G173" s="107">
        <f>+'Phase II Pro Forma'!G172</f>
        <v>1.02</v>
      </c>
      <c r="H173" s="107">
        <f>+'Phase II Pro Forma'!H172</f>
        <v>1.0404</v>
      </c>
      <c r="I173" s="107">
        <f>+'Phase II Pro Forma'!I172</f>
        <v>1.0612079999999999</v>
      </c>
      <c r="J173" s="107">
        <f>+'Phase II Pro Forma'!J172</f>
        <v>1.08243216</v>
      </c>
      <c r="K173" s="107">
        <f>+'Phase II Pro Forma'!K172</f>
        <v>1.1040808032</v>
      </c>
      <c r="L173" s="107">
        <f>+'Phase II Pro Forma'!L172</f>
        <v>1.1261624192640001</v>
      </c>
      <c r="M173" s="107">
        <f>+'Phase II Pro Forma'!M172</f>
        <v>1.14868566764928</v>
      </c>
      <c r="N173" s="107">
        <f>+'Phase II Pro Forma'!N172</f>
        <v>1.1716593810022657</v>
      </c>
      <c r="O173" s="107">
        <f>+'Phase II Pro Forma'!O172</f>
        <v>1.1950925686223111</v>
      </c>
      <c r="P173" s="107">
        <f>+'Phase II Pro Forma'!P172</f>
        <v>1.2189944199947573</v>
      </c>
      <c r="Q173" s="107">
        <f>+'Phase II Pro Forma'!Q172</f>
        <v>1.2433743083946525</v>
      </c>
      <c r="R173" s="107">
        <f>+'Phase II Pro Forma'!R172</f>
        <v>1.2682417945625455</v>
      </c>
      <c r="S173" s="107">
        <f>+'Phase II Pro Forma'!S172</f>
        <v>1.2936066304537963</v>
      </c>
      <c r="T173" s="107">
        <f>+'Phase II Pro Forma'!T172</f>
        <v>1.3194787630628724</v>
      </c>
      <c r="U173" s="107">
        <f>+'Phase II Pro Forma'!U172</f>
        <v>1.3458683383241299</v>
      </c>
      <c r="V173" s="107">
        <f>+'Phase II Pro Forma'!V172</f>
        <v>1.3727857050906125</v>
      </c>
      <c r="W173" s="107">
        <f>+'Phase II Pro Forma'!W172</f>
        <v>1.4002414191924248</v>
      </c>
      <c r="X173" s="107">
        <f>+'Phase II Pro Forma'!X172</f>
        <v>1.4282462475762734</v>
      </c>
      <c r="Y173" s="107">
        <f>+'Phase II Pro Forma'!Y172</f>
        <v>1.4568111725277988</v>
      </c>
      <c r="Z173" s="107">
        <f>+'Phase II Pro Forma'!Z172</f>
        <v>1.4859473959783549</v>
      </c>
    </row>
    <row r="174" spans="2:26" x14ac:dyDescent="0.2">
      <c r="B174" s="32" t="s">
        <v>304</v>
      </c>
      <c r="C174" s="32"/>
      <c r="D174" s="41"/>
      <c r="E174" s="41"/>
      <c r="F174" s="33">
        <f>+F172*F173</f>
        <v>0</v>
      </c>
      <c r="G174" s="33">
        <f t="shared" ref="G174:Z174" si="49">+G172*G173</f>
        <v>0</v>
      </c>
      <c r="H174" s="33">
        <f t="shared" si="49"/>
        <v>0</v>
      </c>
      <c r="I174" s="33">
        <f t="shared" si="49"/>
        <v>132.65099999999998</v>
      </c>
      <c r="J174" s="33">
        <f t="shared" si="49"/>
        <v>140.71618079999999</v>
      </c>
      <c r="K174" s="33">
        <f t="shared" si="49"/>
        <v>149.050908432</v>
      </c>
      <c r="L174" s="33">
        <f t="shared" si="49"/>
        <v>152.03192660064002</v>
      </c>
      <c r="M174" s="33">
        <f t="shared" si="49"/>
        <v>155.07256513265281</v>
      </c>
      <c r="N174" s="33">
        <f t="shared" si="49"/>
        <v>158.17401643530587</v>
      </c>
      <c r="O174" s="33">
        <f t="shared" si="49"/>
        <v>161.337496764012</v>
      </c>
      <c r="P174" s="33">
        <f t="shared" si="49"/>
        <v>164.56424669929223</v>
      </c>
      <c r="Q174" s="33">
        <f t="shared" si="49"/>
        <v>167.85553163327808</v>
      </c>
      <c r="R174" s="33">
        <f t="shared" si="49"/>
        <v>171.21264226594363</v>
      </c>
      <c r="S174" s="33">
        <f t="shared" si="49"/>
        <v>174.6368951112625</v>
      </c>
      <c r="T174" s="33">
        <f t="shared" si="49"/>
        <v>178.12963301348776</v>
      </c>
      <c r="U174" s="33">
        <f t="shared" si="49"/>
        <v>181.69222567375755</v>
      </c>
      <c r="V174" s="33">
        <f t="shared" si="49"/>
        <v>185.32607018723269</v>
      </c>
      <c r="W174" s="33">
        <f t="shared" si="49"/>
        <v>189.03259159097735</v>
      </c>
      <c r="X174" s="33">
        <f t="shared" si="49"/>
        <v>192.81324342279692</v>
      </c>
      <c r="Y174" s="33">
        <f t="shared" si="49"/>
        <v>196.66950829125284</v>
      </c>
      <c r="Z174" s="33">
        <f t="shared" si="49"/>
        <v>200.60289845707791</v>
      </c>
    </row>
    <row r="175" spans="2:26" ht="5" customHeight="1" x14ac:dyDescent="0.2">
      <c r="B175" s="32"/>
    </row>
    <row r="176" spans="2:26" x14ac:dyDescent="0.2">
      <c r="B176" s="32" t="s">
        <v>153</v>
      </c>
      <c r="F176" s="107">
        <f>+'Phase II Pro Forma'!F175</f>
        <v>0</v>
      </c>
      <c r="G176" s="107">
        <f>+'Phase II Pro Forma'!G175</f>
        <v>0</v>
      </c>
      <c r="H176" s="107">
        <f>+'Phase II Pro Forma'!H175</f>
        <v>0</v>
      </c>
      <c r="I176" s="107">
        <f>+'Phase II Pro Forma'!I175</f>
        <v>0.65</v>
      </c>
      <c r="J176" s="107">
        <f>+'Phase II Pro Forma'!J175</f>
        <v>0.7</v>
      </c>
      <c r="K176" s="107">
        <f>+'Phase II Pro Forma'!K175</f>
        <v>0.7</v>
      </c>
      <c r="L176" s="107">
        <f>+'Phase II Pro Forma'!L175</f>
        <v>0.7</v>
      </c>
      <c r="M176" s="107">
        <f>+'Phase II Pro Forma'!M175</f>
        <v>0.7</v>
      </c>
      <c r="N176" s="107">
        <f>+'Phase II Pro Forma'!N175</f>
        <v>0.7</v>
      </c>
      <c r="O176" s="107">
        <f>+'Phase II Pro Forma'!O175</f>
        <v>0.7</v>
      </c>
      <c r="P176" s="107">
        <f>+'Phase II Pro Forma'!P175</f>
        <v>0.7</v>
      </c>
      <c r="Q176" s="107">
        <f>+'Phase II Pro Forma'!Q175</f>
        <v>0.7</v>
      </c>
      <c r="R176" s="107">
        <f>+'Phase II Pro Forma'!R175</f>
        <v>0.7</v>
      </c>
      <c r="S176" s="107">
        <f>+'Phase II Pro Forma'!S175</f>
        <v>0.7</v>
      </c>
      <c r="T176" s="107">
        <f>+'Phase II Pro Forma'!T175</f>
        <v>0.7</v>
      </c>
      <c r="U176" s="107">
        <f>+'Phase II Pro Forma'!U175</f>
        <v>0.7</v>
      </c>
      <c r="V176" s="107">
        <f>+'Phase II Pro Forma'!V175</f>
        <v>0.7</v>
      </c>
      <c r="W176" s="107">
        <f>+'Phase II Pro Forma'!W175</f>
        <v>0.7</v>
      </c>
      <c r="X176" s="107">
        <f>+'Phase II Pro Forma'!X175</f>
        <v>0.7</v>
      </c>
      <c r="Y176" s="107">
        <f>+'Phase II Pro Forma'!Y175</f>
        <v>0.7</v>
      </c>
      <c r="Z176" s="107">
        <f>+'Phase II Pro Forma'!Z175</f>
        <v>0.7</v>
      </c>
    </row>
    <row r="177" spans="2:26" x14ac:dyDescent="0.2">
      <c r="B177" s="32" t="s">
        <v>152</v>
      </c>
      <c r="F177" s="33">
        <f>+'Phase II Pro Forma'!F176</f>
        <v>0</v>
      </c>
      <c r="G177" s="33">
        <f>+'Phase II Pro Forma'!G176</f>
        <v>0</v>
      </c>
      <c r="H177" s="33">
        <f>+'Phase II Pro Forma'!H176</f>
        <v>0</v>
      </c>
      <c r="I177" s="33">
        <f>+'Phase II Pro Forma'!I176</f>
        <v>86.22314999999999</v>
      </c>
      <c r="J177" s="33">
        <f>+'Phase II Pro Forma'!J176</f>
        <v>98.501326559999981</v>
      </c>
      <c r="K177" s="33">
        <f>+'Phase II Pro Forma'!K176</f>
        <v>104.3356359024</v>
      </c>
      <c r="L177" s="33">
        <f>+'Phase II Pro Forma'!L176</f>
        <v>106.42234862044801</v>
      </c>
      <c r="M177" s="33">
        <f>+'Phase II Pro Forma'!M176</f>
        <v>108.55079559285696</v>
      </c>
      <c r="N177" s="33">
        <f>+'Phase II Pro Forma'!N176</f>
        <v>110.72181150471411</v>
      </c>
      <c r="O177" s="33">
        <f>+'Phase II Pro Forma'!O176</f>
        <v>112.93624773480839</v>
      </c>
      <c r="P177" s="33">
        <f>+'Phase II Pro Forma'!P176</f>
        <v>115.19497268950455</v>
      </c>
      <c r="Q177" s="33">
        <f>+'Phase II Pro Forma'!Q176</f>
        <v>117.49887214329465</v>
      </c>
      <c r="R177" s="33">
        <f>+'Phase II Pro Forma'!R176</f>
        <v>119.84884958616053</v>
      </c>
      <c r="S177" s="33">
        <f>+'Phase II Pro Forma'!S176</f>
        <v>122.24582657788375</v>
      </c>
      <c r="T177" s="33">
        <f>+'Phase II Pro Forma'!T176</f>
        <v>124.69074310944143</v>
      </c>
      <c r="U177" s="33">
        <f>+'Phase II Pro Forma'!U176</f>
        <v>127.18455797163027</v>
      </c>
      <c r="V177" s="33">
        <f>+'Phase II Pro Forma'!V176</f>
        <v>129.72824913106288</v>
      </c>
      <c r="W177" s="33">
        <f>+'Phase II Pro Forma'!W176</f>
        <v>132.32281411368413</v>
      </c>
      <c r="X177" s="33">
        <f>+'Phase II Pro Forma'!X176</f>
        <v>134.96927039595784</v>
      </c>
      <c r="Y177" s="33">
        <f>+'Phase II Pro Forma'!Y176</f>
        <v>137.66865580387699</v>
      </c>
      <c r="Z177" s="33">
        <f>+'Phase II Pro Forma'!Z176</f>
        <v>140.42202891995453</v>
      </c>
    </row>
    <row r="178" spans="2:26" x14ac:dyDescent="0.2">
      <c r="B178" s="136" t="s">
        <v>302</v>
      </c>
      <c r="C178" s="136"/>
      <c r="D178" s="136"/>
      <c r="E178" s="136"/>
      <c r="F178" s="773">
        <f>+'Phase II Pro Forma'!F177/1000000</f>
        <v>0</v>
      </c>
      <c r="G178" s="773">
        <f>+'Phase II Pro Forma'!G177/1000000</f>
        <v>0</v>
      </c>
      <c r="H178" s="773">
        <f>+'Phase II Pro Forma'!H177/1000000</f>
        <v>0</v>
      </c>
      <c r="I178" s="773">
        <f>+'Phase II Pro Forma'!I177/1000000</f>
        <v>3.6513410526918002</v>
      </c>
      <c r="J178" s="773">
        <f>+'Phase II Pro Forma'!J177/1000000</f>
        <v>8.3425840371902247</v>
      </c>
      <c r="K178" s="773">
        <f>+'Phase II Pro Forma'!K177/1000000</f>
        <v>8.8367217070853386</v>
      </c>
      <c r="L178" s="773">
        <f>+'Phase II Pro Forma'!L177/1000000</f>
        <v>9.0134561412270457</v>
      </c>
      <c r="M178" s="773">
        <f>+'Phase II Pro Forma'!M177/1000000</f>
        <v>9.1937252640515865</v>
      </c>
      <c r="N178" s="773">
        <f>+'Phase II Pro Forma'!N177/1000000</f>
        <v>9.377599769332619</v>
      </c>
      <c r="O178" s="773">
        <f>+'Phase II Pro Forma'!O177/1000000</f>
        <v>9.5651517647192712</v>
      </c>
      <c r="P178" s="773">
        <f>+'Phase II Pro Forma'!P177/1000000</f>
        <v>9.7564548000136568</v>
      </c>
      <c r="Q178" s="773">
        <f>+'Phase II Pro Forma'!Q177/1000000</f>
        <v>9.9515838960139291</v>
      </c>
      <c r="R178" s="773">
        <f>+'Phase II Pro Forma'!R177/1000000</f>
        <v>10.150615573934207</v>
      </c>
      <c r="S178" s="773">
        <f>+'Phase II Pro Forma'!S177/1000000</f>
        <v>10.353627885412893</v>
      </c>
      <c r="T178" s="773">
        <f>+'Phase II Pro Forma'!T177/1000000</f>
        <v>10.560700443121149</v>
      </c>
      <c r="U178" s="773">
        <f>+'Phase II Pro Forma'!U177/1000000</f>
        <v>10.771914451983575</v>
      </c>
      <c r="V178" s="773">
        <f>+'Phase II Pro Forma'!V177/1000000</f>
        <v>10.987352741023246</v>
      </c>
      <c r="W178" s="773">
        <f>+'Phase II Pro Forma'!W177/1000000</f>
        <v>11.20709979584371</v>
      </c>
      <c r="X178" s="773">
        <f>+'Phase II Pro Forma'!X177/1000000</f>
        <v>11.431241791760586</v>
      </c>
      <c r="Y178" s="773">
        <f>+'Phase II Pro Forma'!Y177/1000000</f>
        <v>11.659866627595799</v>
      </c>
      <c r="Z178" s="773">
        <f>+'Phase II Pro Forma'!Z177/1000000</f>
        <v>11.893063960147714</v>
      </c>
    </row>
    <row r="179" spans="2:26" ht="5" customHeight="1" x14ac:dyDescent="0.2"/>
    <row r="180" spans="2:26" x14ac:dyDescent="0.2">
      <c r="B180" s="32" t="s">
        <v>308</v>
      </c>
      <c r="F180" s="48">
        <f>+'Phase II Pro Forma'!F179/1000000</f>
        <v>0</v>
      </c>
      <c r="G180" s="48">
        <f>+'Phase II Pro Forma'!G179/1000000</f>
        <v>0</v>
      </c>
      <c r="H180" s="48">
        <f>+'Phase II Pro Forma'!H179/1000000</f>
        <v>0</v>
      </c>
      <c r="I180" s="48">
        <f>+'Phase II Pro Forma'!I179/1000000</f>
        <v>1.2580929849620162</v>
      </c>
      <c r="J180" s="48">
        <f>+'Phase II Pro Forma'!J179/1000000</f>
        <v>2.5665096893225132</v>
      </c>
      <c r="K180" s="48">
        <f>+'Phase II Pro Forma'!K179/1000000</f>
        <v>2.6178398831089633</v>
      </c>
      <c r="L180" s="48">
        <f>+'Phase II Pro Forma'!L179/1000000</f>
        <v>2.6701966807711428</v>
      </c>
      <c r="M180" s="48">
        <f>+'Phase II Pro Forma'!M179/1000000</f>
        <v>2.7236006143865654</v>
      </c>
      <c r="N180" s="48">
        <f>+'Phase II Pro Forma'!N179/1000000</f>
        <v>2.7780726266742968</v>
      </c>
      <c r="O180" s="48">
        <f>+'Phase II Pro Forma'!O179/1000000</f>
        <v>2.8336340792077825</v>
      </c>
      <c r="P180" s="48">
        <f>+'Phase II Pro Forma'!P179/1000000</f>
        <v>2.8903067607919386</v>
      </c>
      <c r="Q180" s="48">
        <f>+'Phase II Pro Forma'!Q179/1000000</f>
        <v>2.9481128960077774</v>
      </c>
      <c r="R180" s="48">
        <f>+'Phase II Pro Forma'!R179/1000000</f>
        <v>3.007075153927933</v>
      </c>
      <c r="S180" s="48">
        <f>+'Phase II Pro Forma'!S179/1000000</f>
        <v>3.0672166570064916</v>
      </c>
      <c r="T180" s="48">
        <f>+'Phase II Pro Forma'!T179/1000000</f>
        <v>3.1285609901466218</v>
      </c>
      <c r="U180" s="48">
        <f>+'Phase II Pro Forma'!U179/1000000</f>
        <v>3.1911322099495538</v>
      </c>
      <c r="V180" s="48">
        <f>+'Phase II Pro Forma'!V179/1000000</f>
        <v>3.2549548541485454</v>
      </c>
      <c r="W180" s="48">
        <f>+'Phase II Pro Forma'!W179/1000000</f>
        <v>3.3200539512315164</v>
      </c>
      <c r="X180" s="48">
        <f>+'Phase II Pro Forma'!X179/1000000</f>
        <v>3.3864550302561467</v>
      </c>
      <c r="Y180" s="48">
        <f>+'Phase II Pro Forma'!Y179/1000000</f>
        <v>3.4541841308612695</v>
      </c>
      <c r="Z180" s="48">
        <f>+'Phase II Pro Forma'!Z179/1000000</f>
        <v>3.5232678134784954</v>
      </c>
    </row>
    <row r="181" spans="2:26" x14ac:dyDescent="0.2">
      <c r="B181" s="136" t="s">
        <v>311</v>
      </c>
      <c r="C181" s="136"/>
      <c r="D181" s="136"/>
      <c r="E181" s="136"/>
      <c r="F181" s="773">
        <f>+F178+F180</f>
        <v>0</v>
      </c>
      <c r="G181" s="773">
        <f t="shared" ref="G181:Z181" si="50">+G178+G180</f>
        <v>0</v>
      </c>
      <c r="H181" s="773">
        <f t="shared" si="50"/>
        <v>0</v>
      </c>
      <c r="I181" s="773">
        <f t="shared" si="50"/>
        <v>4.9094340376538161</v>
      </c>
      <c r="J181" s="773">
        <f t="shared" si="50"/>
        <v>10.909093726512738</v>
      </c>
      <c r="K181" s="773">
        <f t="shared" si="50"/>
        <v>11.454561590194302</v>
      </c>
      <c r="L181" s="773">
        <f t="shared" si="50"/>
        <v>11.683652821998189</v>
      </c>
      <c r="M181" s="773">
        <f t="shared" si="50"/>
        <v>11.917325878438152</v>
      </c>
      <c r="N181" s="773">
        <f t="shared" si="50"/>
        <v>12.155672396006915</v>
      </c>
      <c r="O181" s="773">
        <f t="shared" si="50"/>
        <v>12.398785843927055</v>
      </c>
      <c r="P181" s="773">
        <f t="shared" si="50"/>
        <v>12.646761560805595</v>
      </c>
      <c r="Q181" s="773">
        <f t="shared" si="50"/>
        <v>12.899696792021707</v>
      </c>
      <c r="R181" s="773">
        <f t="shared" si="50"/>
        <v>13.157690727862139</v>
      </c>
      <c r="S181" s="773">
        <f t="shared" si="50"/>
        <v>13.420844542419385</v>
      </c>
      <c r="T181" s="773">
        <f t="shared" si="50"/>
        <v>13.68926143326777</v>
      </c>
      <c r="U181" s="773">
        <f t="shared" si="50"/>
        <v>13.963046661933129</v>
      </c>
      <c r="V181" s="773">
        <f t="shared" si="50"/>
        <v>14.242307595171791</v>
      </c>
      <c r="W181" s="773">
        <f t="shared" si="50"/>
        <v>14.527153747075227</v>
      </c>
      <c r="X181" s="773">
        <f t="shared" si="50"/>
        <v>14.817696822016732</v>
      </c>
      <c r="Y181" s="773">
        <f t="shared" si="50"/>
        <v>15.114050758457068</v>
      </c>
      <c r="Z181" s="773">
        <f t="shared" si="50"/>
        <v>15.41633177362621</v>
      </c>
    </row>
    <row r="182" spans="2:26" ht="5" customHeight="1" x14ac:dyDescent="0.2">
      <c r="B182" s="32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2:26" x14ac:dyDescent="0.2">
      <c r="B183" s="32" t="s">
        <v>309</v>
      </c>
      <c r="F183" s="771">
        <f>+'Phase II Pro Forma'!F182/1000000</f>
        <v>0</v>
      </c>
      <c r="G183" s="771">
        <f>+'Phase II Pro Forma'!G182/1000000</f>
        <v>0</v>
      </c>
      <c r="H183" s="771">
        <f>+'Phase II Pro Forma'!H182/1000000</f>
        <v>0</v>
      </c>
      <c r="I183" s="771">
        <f>+'Phase II Pro Forma'!I182/1000000</f>
        <v>0.83570129999999998</v>
      </c>
      <c r="J183" s="771">
        <f>+'Phase II Pro Forma'!J182/1000000</f>
        <v>1.7048306520000001</v>
      </c>
      <c r="K183" s="771">
        <f>+'Phase II Pro Forma'!K182/1000000</f>
        <v>1.7389272650400001</v>
      </c>
      <c r="L183" s="771">
        <f>+'Phase II Pro Forma'!L182/1000000</f>
        <v>1.7737058103408001</v>
      </c>
      <c r="M183" s="771">
        <f>+'Phase II Pro Forma'!M182/1000000</f>
        <v>1.8091799265476161</v>
      </c>
      <c r="N183" s="771">
        <f>+'Phase II Pro Forma'!N182/1000000</f>
        <v>1.8453635250785687</v>
      </c>
      <c r="O183" s="771">
        <f>+'Phase II Pro Forma'!O182/1000000</f>
        <v>1.8822707955801399</v>
      </c>
      <c r="P183" s="771">
        <f>+'Phase II Pro Forma'!P182/1000000</f>
        <v>1.919916211491743</v>
      </c>
      <c r="Q183" s="771">
        <f>+'Phase II Pro Forma'!Q182/1000000</f>
        <v>1.9583145357215777</v>
      </c>
      <c r="R183" s="771">
        <f>+'Phase II Pro Forma'!R182/1000000</f>
        <v>1.9974808264360093</v>
      </c>
      <c r="S183" s="771">
        <f>+'Phase II Pro Forma'!S182/1000000</f>
        <v>2.037430442964729</v>
      </c>
      <c r="T183" s="771">
        <f>+'Phase II Pro Forma'!T182/1000000</f>
        <v>2.0781790518240237</v>
      </c>
      <c r="U183" s="771">
        <f>+'Phase II Pro Forma'!U182/1000000</f>
        <v>2.1197426328605045</v>
      </c>
      <c r="V183" s="771">
        <f>+'Phase II Pro Forma'!V182/1000000</f>
        <v>2.1621374855177145</v>
      </c>
      <c r="W183" s="771">
        <f>+'Phase II Pro Forma'!W182/1000000</f>
        <v>2.2053802352280689</v>
      </c>
      <c r="X183" s="771">
        <f>+'Phase II Pro Forma'!X182/1000000</f>
        <v>2.2494878399326308</v>
      </c>
      <c r="Y183" s="771">
        <f>+'Phase II Pro Forma'!Y182/1000000</f>
        <v>2.2944775967312832</v>
      </c>
      <c r="Z183" s="771">
        <f>+'Phase II Pro Forma'!Z182/1000000</f>
        <v>2.340367148665909</v>
      </c>
    </row>
    <row r="184" spans="2:26" s="156" customFormat="1" x14ac:dyDescent="0.2">
      <c r="B184" s="136" t="s">
        <v>772</v>
      </c>
      <c r="C184" s="136"/>
      <c r="D184" s="136"/>
      <c r="E184" s="136"/>
      <c r="F184" s="773">
        <f>+F181+F183</f>
        <v>0</v>
      </c>
      <c r="G184" s="773">
        <f t="shared" ref="G184:Z184" si="51">+G181+G183</f>
        <v>0</v>
      </c>
      <c r="H184" s="773">
        <f t="shared" si="51"/>
        <v>0</v>
      </c>
      <c r="I184" s="773">
        <f t="shared" si="51"/>
        <v>5.7451353376538163</v>
      </c>
      <c r="J184" s="773">
        <f t="shared" si="51"/>
        <v>12.613924378512738</v>
      </c>
      <c r="K184" s="773">
        <f t="shared" si="51"/>
        <v>13.193488855234303</v>
      </c>
      <c r="L184" s="773">
        <f t="shared" si="51"/>
        <v>13.457358632338989</v>
      </c>
      <c r="M184" s="773">
        <f t="shared" si="51"/>
        <v>13.726505804985768</v>
      </c>
      <c r="N184" s="773">
        <f t="shared" si="51"/>
        <v>14.001035921085483</v>
      </c>
      <c r="O184" s="773">
        <f t="shared" si="51"/>
        <v>14.281056639507195</v>
      </c>
      <c r="P184" s="773">
        <f t="shared" si="51"/>
        <v>14.566677772297339</v>
      </c>
      <c r="Q184" s="773">
        <f t="shared" si="51"/>
        <v>14.858011327743284</v>
      </c>
      <c r="R184" s="773">
        <f t="shared" si="51"/>
        <v>15.155171554298148</v>
      </c>
      <c r="S184" s="773">
        <f t="shared" si="51"/>
        <v>15.458274985384113</v>
      </c>
      <c r="T184" s="773">
        <f t="shared" si="51"/>
        <v>15.767440485091793</v>
      </c>
      <c r="U184" s="773">
        <f t="shared" si="51"/>
        <v>16.082789294793635</v>
      </c>
      <c r="V184" s="773">
        <f t="shared" si="51"/>
        <v>16.404445080689506</v>
      </c>
      <c r="W184" s="773">
        <f t="shared" si="51"/>
        <v>16.732533982303295</v>
      </c>
      <c r="X184" s="773">
        <f t="shared" si="51"/>
        <v>17.067184661949362</v>
      </c>
      <c r="Y184" s="773">
        <f t="shared" si="51"/>
        <v>17.408528355188352</v>
      </c>
      <c r="Z184" s="773">
        <f t="shared" si="51"/>
        <v>17.75669892229212</v>
      </c>
    </row>
    <row r="185" spans="2:26" ht="5" customHeight="1" x14ac:dyDescent="0.2"/>
    <row r="186" spans="2:26" hidden="1" x14ac:dyDescent="0.2">
      <c r="B186" s="796" t="s">
        <v>9</v>
      </c>
      <c r="C186" s="793"/>
      <c r="D186" s="793"/>
      <c r="E186" s="793"/>
      <c r="F186" s="793"/>
      <c r="G186" s="793"/>
      <c r="H186" s="793"/>
      <c r="I186" s="793"/>
      <c r="J186" s="793"/>
      <c r="K186" s="793"/>
      <c r="L186" s="793"/>
      <c r="M186" s="793"/>
      <c r="N186" s="793"/>
      <c r="O186" s="793"/>
      <c r="P186" s="793"/>
      <c r="Q186" s="793"/>
      <c r="R186" s="793"/>
      <c r="S186" s="793"/>
      <c r="T186" s="793"/>
      <c r="U186" s="793"/>
      <c r="V186" s="793"/>
      <c r="W186" s="793"/>
      <c r="X186" s="793"/>
      <c r="Y186" s="793"/>
      <c r="Z186" s="793"/>
    </row>
    <row r="187" spans="2:26" hidden="1" x14ac:dyDescent="0.2">
      <c r="B187" s="797" t="s">
        <v>280</v>
      </c>
      <c r="C187" s="793"/>
      <c r="D187" s="798">
        <f>+'Phase II Pro Forma'!D186</f>
        <v>0.25</v>
      </c>
      <c r="E187" s="798"/>
      <c r="F187" s="794">
        <f>F$178*$D187</f>
        <v>0</v>
      </c>
      <c r="G187" s="794">
        <f t="shared" ref="G187:Z187" si="52">G$178*$D187</f>
        <v>0</v>
      </c>
      <c r="H187" s="794">
        <f t="shared" si="52"/>
        <v>0</v>
      </c>
      <c r="I187" s="794">
        <f t="shared" si="52"/>
        <v>0.91283526317295005</v>
      </c>
      <c r="J187" s="794">
        <f t="shared" si="52"/>
        <v>2.0856460092975562</v>
      </c>
      <c r="K187" s="794">
        <f t="shared" si="52"/>
        <v>2.2091804267713346</v>
      </c>
      <c r="L187" s="794">
        <f t="shared" si="52"/>
        <v>2.2533640353067614</v>
      </c>
      <c r="M187" s="794">
        <f t="shared" si="52"/>
        <v>2.2984313160128966</v>
      </c>
      <c r="N187" s="794">
        <f t="shared" si="52"/>
        <v>2.3443999423331547</v>
      </c>
      <c r="O187" s="794">
        <f t="shared" si="52"/>
        <v>2.3912879411798178</v>
      </c>
      <c r="P187" s="794">
        <f t="shared" si="52"/>
        <v>2.4391137000034142</v>
      </c>
      <c r="Q187" s="794">
        <f t="shared" si="52"/>
        <v>2.4878959740034823</v>
      </c>
      <c r="R187" s="794">
        <f t="shared" si="52"/>
        <v>2.5376538934835517</v>
      </c>
      <c r="S187" s="794">
        <f t="shared" si="52"/>
        <v>2.5884069713532232</v>
      </c>
      <c r="T187" s="794">
        <f t="shared" si="52"/>
        <v>2.6401751107802873</v>
      </c>
      <c r="U187" s="794">
        <f t="shared" si="52"/>
        <v>2.6929786129958937</v>
      </c>
      <c r="V187" s="794">
        <f t="shared" si="52"/>
        <v>2.7468381852558115</v>
      </c>
      <c r="W187" s="794">
        <f t="shared" si="52"/>
        <v>2.8017749489609276</v>
      </c>
      <c r="X187" s="794">
        <f t="shared" si="52"/>
        <v>2.8578104479401465</v>
      </c>
      <c r="Y187" s="794">
        <f t="shared" si="52"/>
        <v>2.9149666568989496</v>
      </c>
      <c r="Z187" s="794">
        <f t="shared" si="52"/>
        <v>2.9732659900369285</v>
      </c>
    </row>
    <row r="188" spans="2:26" hidden="1" x14ac:dyDescent="0.2">
      <c r="B188" s="797" t="s">
        <v>307</v>
      </c>
      <c r="C188" s="793"/>
      <c r="D188" s="798">
        <f>+'Phase II Pro Forma'!D187</f>
        <v>0.7</v>
      </c>
      <c r="E188" s="798"/>
      <c r="F188" s="799">
        <f>F$180*$D188</f>
        <v>0</v>
      </c>
      <c r="G188" s="799">
        <f t="shared" ref="G188:Z188" si="53">G$180*$D188</f>
        <v>0</v>
      </c>
      <c r="H188" s="799">
        <f t="shared" si="53"/>
        <v>0</v>
      </c>
      <c r="I188" s="799">
        <f t="shared" si="53"/>
        <v>0.88066508947341127</v>
      </c>
      <c r="J188" s="799">
        <f t="shared" si="53"/>
        <v>1.7965567825257591</v>
      </c>
      <c r="K188" s="799">
        <f t="shared" si="53"/>
        <v>1.8324879181762741</v>
      </c>
      <c r="L188" s="799">
        <f t="shared" si="53"/>
        <v>1.8691376765397998</v>
      </c>
      <c r="M188" s="799">
        <f t="shared" si="53"/>
        <v>1.9065204300705956</v>
      </c>
      <c r="N188" s="799">
        <f t="shared" si="53"/>
        <v>1.9446508386720076</v>
      </c>
      <c r="O188" s="799">
        <f t="shared" si="53"/>
        <v>1.9835438554454476</v>
      </c>
      <c r="P188" s="799">
        <f t="shared" si="53"/>
        <v>2.023214732554357</v>
      </c>
      <c r="Q188" s="799">
        <f t="shared" si="53"/>
        <v>2.0636790272054442</v>
      </c>
      <c r="R188" s="799">
        <f t="shared" si="53"/>
        <v>2.1049526077495528</v>
      </c>
      <c r="S188" s="799">
        <f t="shared" si="53"/>
        <v>2.1470516599045442</v>
      </c>
      <c r="T188" s="799">
        <f t="shared" si="53"/>
        <v>2.189992693102635</v>
      </c>
      <c r="U188" s="799">
        <f t="shared" si="53"/>
        <v>2.2337925469646875</v>
      </c>
      <c r="V188" s="799">
        <f t="shared" si="53"/>
        <v>2.2784683979039815</v>
      </c>
      <c r="W188" s="799">
        <f t="shared" si="53"/>
        <v>2.3240377658620615</v>
      </c>
      <c r="X188" s="799">
        <f t="shared" si="53"/>
        <v>2.3705185211793025</v>
      </c>
      <c r="Y188" s="799">
        <f t="shared" si="53"/>
        <v>2.4179288916028887</v>
      </c>
      <c r="Z188" s="799">
        <f t="shared" si="53"/>
        <v>2.4662874694349468</v>
      </c>
    </row>
    <row r="189" spans="2:26" x14ac:dyDescent="0.2">
      <c r="B189" s="54" t="s">
        <v>144</v>
      </c>
      <c r="D189" s="114"/>
      <c r="E189" s="114"/>
      <c r="F189" s="48">
        <f>+SUM(F187:F188)</f>
        <v>0</v>
      </c>
      <c r="G189" s="48">
        <f t="shared" ref="G189:Z189" si="54">+SUM(G187:G188)</f>
        <v>0</v>
      </c>
      <c r="H189" s="48">
        <f t="shared" si="54"/>
        <v>0</v>
      </c>
      <c r="I189" s="48">
        <f t="shared" si="54"/>
        <v>1.7935003526463613</v>
      </c>
      <c r="J189" s="48">
        <f t="shared" si="54"/>
        <v>3.8822027918233153</v>
      </c>
      <c r="K189" s="48">
        <f t="shared" si="54"/>
        <v>4.0416683449476087</v>
      </c>
      <c r="L189" s="48">
        <f t="shared" si="54"/>
        <v>4.122501711846561</v>
      </c>
      <c r="M189" s="48">
        <f t="shared" si="54"/>
        <v>4.2049517460834922</v>
      </c>
      <c r="N189" s="48">
        <f t="shared" si="54"/>
        <v>4.2890507810051623</v>
      </c>
      <c r="O189" s="48">
        <f t="shared" si="54"/>
        <v>4.3748317966252657</v>
      </c>
      <c r="P189" s="48">
        <f t="shared" si="54"/>
        <v>4.4623284325577712</v>
      </c>
      <c r="Q189" s="48">
        <f t="shared" si="54"/>
        <v>4.551575001208926</v>
      </c>
      <c r="R189" s="48">
        <f t="shared" si="54"/>
        <v>4.6426065012331046</v>
      </c>
      <c r="S189" s="48">
        <f t="shared" si="54"/>
        <v>4.7354586312577673</v>
      </c>
      <c r="T189" s="48">
        <f t="shared" si="54"/>
        <v>4.8301678038829223</v>
      </c>
      <c r="U189" s="48">
        <f t="shared" si="54"/>
        <v>4.9267711599605812</v>
      </c>
      <c r="V189" s="48">
        <f t="shared" si="54"/>
        <v>5.025306583159793</v>
      </c>
      <c r="W189" s="48">
        <f t="shared" si="54"/>
        <v>5.1258127148229891</v>
      </c>
      <c r="X189" s="48">
        <f t="shared" si="54"/>
        <v>5.228328969119449</v>
      </c>
      <c r="Y189" s="48">
        <f t="shared" si="54"/>
        <v>5.3328955485018383</v>
      </c>
      <c r="Z189" s="48">
        <f t="shared" si="54"/>
        <v>5.4395534594718757</v>
      </c>
    </row>
    <row r="190" spans="2:26" hidden="1" x14ac:dyDescent="0.2">
      <c r="B190" s="796" t="s">
        <v>281</v>
      </c>
      <c r="C190" s="793"/>
      <c r="D190" s="793"/>
      <c r="E190" s="793"/>
      <c r="F190" s="793"/>
      <c r="G190" s="793"/>
      <c r="H190" s="793"/>
      <c r="I190" s="793"/>
      <c r="J190" s="793"/>
      <c r="K190" s="793"/>
      <c r="L190" s="793"/>
      <c r="M190" s="793"/>
      <c r="N190" s="793"/>
      <c r="O190" s="793"/>
      <c r="P190" s="793"/>
      <c r="Q190" s="793"/>
      <c r="R190" s="793"/>
      <c r="S190" s="793"/>
      <c r="T190" s="793"/>
      <c r="U190" s="793"/>
      <c r="V190" s="793"/>
      <c r="W190" s="793"/>
      <c r="X190" s="793"/>
      <c r="Y190" s="793"/>
      <c r="Z190" s="793"/>
    </row>
    <row r="191" spans="2:26" hidden="1" x14ac:dyDescent="0.2">
      <c r="B191" s="797" t="s">
        <v>282</v>
      </c>
      <c r="C191" s="793"/>
      <c r="D191" s="798">
        <f>+'Phase II Pro Forma'!D189</f>
        <v>0.08</v>
      </c>
      <c r="E191" s="798"/>
      <c r="F191" s="789">
        <f>+'Phase II Pro Forma'!F189/1000000</f>
        <v>0</v>
      </c>
      <c r="G191" s="789">
        <f>+'Phase II Pro Forma'!G189/1000000</f>
        <v>0</v>
      </c>
      <c r="H191" s="789">
        <f>+'Phase II Pro Forma'!H189/1000000</f>
        <v>0</v>
      </c>
      <c r="I191" s="789">
        <f>+'Phase II Pro Forma'!I189/1000000</f>
        <v>0.3927547230123053</v>
      </c>
      <c r="J191" s="789">
        <f>+'Phase II Pro Forma'!J189/1000000</f>
        <v>0.87272749812101902</v>
      </c>
      <c r="K191" s="789">
        <f>+'Phase II Pro Forma'!K189/1000000</f>
        <v>0.9163649272155443</v>
      </c>
      <c r="L191" s="789">
        <f>+'Phase II Pro Forma'!L189/1000000</f>
        <v>0.93469222575985511</v>
      </c>
      <c r="M191" s="789">
        <f>+'Phase II Pro Forma'!M189/1000000</f>
        <v>0.95338607027505218</v>
      </c>
      <c r="N191" s="789">
        <f>+'Phase II Pro Forma'!N189/1000000</f>
        <v>0.97245379168055324</v>
      </c>
      <c r="O191" s="789">
        <f>+'Phase II Pro Forma'!O189/1000000</f>
        <v>0.99190286751416445</v>
      </c>
      <c r="P191" s="789">
        <f>+'Phase II Pro Forma'!P189/1000000</f>
        <v>1.0117409248644478</v>
      </c>
      <c r="Q191" s="789">
        <f>+'Phase II Pro Forma'!Q189/1000000</f>
        <v>1.0319757433617365</v>
      </c>
      <c r="R191" s="789">
        <f>+'Phase II Pro Forma'!R189/1000000</f>
        <v>1.0526152582289712</v>
      </c>
      <c r="S191" s="789">
        <f>+'Phase II Pro Forma'!S189/1000000</f>
        <v>1.0736675633935506</v>
      </c>
      <c r="T191" s="789">
        <f>+'Phase II Pro Forma'!T189/1000000</f>
        <v>1.0951409146614219</v>
      </c>
      <c r="U191" s="789">
        <f>+'Phase II Pro Forma'!U189/1000000</f>
        <v>1.1170437329546501</v>
      </c>
      <c r="V191" s="789">
        <f>+'Phase II Pro Forma'!V189/1000000</f>
        <v>1.1393846076137433</v>
      </c>
      <c r="W191" s="789">
        <f>+'Phase II Pro Forma'!W189/1000000</f>
        <v>1.1621722997660182</v>
      </c>
      <c r="X191" s="789">
        <f>+'Phase II Pro Forma'!X189/1000000</f>
        <v>1.1854157457613386</v>
      </c>
      <c r="Y191" s="789">
        <f>+'Phase II Pro Forma'!Y189/1000000</f>
        <v>1.2091240606765654</v>
      </c>
      <c r="Z191" s="789">
        <f>+'Phase II Pro Forma'!Z189/1000000</f>
        <v>1.2333065418900968</v>
      </c>
    </row>
    <row r="192" spans="2:26" hidden="1" x14ac:dyDescent="0.2">
      <c r="B192" s="797" t="s">
        <v>283</v>
      </c>
      <c r="C192" s="793"/>
      <c r="D192" s="798">
        <f>+'Phase II Pro Forma'!D190</f>
        <v>0.01</v>
      </c>
      <c r="E192" s="798"/>
      <c r="F192" s="789">
        <f>+'Phase II Pro Forma'!F190/1000000</f>
        <v>0</v>
      </c>
      <c r="G192" s="789">
        <f>+'Phase II Pro Forma'!G190/1000000</f>
        <v>0</v>
      </c>
      <c r="H192" s="789">
        <f>+'Phase II Pro Forma'!H190/1000000</f>
        <v>0</v>
      </c>
      <c r="I192" s="789">
        <f>+'Phase II Pro Forma'!I190/1000000</f>
        <v>4.9094340376538162E-2</v>
      </c>
      <c r="J192" s="789">
        <f>+'Phase II Pro Forma'!J190/1000000</f>
        <v>0.10909093726512738</v>
      </c>
      <c r="K192" s="789">
        <f>+'Phase II Pro Forma'!K190/1000000</f>
        <v>0.11454561590194304</v>
      </c>
      <c r="L192" s="789">
        <f>+'Phase II Pro Forma'!L190/1000000</f>
        <v>0.11683652821998189</v>
      </c>
      <c r="M192" s="789">
        <f>+'Phase II Pro Forma'!M190/1000000</f>
        <v>0.11917325878438152</v>
      </c>
      <c r="N192" s="789">
        <f>+'Phase II Pro Forma'!N190/1000000</f>
        <v>0.12155672396006915</v>
      </c>
      <c r="O192" s="789">
        <f>+'Phase II Pro Forma'!O190/1000000</f>
        <v>0.12398785843927056</v>
      </c>
      <c r="P192" s="789">
        <f>+'Phase II Pro Forma'!P190/1000000</f>
        <v>0.12646761560805597</v>
      </c>
      <c r="Q192" s="789">
        <f>+'Phase II Pro Forma'!Q190/1000000</f>
        <v>0.12899696792021706</v>
      </c>
      <c r="R192" s="789">
        <f>+'Phase II Pro Forma'!R190/1000000</f>
        <v>0.1315769072786214</v>
      </c>
      <c r="S192" s="789">
        <f>+'Phase II Pro Forma'!S190/1000000</f>
        <v>0.13420844542419383</v>
      </c>
      <c r="T192" s="789">
        <f>+'Phase II Pro Forma'!T190/1000000</f>
        <v>0.13689261433267774</v>
      </c>
      <c r="U192" s="789">
        <f>+'Phase II Pro Forma'!U190/1000000</f>
        <v>0.13963046661933126</v>
      </c>
      <c r="V192" s="789">
        <f>+'Phase II Pro Forma'!V190/1000000</f>
        <v>0.14242307595171791</v>
      </c>
      <c r="W192" s="789">
        <f>+'Phase II Pro Forma'!W190/1000000</f>
        <v>0.14527153747075228</v>
      </c>
      <c r="X192" s="789">
        <f>+'Phase II Pro Forma'!X190/1000000</f>
        <v>0.14817696822016732</v>
      </c>
      <c r="Y192" s="789">
        <f>+'Phase II Pro Forma'!Y190/1000000</f>
        <v>0.15114050758457068</v>
      </c>
      <c r="Z192" s="789">
        <f>+'Phase II Pro Forma'!Z190/1000000</f>
        <v>0.1541633177362621</v>
      </c>
    </row>
    <row r="193" spans="2:26" hidden="1" x14ac:dyDescent="0.2">
      <c r="B193" s="797" t="s">
        <v>73</v>
      </c>
      <c r="C193" s="793"/>
      <c r="D193" s="798">
        <f>+'Phase II Pro Forma'!D191</f>
        <v>6.5000000000000002E-2</v>
      </c>
      <c r="E193" s="798"/>
      <c r="F193" s="789">
        <f>+'Phase II Pro Forma'!F191/1000000</f>
        <v>0</v>
      </c>
      <c r="G193" s="789">
        <f>+'Phase II Pro Forma'!G191/1000000</f>
        <v>0</v>
      </c>
      <c r="H193" s="789">
        <f>+'Phase II Pro Forma'!H191/1000000</f>
        <v>0</v>
      </c>
      <c r="I193" s="789">
        <f>+'Phase II Pro Forma'!I191/1000000</f>
        <v>0.31911321244749807</v>
      </c>
      <c r="J193" s="789">
        <f>+'Phase II Pro Forma'!J191/1000000</f>
        <v>0.709091092223328</v>
      </c>
      <c r="K193" s="789">
        <f>+'Phase II Pro Forma'!K191/1000000</f>
        <v>0.74454650336262984</v>
      </c>
      <c r="L193" s="789">
        <f>+'Phase II Pro Forma'!L191/1000000</f>
        <v>0.75943743342988224</v>
      </c>
      <c r="M193" s="789">
        <f>+'Phase II Pro Forma'!M191/1000000</f>
        <v>0.77462618209847989</v>
      </c>
      <c r="N193" s="789">
        <f>+'Phase II Pro Forma'!N191/1000000</f>
        <v>0.79011870574044962</v>
      </c>
      <c r="O193" s="789">
        <f>+'Phase II Pro Forma'!O191/1000000</f>
        <v>0.80592107985525874</v>
      </c>
      <c r="P193" s="789">
        <f>+'Phase II Pro Forma'!P191/1000000</f>
        <v>0.82203950145236382</v>
      </c>
      <c r="Q193" s="789">
        <f>+'Phase II Pro Forma'!Q191/1000000</f>
        <v>0.83848029148141101</v>
      </c>
      <c r="R193" s="789">
        <f>+'Phase II Pro Forma'!R191/1000000</f>
        <v>0.85524989731103918</v>
      </c>
      <c r="S193" s="789">
        <f>+'Phase II Pro Forma'!S191/1000000</f>
        <v>0.87235489525725995</v>
      </c>
      <c r="T193" s="789">
        <f>+'Phase II Pro Forma'!T191/1000000</f>
        <v>0.88980199316240516</v>
      </c>
      <c r="U193" s="789">
        <f>+'Phase II Pro Forma'!U191/1000000</f>
        <v>0.90759803302565334</v>
      </c>
      <c r="V193" s="789">
        <f>+'Phase II Pro Forma'!V191/1000000</f>
        <v>0.92574999368616651</v>
      </c>
      <c r="W193" s="789">
        <f>+'Phase II Pro Forma'!W191/1000000</f>
        <v>0.9442649935598898</v>
      </c>
      <c r="X193" s="789">
        <f>+'Phase II Pro Forma'!X191/1000000</f>
        <v>0.9631502934310876</v>
      </c>
      <c r="Y193" s="789">
        <f>+'Phase II Pro Forma'!Y191/1000000</f>
        <v>0.98241329929970955</v>
      </c>
      <c r="Z193" s="789">
        <f>+'Phase II Pro Forma'!Z191/1000000</f>
        <v>1.0020615652857037</v>
      </c>
    </row>
    <row r="194" spans="2:26" hidden="1" x14ac:dyDescent="0.2">
      <c r="B194" s="797" t="s">
        <v>284</v>
      </c>
      <c r="C194" s="793"/>
      <c r="D194" s="798">
        <f>+'Phase II Pro Forma'!D192</f>
        <v>0.02</v>
      </c>
      <c r="E194" s="798"/>
      <c r="F194" s="789">
        <f>+'Phase II Pro Forma'!F192/1000000</f>
        <v>0</v>
      </c>
      <c r="G194" s="789">
        <f>+'Phase II Pro Forma'!G192/1000000</f>
        <v>0</v>
      </c>
      <c r="H194" s="789">
        <f>+'Phase II Pro Forma'!H192/1000000</f>
        <v>0</v>
      </c>
      <c r="I194" s="789">
        <f>+'Phase II Pro Forma'!I192/1000000</f>
        <v>9.8188680753076324E-2</v>
      </c>
      <c r="J194" s="789">
        <f>+'Phase II Pro Forma'!J192/1000000</f>
        <v>0.21818187453025475</v>
      </c>
      <c r="K194" s="789">
        <f>+'Phase II Pro Forma'!K192/1000000</f>
        <v>0.22909123180388608</v>
      </c>
      <c r="L194" s="789">
        <f>+'Phase II Pro Forma'!L192/1000000</f>
        <v>0.23367305643996378</v>
      </c>
      <c r="M194" s="789">
        <f>+'Phase II Pro Forma'!M192/1000000</f>
        <v>0.23834651756876304</v>
      </c>
      <c r="N194" s="789">
        <f>+'Phase II Pro Forma'!N192/1000000</f>
        <v>0.24311344792013831</v>
      </c>
      <c r="O194" s="789">
        <f>+'Phase II Pro Forma'!O192/1000000</f>
        <v>0.24797571687854111</v>
      </c>
      <c r="P194" s="789">
        <f>+'Phase II Pro Forma'!P192/1000000</f>
        <v>0.25293523121611194</v>
      </c>
      <c r="Q194" s="789">
        <f>+'Phase II Pro Forma'!Q192/1000000</f>
        <v>0.25799393584043412</v>
      </c>
      <c r="R194" s="789">
        <f>+'Phase II Pro Forma'!R192/1000000</f>
        <v>0.26315381455724279</v>
      </c>
      <c r="S194" s="789">
        <f>+'Phase II Pro Forma'!S192/1000000</f>
        <v>0.26841689084838766</v>
      </c>
      <c r="T194" s="789">
        <f>+'Phase II Pro Forma'!T192/1000000</f>
        <v>0.27378522866535548</v>
      </c>
      <c r="U194" s="789">
        <f>+'Phase II Pro Forma'!U192/1000000</f>
        <v>0.27926093323866252</v>
      </c>
      <c r="V194" s="789">
        <f>+'Phase II Pro Forma'!V192/1000000</f>
        <v>0.28484615190343582</v>
      </c>
      <c r="W194" s="789">
        <f>+'Phase II Pro Forma'!W192/1000000</f>
        <v>0.29054307494150455</v>
      </c>
      <c r="X194" s="789">
        <f>+'Phase II Pro Forma'!X192/1000000</f>
        <v>0.29635393644033464</v>
      </c>
      <c r="Y194" s="789">
        <f>+'Phase II Pro Forma'!Y192/1000000</f>
        <v>0.30228101516914135</v>
      </c>
      <c r="Z194" s="789">
        <f>+'Phase II Pro Forma'!Z192/1000000</f>
        <v>0.3083266354725242</v>
      </c>
    </row>
    <row r="195" spans="2:26" hidden="1" x14ac:dyDescent="0.2">
      <c r="B195" s="797" t="s">
        <v>285</v>
      </c>
      <c r="C195" s="793"/>
      <c r="D195" s="798">
        <f>+'Phase II Pro Forma'!D193</f>
        <v>0.03</v>
      </c>
      <c r="E195" s="798"/>
      <c r="F195" s="789">
        <f>+'Phase II Pro Forma'!F193/1000000</f>
        <v>0</v>
      </c>
      <c r="G195" s="789">
        <f>+'Phase II Pro Forma'!G193/1000000</f>
        <v>0</v>
      </c>
      <c r="H195" s="789">
        <f>+'Phase II Pro Forma'!H193/1000000</f>
        <v>0</v>
      </c>
      <c r="I195" s="789">
        <f>+'Phase II Pro Forma'!I193/1000000</f>
        <v>0.14728302112961447</v>
      </c>
      <c r="J195" s="789">
        <f>+'Phase II Pro Forma'!J193/1000000</f>
        <v>0.32727281179538215</v>
      </c>
      <c r="K195" s="789">
        <f>+'Phase II Pro Forma'!K193/1000000</f>
        <v>0.34363684770582908</v>
      </c>
      <c r="L195" s="789">
        <f>+'Phase II Pro Forma'!L193/1000000</f>
        <v>0.35050958465994564</v>
      </c>
      <c r="M195" s="789">
        <f>+'Phase II Pro Forma'!M193/1000000</f>
        <v>0.35751977635314452</v>
      </c>
      <c r="N195" s="789">
        <f>+'Phase II Pro Forma'!N193/1000000</f>
        <v>0.36467017188020745</v>
      </c>
      <c r="O195" s="789">
        <f>+'Phase II Pro Forma'!O193/1000000</f>
        <v>0.3719635753178116</v>
      </c>
      <c r="P195" s="789">
        <f>+'Phase II Pro Forma'!P193/1000000</f>
        <v>0.37940284682416786</v>
      </c>
      <c r="Q195" s="789">
        <f>+'Phase II Pro Forma'!Q193/1000000</f>
        <v>0.38699090376065121</v>
      </c>
      <c r="R195" s="789">
        <f>+'Phase II Pro Forma'!R193/1000000</f>
        <v>0.39473072183586416</v>
      </c>
      <c r="S195" s="789">
        <f>+'Phase II Pro Forma'!S193/1000000</f>
        <v>0.40262533627258146</v>
      </c>
      <c r="T195" s="789">
        <f>+'Phase II Pro Forma'!T193/1000000</f>
        <v>0.41067784299803317</v>
      </c>
      <c r="U195" s="789">
        <f>+'Phase II Pro Forma'!U193/1000000</f>
        <v>0.41889139985799384</v>
      </c>
      <c r="V195" s="789">
        <f>+'Phase II Pro Forma'!V193/1000000</f>
        <v>0.4272692278551537</v>
      </c>
      <c r="W195" s="789">
        <f>+'Phase II Pro Forma'!W193/1000000</f>
        <v>0.43581461241225683</v>
      </c>
      <c r="X195" s="789">
        <f>+'Phase II Pro Forma'!X193/1000000</f>
        <v>0.44453090466050199</v>
      </c>
      <c r="Y195" s="789">
        <f>+'Phase II Pro Forma'!Y193/1000000</f>
        <v>0.453421522753712</v>
      </c>
      <c r="Z195" s="789">
        <f>+'Phase II Pro Forma'!Z193/1000000</f>
        <v>0.46248995320878628</v>
      </c>
    </row>
    <row r="196" spans="2:26" hidden="1" x14ac:dyDescent="0.2">
      <c r="B196" s="797" t="s">
        <v>286</v>
      </c>
      <c r="C196" s="793"/>
      <c r="D196" s="798">
        <f>+'Phase II Pro Forma'!D194</f>
        <v>0.04</v>
      </c>
      <c r="E196" s="798"/>
      <c r="F196" s="789">
        <f>+'Phase II Pro Forma'!F194/1000000</f>
        <v>0</v>
      </c>
      <c r="G196" s="789">
        <f>+'Phase II Pro Forma'!G194/1000000</f>
        <v>0</v>
      </c>
      <c r="H196" s="789">
        <f>+'Phase II Pro Forma'!H194/1000000</f>
        <v>0</v>
      </c>
      <c r="I196" s="789">
        <f>+'Phase II Pro Forma'!I194/1000000</f>
        <v>0.19637736150615265</v>
      </c>
      <c r="J196" s="789">
        <f>+'Phase II Pro Forma'!J194/1000000</f>
        <v>0.43636374906050951</v>
      </c>
      <c r="K196" s="789">
        <f>+'Phase II Pro Forma'!K194/1000000</f>
        <v>0.45818246360777215</v>
      </c>
      <c r="L196" s="789">
        <f>+'Phase II Pro Forma'!L194/1000000</f>
        <v>0.46734611287992756</v>
      </c>
      <c r="M196" s="789">
        <f>+'Phase II Pro Forma'!M194/1000000</f>
        <v>0.47669303513752609</v>
      </c>
      <c r="N196" s="789">
        <f>+'Phase II Pro Forma'!N194/1000000</f>
        <v>0.48622689584027662</v>
      </c>
      <c r="O196" s="789">
        <f>+'Phase II Pro Forma'!O194/1000000</f>
        <v>0.49595143375708223</v>
      </c>
      <c r="P196" s="789">
        <f>+'Phase II Pro Forma'!P194/1000000</f>
        <v>0.50587046243222389</v>
      </c>
      <c r="Q196" s="789">
        <f>+'Phase II Pro Forma'!Q194/1000000</f>
        <v>0.51598787168086824</v>
      </c>
      <c r="R196" s="789">
        <f>+'Phase II Pro Forma'!R194/1000000</f>
        <v>0.52630762911448559</v>
      </c>
      <c r="S196" s="789">
        <f>+'Phase II Pro Forma'!S194/1000000</f>
        <v>0.53683378169677531</v>
      </c>
      <c r="T196" s="789">
        <f>+'Phase II Pro Forma'!T194/1000000</f>
        <v>0.54757045733071097</v>
      </c>
      <c r="U196" s="789">
        <f>+'Phase II Pro Forma'!U194/1000000</f>
        <v>0.55852186647732505</v>
      </c>
      <c r="V196" s="789">
        <f>+'Phase II Pro Forma'!V194/1000000</f>
        <v>0.56969230380687164</v>
      </c>
      <c r="W196" s="789">
        <f>+'Phase II Pro Forma'!W194/1000000</f>
        <v>0.58108614988300911</v>
      </c>
      <c r="X196" s="789">
        <f>+'Phase II Pro Forma'!X194/1000000</f>
        <v>0.59270787288066928</v>
      </c>
      <c r="Y196" s="789">
        <f>+'Phase II Pro Forma'!Y194/1000000</f>
        <v>0.60456203033828271</v>
      </c>
      <c r="Z196" s="789">
        <f>+'Phase II Pro Forma'!Z194/1000000</f>
        <v>0.6166532709450484</v>
      </c>
    </row>
    <row r="197" spans="2:26" hidden="1" x14ac:dyDescent="0.2">
      <c r="B197" s="797" t="s">
        <v>59</v>
      </c>
      <c r="C197" s="793"/>
      <c r="D197" s="798">
        <f>+'Phase II Pro Forma'!D195</f>
        <v>0.01</v>
      </c>
      <c r="E197" s="798"/>
      <c r="F197" s="789">
        <f>+'Phase II Pro Forma'!F195/1000000</f>
        <v>0</v>
      </c>
      <c r="G197" s="789">
        <f>+'Phase II Pro Forma'!G195/1000000</f>
        <v>0</v>
      </c>
      <c r="H197" s="789">
        <f>+'Phase II Pro Forma'!H195/1000000</f>
        <v>0</v>
      </c>
      <c r="I197" s="789">
        <f>+'Phase II Pro Forma'!I195/1000000</f>
        <v>4.9094340376538162E-2</v>
      </c>
      <c r="J197" s="789">
        <f>+'Phase II Pro Forma'!J195/1000000</f>
        <v>0.10909093726512738</v>
      </c>
      <c r="K197" s="789">
        <f>+'Phase II Pro Forma'!K195/1000000</f>
        <v>0.11454561590194304</v>
      </c>
      <c r="L197" s="789">
        <f>+'Phase II Pro Forma'!L195/1000000</f>
        <v>0.11683652821998189</v>
      </c>
      <c r="M197" s="789">
        <f>+'Phase II Pro Forma'!M195/1000000</f>
        <v>0.11917325878438152</v>
      </c>
      <c r="N197" s="789">
        <f>+'Phase II Pro Forma'!N195/1000000</f>
        <v>0.12155672396006915</v>
      </c>
      <c r="O197" s="789">
        <f>+'Phase II Pro Forma'!O195/1000000</f>
        <v>0.12398785843927056</v>
      </c>
      <c r="P197" s="789">
        <f>+'Phase II Pro Forma'!P195/1000000</f>
        <v>0.12646761560805597</v>
      </c>
      <c r="Q197" s="789">
        <f>+'Phase II Pro Forma'!Q195/1000000</f>
        <v>0.12899696792021706</v>
      </c>
      <c r="R197" s="789">
        <f>+'Phase II Pro Forma'!R195/1000000</f>
        <v>0.1315769072786214</v>
      </c>
      <c r="S197" s="789">
        <f>+'Phase II Pro Forma'!S195/1000000</f>
        <v>0.13420844542419383</v>
      </c>
      <c r="T197" s="789">
        <f>+'Phase II Pro Forma'!T195/1000000</f>
        <v>0.13689261433267774</v>
      </c>
      <c r="U197" s="789">
        <f>+'Phase II Pro Forma'!U195/1000000</f>
        <v>0.13963046661933126</v>
      </c>
      <c r="V197" s="789">
        <f>+'Phase II Pro Forma'!V195/1000000</f>
        <v>0.14242307595171791</v>
      </c>
      <c r="W197" s="789">
        <f>+'Phase II Pro Forma'!W195/1000000</f>
        <v>0.14527153747075228</v>
      </c>
      <c r="X197" s="789">
        <f>+'Phase II Pro Forma'!X195/1000000</f>
        <v>0.14817696822016732</v>
      </c>
      <c r="Y197" s="789">
        <f>+'Phase II Pro Forma'!Y195/1000000</f>
        <v>0.15114050758457068</v>
      </c>
      <c r="Z197" s="789">
        <f>+'Phase II Pro Forma'!Z195/1000000</f>
        <v>0.1541633177362621</v>
      </c>
    </row>
    <row r="198" spans="2:26" hidden="1" x14ac:dyDescent="0.2">
      <c r="B198" s="800" t="s">
        <v>325</v>
      </c>
      <c r="C198" s="793"/>
      <c r="D198" s="801">
        <f ca="1">+'Phase II Pro Forma'!D196</f>
        <v>0.10181266670955759</v>
      </c>
      <c r="E198" s="801"/>
      <c r="F198" s="789">
        <f ca="1">+'Phase II Pro Forma'!F196/1000000</f>
        <v>0</v>
      </c>
      <c r="G198" s="789">
        <f ca="1">+'Phase II Pro Forma'!G196/1000000</f>
        <v>0</v>
      </c>
      <c r="H198" s="789">
        <f ca="1">+'Phase II Pro Forma'!H196/1000000</f>
        <v>0</v>
      </c>
      <c r="I198" s="789">
        <f ca="1">+'Phase II Pro Forma'!I196/1000000</f>
        <v>0.62505793444194724</v>
      </c>
      <c r="J198" s="789">
        <f ca="1">+'Phase II Pro Forma'!J196/1000000</f>
        <v>1.2751181862615721</v>
      </c>
      <c r="K198" s="789">
        <f ca="1">+'Phase II Pro Forma'!K196/1000000</f>
        <v>1.2751181862615721</v>
      </c>
      <c r="L198" s="789">
        <f ca="1">+'Phase II Pro Forma'!L196/1000000</f>
        <v>1.2751181862615721</v>
      </c>
      <c r="M198" s="789">
        <f ca="1">+'Phase II Pro Forma'!M196/1000000</f>
        <v>1.300620549986804</v>
      </c>
      <c r="N198" s="789">
        <f ca="1">+'Phase II Pro Forma'!N196/1000000</f>
        <v>1.300620549986804</v>
      </c>
      <c r="O198" s="789">
        <f ca="1">+'Phase II Pro Forma'!O196/1000000</f>
        <v>1.300620549986804</v>
      </c>
      <c r="P198" s="789">
        <f ca="1">+'Phase II Pro Forma'!P196/1000000</f>
        <v>1.3266329609865397</v>
      </c>
      <c r="Q198" s="789">
        <f ca="1">+'Phase II Pro Forma'!Q196/1000000</f>
        <v>1.3266329609865397</v>
      </c>
      <c r="R198" s="789">
        <f ca="1">+'Phase II Pro Forma'!R196/1000000</f>
        <v>1.3266329609865397</v>
      </c>
      <c r="S198" s="789">
        <f ca="1">+'Phase II Pro Forma'!S196/1000000</f>
        <v>1.3531656202062705</v>
      </c>
      <c r="T198" s="789">
        <f ca="1">+'Phase II Pro Forma'!T196/1000000</f>
        <v>1.3531656202062705</v>
      </c>
      <c r="U198" s="789">
        <f ca="1">+'Phase II Pro Forma'!U196/1000000</f>
        <v>1.3531656202062705</v>
      </c>
      <c r="V198" s="789">
        <f ca="1">+'Phase II Pro Forma'!V196/1000000</f>
        <v>1.3802289326103963</v>
      </c>
      <c r="W198" s="789">
        <f ca="1">+'Phase II Pro Forma'!W196/1000000</f>
        <v>1.3802289326103963</v>
      </c>
      <c r="X198" s="789">
        <f ca="1">+'Phase II Pro Forma'!X196/1000000</f>
        <v>1.3802289326103963</v>
      </c>
      <c r="Y198" s="789">
        <f ca="1">+'Phase II Pro Forma'!Y196/1000000</f>
        <v>1.4078335112626044</v>
      </c>
      <c r="Z198" s="789">
        <f ca="1">+'Phase II Pro Forma'!Z196/1000000</f>
        <v>1.4078335112626044</v>
      </c>
    </row>
    <row r="199" spans="2:26" hidden="1" x14ac:dyDescent="0.2">
      <c r="B199" s="797" t="s">
        <v>287</v>
      </c>
      <c r="C199" s="793"/>
      <c r="D199" s="798">
        <f>+'Phase II Pro Forma'!D197</f>
        <v>3.5000000000000003E-2</v>
      </c>
      <c r="E199" s="798"/>
      <c r="F199" s="789">
        <f>+'Phase II Pro Forma'!F197/1000000</f>
        <v>0</v>
      </c>
      <c r="G199" s="789">
        <f>+'Phase II Pro Forma'!G197/1000000</f>
        <v>0</v>
      </c>
      <c r="H199" s="789">
        <f>+'Phase II Pro Forma'!H197/1000000</f>
        <v>0</v>
      </c>
      <c r="I199" s="789">
        <f>+'Phase II Pro Forma'!I197/1000000</f>
        <v>0.17183019131788357</v>
      </c>
      <c r="J199" s="789">
        <f>+'Phase II Pro Forma'!J197/1000000</f>
        <v>0.38181828042794586</v>
      </c>
      <c r="K199" s="789">
        <f>+'Phase II Pro Forma'!K197/1000000</f>
        <v>0.40090965565680065</v>
      </c>
      <c r="L199" s="789">
        <f>+'Phase II Pro Forma'!L197/1000000</f>
        <v>0.40892784876993665</v>
      </c>
      <c r="M199" s="789">
        <f>+'Phase II Pro Forma'!M197/1000000</f>
        <v>0.41710640574533536</v>
      </c>
      <c r="N199" s="789">
        <f>+'Phase II Pro Forma'!N197/1000000</f>
        <v>0.42544853386024212</v>
      </c>
      <c r="O199" s="789">
        <f>+'Phase II Pro Forma'!O197/1000000</f>
        <v>0.43395750453744703</v>
      </c>
      <c r="P199" s="789">
        <f>+'Phase II Pro Forma'!P197/1000000</f>
        <v>0.4426366546281959</v>
      </c>
      <c r="Q199" s="789">
        <f>+'Phase II Pro Forma'!Q197/1000000</f>
        <v>0.4514893877207598</v>
      </c>
      <c r="R199" s="789">
        <f>+'Phase II Pro Forma'!R197/1000000</f>
        <v>0.46051917547517496</v>
      </c>
      <c r="S199" s="789">
        <f>+'Phase II Pro Forma'!S197/1000000</f>
        <v>0.4697295589846785</v>
      </c>
      <c r="T199" s="789">
        <f>+'Phase II Pro Forma'!T197/1000000</f>
        <v>0.47912415016437204</v>
      </c>
      <c r="U199" s="789">
        <f>+'Phase II Pro Forma'!U197/1000000</f>
        <v>0.4887066331676595</v>
      </c>
      <c r="V199" s="789">
        <f>+'Phase II Pro Forma'!V197/1000000</f>
        <v>0.49848076583101275</v>
      </c>
      <c r="W199" s="789">
        <f>+'Phase II Pro Forma'!W197/1000000</f>
        <v>0.50845038114763297</v>
      </c>
      <c r="X199" s="789">
        <f>+'Phase II Pro Forma'!X197/1000000</f>
        <v>0.51861938877058567</v>
      </c>
      <c r="Y199" s="789">
        <f>+'Phase II Pro Forma'!Y197/1000000</f>
        <v>0.52899177654599749</v>
      </c>
      <c r="Z199" s="789">
        <f>+'Phase II Pro Forma'!Z197/1000000</f>
        <v>0.5395716120769174</v>
      </c>
    </row>
    <row r="200" spans="2:26" x14ac:dyDescent="0.2">
      <c r="B200" s="54" t="s">
        <v>281</v>
      </c>
      <c r="D200" s="114"/>
      <c r="E200" s="114"/>
      <c r="F200" s="771">
        <f ca="1">+SUM(F191:F199)</f>
        <v>0</v>
      </c>
      <c r="G200" s="771">
        <f t="shared" ref="G200:Z200" ca="1" si="55">+SUM(G191:G199)</f>
        <v>0</v>
      </c>
      <c r="H200" s="771">
        <f t="shared" ca="1" si="55"/>
        <v>0</v>
      </c>
      <c r="I200" s="771">
        <f t="shared" ca="1" si="55"/>
        <v>2.0487938053615542</v>
      </c>
      <c r="J200" s="771">
        <f t="shared" ca="1" si="55"/>
        <v>4.4387553669502662</v>
      </c>
      <c r="K200" s="771">
        <f t="shared" ca="1" si="55"/>
        <v>4.5969410474179204</v>
      </c>
      <c r="L200" s="771">
        <f t="shared" ca="1" si="55"/>
        <v>4.6633775046410468</v>
      </c>
      <c r="M200" s="771">
        <f t="shared" ca="1" si="55"/>
        <v>4.7566450547338688</v>
      </c>
      <c r="N200" s="771">
        <f t="shared" ca="1" si="55"/>
        <v>4.8257655448288101</v>
      </c>
      <c r="O200" s="771">
        <f t="shared" ca="1" si="55"/>
        <v>4.8962684447256501</v>
      </c>
      <c r="P200" s="771">
        <f t="shared" ca="1" si="55"/>
        <v>4.9941938136201625</v>
      </c>
      <c r="Q200" s="771">
        <f t="shared" ca="1" si="55"/>
        <v>5.0675450306728349</v>
      </c>
      <c r="R200" s="771">
        <f t="shared" ca="1" si="55"/>
        <v>5.1423632720665609</v>
      </c>
      <c r="S200" s="771">
        <f t="shared" ca="1" si="55"/>
        <v>5.2452105375078908</v>
      </c>
      <c r="T200" s="771">
        <f t="shared" ca="1" si="55"/>
        <v>5.3230514358539249</v>
      </c>
      <c r="U200" s="771">
        <f t="shared" ca="1" si="55"/>
        <v>5.4024491521668772</v>
      </c>
      <c r="V200" s="771">
        <f t="shared" ca="1" si="55"/>
        <v>5.5104981352102156</v>
      </c>
      <c r="W200" s="771">
        <f t="shared" ca="1" si="55"/>
        <v>5.5931035192622121</v>
      </c>
      <c r="X200" s="771">
        <f t="shared" ca="1" si="55"/>
        <v>5.6773610109952486</v>
      </c>
      <c r="Y200" s="771">
        <f t="shared" ca="1" si="55"/>
        <v>5.7909082312151545</v>
      </c>
      <c r="Z200" s="771">
        <f t="shared" ca="1" si="55"/>
        <v>5.8785697256142058</v>
      </c>
    </row>
    <row r="201" spans="2:26" s="793" customFormat="1" hidden="1" x14ac:dyDescent="0.2">
      <c r="B201" s="802" t="s">
        <v>180</v>
      </c>
    </row>
    <row r="202" spans="2:26" x14ac:dyDescent="0.2">
      <c r="B202" s="54" t="s">
        <v>789</v>
      </c>
      <c r="D202" s="114">
        <f>+'Phase II Pro Forma'!D199</f>
        <v>0.4</v>
      </c>
      <c r="E202" s="114"/>
      <c r="F202" s="41">
        <f t="shared" ref="F202:Z202" si="56">F$183*$D202</f>
        <v>0</v>
      </c>
      <c r="G202" s="41">
        <f t="shared" si="56"/>
        <v>0</v>
      </c>
      <c r="H202" s="41">
        <f t="shared" si="56"/>
        <v>0</v>
      </c>
      <c r="I202" s="41">
        <f t="shared" si="56"/>
        <v>0.33428052000000003</v>
      </c>
      <c r="J202" s="41">
        <f t="shared" si="56"/>
        <v>0.68193226080000002</v>
      </c>
      <c r="K202" s="41">
        <f t="shared" si="56"/>
        <v>0.69557090601600002</v>
      </c>
      <c r="L202" s="41">
        <f t="shared" si="56"/>
        <v>0.70948232413632006</v>
      </c>
      <c r="M202" s="41">
        <f t="shared" si="56"/>
        <v>0.72367197061904642</v>
      </c>
      <c r="N202" s="41">
        <f t="shared" si="56"/>
        <v>0.73814541003142753</v>
      </c>
      <c r="O202" s="41">
        <f t="shared" si="56"/>
        <v>0.75290831823205595</v>
      </c>
      <c r="P202" s="41">
        <f t="shared" si="56"/>
        <v>0.76796648459669725</v>
      </c>
      <c r="Q202" s="41">
        <f t="shared" si="56"/>
        <v>0.78332581428863113</v>
      </c>
      <c r="R202" s="41">
        <f t="shared" si="56"/>
        <v>0.79899233057440378</v>
      </c>
      <c r="S202" s="41">
        <f t="shared" si="56"/>
        <v>0.81497217718589166</v>
      </c>
      <c r="T202" s="41">
        <f t="shared" si="56"/>
        <v>0.83127162072960958</v>
      </c>
      <c r="U202" s="41">
        <f t="shared" si="56"/>
        <v>0.84789705314420183</v>
      </c>
      <c r="V202" s="41">
        <f t="shared" si="56"/>
        <v>0.86485499420708578</v>
      </c>
      <c r="W202" s="41">
        <f t="shared" si="56"/>
        <v>0.88215209409122763</v>
      </c>
      <c r="X202" s="41">
        <f t="shared" si="56"/>
        <v>0.89979513597305238</v>
      </c>
      <c r="Y202" s="41">
        <f t="shared" si="56"/>
        <v>0.91779103869251333</v>
      </c>
      <c r="Z202" s="41">
        <f t="shared" si="56"/>
        <v>0.93614685946636367</v>
      </c>
    </row>
    <row r="203" spans="2:26" x14ac:dyDescent="0.2">
      <c r="B203" s="136" t="s">
        <v>313</v>
      </c>
      <c r="C203" s="136"/>
      <c r="D203" s="136"/>
      <c r="E203" s="136"/>
      <c r="F203" s="773">
        <f ca="1">+F189+F200+F202</f>
        <v>0</v>
      </c>
      <c r="G203" s="773">
        <f t="shared" ref="G203:Z203" ca="1" si="57">+G189+G200+G202</f>
        <v>0</v>
      </c>
      <c r="H203" s="773">
        <f t="shared" ca="1" si="57"/>
        <v>0</v>
      </c>
      <c r="I203" s="773">
        <f t="shared" ca="1" si="57"/>
        <v>4.1765746780079152</v>
      </c>
      <c r="J203" s="773">
        <f t="shared" ca="1" si="57"/>
        <v>9.0028904195735819</v>
      </c>
      <c r="K203" s="773">
        <f t="shared" ca="1" si="57"/>
        <v>9.3341802983815292</v>
      </c>
      <c r="L203" s="773">
        <f t="shared" ca="1" si="57"/>
        <v>9.4953615406239287</v>
      </c>
      <c r="M203" s="773">
        <f t="shared" ca="1" si="57"/>
        <v>9.685268771436407</v>
      </c>
      <c r="N203" s="773">
        <f t="shared" ca="1" si="57"/>
        <v>9.8529617358653994</v>
      </c>
      <c r="O203" s="773">
        <f t="shared" ca="1" si="57"/>
        <v>10.02400855958297</v>
      </c>
      <c r="P203" s="773">
        <f t="shared" ca="1" si="57"/>
        <v>10.224488730774629</v>
      </c>
      <c r="Q203" s="773">
        <f t="shared" ca="1" si="57"/>
        <v>10.402445846170391</v>
      </c>
      <c r="R203" s="773">
        <f t="shared" ca="1" si="57"/>
        <v>10.583962103874068</v>
      </c>
      <c r="S203" s="773">
        <f t="shared" ca="1" si="57"/>
        <v>10.79564134595155</v>
      </c>
      <c r="T203" s="773">
        <f t="shared" ca="1" si="57"/>
        <v>10.984490860466456</v>
      </c>
      <c r="U203" s="773">
        <f t="shared" ca="1" si="57"/>
        <v>11.177117365271659</v>
      </c>
      <c r="V203" s="773">
        <f t="shared" ca="1" si="57"/>
        <v>11.400659712577095</v>
      </c>
      <c r="W203" s="773">
        <f t="shared" ca="1" si="57"/>
        <v>11.601068328176428</v>
      </c>
      <c r="X203" s="773">
        <f t="shared" ca="1" si="57"/>
        <v>11.80548511608775</v>
      </c>
      <c r="Y203" s="773">
        <f t="shared" ca="1" si="57"/>
        <v>12.041594818409507</v>
      </c>
      <c r="Z203" s="773">
        <f t="shared" ca="1" si="57"/>
        <v>12.254270044552445</v>
      </c>
    </row>
    <row r="204" spans="2:26" hidden="1" x14ac:dyDescent="0.2">
      <c r="B204" s="793"/>
      <c r="C204" s="793"/>
      <c r="D204" s="793"/>
      <c r="E204" s="793"/>
      <c r="F204" s="793"/>
      <c r="G204" s="793"/>
      <c r="H204" s="793"/>
      <c r="I204" s="793"/>
      <c r="J204" s="793"/>
      <c r="K204" s="793"/>
      <c r="L204" s="793"/>
      <c r="M204" s="793"/>
      <c r="N204" s="793"/>
      <c r="O204" s="793"/>
      <c r="P204" s="793"/>
      <c r="Q204" s="793"/>
      <c r="R204" s="793"/>
      <c r="S204" s="793"/>
      <c r="T204" s="793"/>
      <c r="U204" s="793"/>
      <c r="V204" s="793"/>
      <c r="W204" s="793"/>
      <c r="X204" s="793"/>
      <c r="Y204" s="793"/>
      <c r="Z204" s="793"/>
    </row>
    <row r="205" spans="2:26" hidden="1" x14ac:dyDescent="0.2">
      <c r="B205" s="804" t="s">
        <v>312</v>
      </c>
      <c r="C205" s="804"/>
      <c r="D205" s="804"/>
      <c r="E205" s="804"/>
      <c r="F205" s="805">
        <f t="shared" ref="F205:Z205" ca="1" si="58">+F184-F203</f>
        <v>0</v>
      </c>
      <c r="G205" s="805">
        <f t="shared" ca="1" si="58"/>
        <v>0</v>
      </c>
      <c r="H205" s="805">
        <f t="shared" ca="1" si="58"/>
        <v>0</v>
      </c>
      <c r="I205" s="805">
        <f t="shared" ca="1" si="58"/>
        <v>1.5685606596459012</v>
      </c>
      <c r="J205" s="805">
        <f t="shared" ca="1" si="58"/>
        <v>3.6110339589391565</v>
      </c>
      <c r="K205" s="805">
        <f t="shared" ca="1" si="58"/>
        <v>3.8593085568527741</v>
      </c>
      <c r="L205" s="805">
        <f t="shared" ca="1" si="58"/>
        <v>3.9619970917150606</v>
      </c>
      <c r="M205" s="805">
        <f t="shared" ca="1" si="58"/>
        <v>4.0412370335493613</v>
      </c>
      <c r="N205" s="805">
        <f t="shared" ca="1" si="58"/>
        <v>4.148074185220084</v>
      </c>
      <c r="O205" s="805">
        <f t="shared" ca="1" si="58"/>
        <v>4.2570480799242247</v>
      </c>
      <c r="P205" s="805">
        <f t="shared" ca="1" si="58"/>
        <v>4.34218904152271</v>
      </c>
      <c r="Q205" s="805">
        <f t="shared" ca="1" si="58"/>
        <v>4.4555654815728936</v>
      </c>
      <c r="R205" s="805">
        <f t="shared" ca="1" si="58"/>
        <v>4.5712094504240799</v>
      </c>
      <c r="S205" s="805">
        <f t="shared" ca="1" si="58"/>
        <v>4.6626336394325634</v>
      </c>
      <c r="T205" s="805">
        <f t="shared" ca="1" si="58"/>
        <v>4.7829496246253367</v>
      </c>
      <c r="U205" s="805">
        <f t="shared" ca="1" si="58"/>
        <v>4.9056719295219757</v>
      </c>
      <c r="V205" s="805">
        <f t="shared" ca="1" si="58"/>
        <v>5.0037853681124105</v>
      </c>
      <c r="W205" s="805">
        <f t="shared" ca="1" si="58"/>
        <v>5.1314656541268668</v>
      </c>
      <c r="X205" s="805">
        <f t="shared" ca="1" si="58"/>
        <v>5.261699545861612</v>
      </c>
      <c r="Y205" s="805">
        <f t="shared" ca="1" si="58"/>
        <v>5.3669335367788449</v>
      </c>
      <c r="Z205" s="805">
        <f t="shared" ca="1" si="58"/>
        <v>5.5024288777396748</v>
      </c>
    </row>
    <row r="206" spans="2:26" ht="5" customHeight="1" x14ac:dyDescent="0.2"/>
    <row r="207" spans="2:26" x14ac:dyDescent="0.2">
      <c r="B207" s="155" t="s">
        <v>83</v>
      </c>
    </row>
    <row r="208" spans="2:26" x14ac:dyDescent="0.2">
      <c r="B208" s="54" t="s">
        <v>288</v>
      </c>
      <c r="D208" s="114">
        <f>+'Phase II Pro Forma'!D205</f>
        <v>0.03</v>
      </c>
      <c r="E208" s="114"/>
      <c r="F208" s="771">
        <f t="shared" ref="F208:Z208" si="59">F$181*$D208</f>
        <v>0</v>
      </c>
      <c r="G208" s="771">
        <f t="shared" si="59"/>
        <v>0</v>
      </c>
      <c r="H208" s="771">
        <f t="shared" si="59"/>
        <v>0</v>
      </c>
      <c r="I208" s="771">
        <f t="shared" si="59"/>
        <v>0.14728302112961447</v>
      </c>
      <c r="J208" s="771">
        <f t="shared" si="59"/>
        <v>0.32727281179538215</v>
      </c>
      <c r="K208" s="771">
        <f t="shared" si="59"/>
        <v>0.34363684770582903</v>
      </c>
      <c r="L208" s="771">
        <f t="shared" si="59"/>
        <v>0.35050958465994564</v>
      </c>
      <c r="M208" s="771">
        <f t="shared" si="59"/>
        <v>0.35751977635314458</v>
      </c>
      <c r="N208" s="771">
        <f t="shared" si="59"/>
        <v>0.36467017188020745</v>
      </c>
      <c r="O208" s="771">
        <f t="shared" si="59"/>
        <v>0.3719635753178116</v>
      </c>
      <c r="P208" s="771">
        <f t="shared" si="59"/>
        <v>0.37940284682416786</v>
      </c>
      <c r="Q208" s="771">
        <f t="shared" si="59"/>
        <v>0.38699090376065121</v>
      </c>
      <c r="R208" s="771">
        <f t="shared" si="59"/>
        <v>0.39473072183586416</v>
      </c>
      <c r="S208" s="771">
        <f t="shared" si="59"/>
        <v>0.40262533627258151</v>
      </c>
      <c r="T208" s="771">
        <f t="shared" si="59"/>
        <v>0.41067784299803312</v>
      </c>
      <c r="U208" s="771">
        <f t="shared" si="59"/>
        <v>0.41889139985799384</v>
      </c>
      <c r="V208" s="771">
        <f t="shared" si="59"/>
        <v>0.4272692278551537</v>
      </c>
      <c r="W208" s="771">
        <f t="shared" si="59"/>
        <v>0.43581461241225677</v>
      </c>
      <c r="X208" s="771">
        <f t="shared" si="59"/>
        <v>0.44453090466050194</v>
      </c>
      <c r="Y208" s="771">
        <f t="shared" si="59"/>
        <v>0.45342152275371206</v>
      </c>
      <c r="Z208" s="771">
        <f t="shared" si="59"/>
        <v>0.46248995320878628</v>
      </c>
    </row>
    <row r="209" spans="2:26" x14ac:dyDescent="0.2">
      <c r="B209" s="137" t="s">
        <v>314</v>
      </c>
      <c r="C209" s="137"/>
      <c r="D209" s="137"/>
      <c r="E209" s="137"/>
      <c r="F209" s="774">
        <f ca="1">+F205-F208</f>
        <v>0</v>
      </c>
      <c r="G209" s="774">
        <f t="shared" ref="G209:Z209" ca="1" si="60">+G205-G208</f>
        <v>0</v>
      </c>
      <c r="H209" s="774">
        <f t="shared" ca="1" si="60"/>
        <v>0</v>
      </c>
      <c r="I209" s="774">
        <f t="shared" ca="1" si="60"/>
        <v>1.4212776385162866</v>
      </c>
      <c r="J209" s="774">
        <f t="shared" ca="1" si="60"/>
        <v>3.2837611471437742</v>
      </c>
      <c r="K209" s="774">
        <f t="shared" ca="1" si="60"/>
        <v>3.5156717091469449</v>
      </c>
      <c r="L209" s="774">
        <f t="shared" ca="1" si="60"/>
        <v>3.6114875070551151</v>
      </c>
      <c r="M209" s="774">
        <f t="shared" ca="1" si="60"/>
        <v>3.6837172571962169</v>
      </c>
      <c r="N209" s="774">
        <f t="shared" ca="1" si="60"/>
        <v>3.7834040133398767</v>
      </c>
      <c r="O209" s="774">
        <f t="shared" ca="1" si="60"/>
        <v>3.8850845046064131</v>
      </c>
      <c r="P209" s="774">
        <f t="shared" ca="1" si="60"/>
        <v>3.9627861946985421</v>
      </c>
      <c r="Q209" s="774">
        <f t="shared" ca="1" si="60"/>
        <v>4.0685745778122424</v>
      </c>
      <c r="R209" s="774">
        <f t="shared" ca="1" si="60"/>
        <v>4.1764787285882159</v>
      </c>
      <c r="S209" s="774">
        <f t="shared" ca="1" si="60"/>
        <v>4.2600083031599816</v>
      </c>
      <c r="T209" s="774">
        <f t="shared" ca="1" si="60"/>
        <v>4.3722717816273038</v>
      </c>
      <c r="U209" s="774">
        <f t="shared" ca="1" si="60"/>
        <v>4.4867805296639816</v>
      </c>
      <c r="V209" s="774">
        <f t="shared" ca="1" si="60"/>
        <v>4.5765161402572572</v>
      </c>
      <c r="W209" s="774">
        <f t="shared" ca="1" si="60"/>
        <v>4.6956510417146102</v>
      </c>
      <c r="X209" s="774">
        <f t="shared" ca="1" si="60"/>
        <v>4.8171686412011105</v>
      </c>
      <c r="Y209" s="774">
        <f t="shared" ca="1" si="60"/>
        <v>4.9135120140251329</v>
      </c>
      <c r="Z209" s="774">
        <f t="shared" ca="1" si="60"/>
        <v>5.0399389245308885</v>
      </c>
    </row>
    <row r="210" spans="2:26" x14ac:dyDescent="0.2">
      <c r="B210" s="779" t="s">
        <v>254</v>
      </c>
      <c r="C210" s="780"/>
      <c r="D210" s="780"/>
      <c r="E210" s="780"/>
      <c r="F210" s="781" t="str">
        <f t="shared" ref="F210:Z210" ca="1" si="61">+IFERROR(F209/F184,"")</f>
        <v/>
      </c>
      <c r="G210" s="781" t="str">
        <f t="shared" ca="1" si="61"/>
        <v/>
      </c>
      <c r="H210" s="781" t="str">
        <f t="shared" ca="1" si="61"/>
        <v/>
      </c>
      <c r="I210" s="781">
        <f t="shared" ca="1" si="61"/>
        <v>0.24738801698911836</v>
      </c>
      <c r="J210" s="781">
        <f t="shared" ca="1" si="61"/>
        <v>0.26032827283612986</v>
      </c>
      <c r="K210" s="781">
        <f t="shared" ca="1" si="61"/>
        <v>0.26647020721529308</v>
      </c>
      <c r="L210" s="781">
        <f t="shared" ca="1" si="61"/>
        <v>0.2683652569365621</v>
      </c>
      <c r="M210" s="781">
        <f t="shared" ca="1" si="61"/>
        <v>0.2683652569365621</v>
      </c>
      <c r="N210" s="781">
        <f t="shared" ca="1" si="61"/>
        <v>0.27022314882015919</v>
      </c>
      <c r="O210" s="781">
        <f t="shared" ca="1" si="61"/>
        <v>0.27204461145113684</v>
      </c>
      <c r="P210" s="781">
        <f t="shared" ca="1" si="61"/>
        <v>0.2720446114511369</v>
      </c>
      <c r="Q210" s="781">
        <f t="shared" ca="1" si="61"/>
        <v>0.27383035912856579</v>
      </c>
      <c r="R210" s="781">
        <f t="shared" ca="1" si="61"/>
        <v>0.27558109214565291</v>
      </c>
      <c r="S210" s="781">
        <f t="shared" ca="1" si="61"/>
        <v>0.27558109214565296</v>
      </c>
      <c r="T210" s="781">
        <f t="shared" ca="1" si="61"/>
        <v>0.27729749706436579</v>
      </c>
      <c r="U210" s="781">
        <f t="shared" ca="1" si="61"/>
        <v>0.27898024698467289</v>
      </c>
      <c r="V210" s="781">
        <f t="shared" ca="1" si="61"/>
        <v>0.27898024698467266</v>
      </c>
      <c r="W210" s="781">
        <f t="shared" ca="1" si="61"/>
        <v>0.28063000180850295</v>
      </c>
      <c r="X210" s="781">
        <f t="shared" ca="1" si="61"/>
        <v>0.28224740849853253</v>
      </c>
      <c r="Y210" s="781">
        <f t="shared" ca="1" si="61"/>
        <v>0.28224740849853253</v>
      </c>
      <c r="Z210" s="781">
        <f t="shared" ca="1" si="61"/>
        <v>0.28383310133189493</v>
      </c>
    </row>
    <row r="211" spans="2:26" x14ac:dyDescent="0.2">
      <c r="B211" s="779" t="s">
        <v>188</v>
      </c>
      <c r="C211" s="780"/>
      <c r="D211" s="780"/>
      <c r="E211" s="780"/>
      <c r="F211" s="783">
        <f ca="1">+'Phase II Pro Forma'!F208/1000000</f>
        <v>0</v>
      </c>
      <c r="G211" s="783">
        <f ca="1">+'Phase II Pro Forma'!G208/1000000</f>
        <v>0</v>
      </c>
      <c r="H211" s="783">
        <f ca="1">+'Phase II Pro Forma'!H208/1000000</f>
        <v>0</v>
      </c>
      <c r="I211" s="783">
        <f ca="1">+'Phase II Pro Forma'!I208/1000000</f>
        <v>19.607008245573752</v>
      </c>
      <c r="J211" s="783">
        <f ca="1">+'Phase II Pro Forma'!J208/1000000</f>
        <v>45.137924486739486</v>
      </c>
      <c r="K211" s="783">
        <f ca="1">+'Phase II Pro Forma'!K208/1000000</f>
        <v>48.241356960659658</v>
      </c>
      <c r="L211" s="783">
        <f ca="1">+'Phase II Pro Forma'!L208/1000000</f>
        <v>49.524963646438252</v>
      </c>
      <c r="M211" s="783">
        <f ca="1">+'Phase II Pro Forma'!M208/1000000</f>
        <v>50.515462919367032</v>
      </c>
      <c r="N211" s="783">
        <f ca="1">+'Phase II Pro Forma'!N208/1000000</f>
        <v>51.850927315251084</v>
      </c>
      <c r="O211" s="783">
        <f ca="1">+'Phase II Pro Forma'!O208/1000000</f>
        <v>53.21310099905282</v>
      </c>
      <c r="P211" s="783">
        <f ca="1">+'Phase II Pro Forma'!P208/1000000</f>
        <v>54.277363019033821</v>
      </c>
      <c r="Q211" s="783">
        <f ca="1">+'Phase II Pro Forma'!Q208/1000000</f>
        <v>55.694568519661161</v>
      </c>
      <c r="R211" s="783">
        <f ca="1">+'Phase II Pro Forma'!R208/1000000</f>
        <v>57.140118130301005</v>
      </c>
      <c r="S211" s="783">
        <f ca="1">+'Phase II Pro Forma'!S208/1000000</f>
        <v>58.282920492907031</v>
      </c>
      <c r="T211" s="783">
        <f ca="1">+'Phase II Pro Forma'!T208/1000000</f>
        <v>59.786870307816727</v>
      </c>
      <c r="U211" s="783">
        <f ca="1">+'Phase II Pro Forma'!U208/1000000</f>
        <v>61.320899119024624</v>
      </c>
      <c r="V211" s="783">
        <f ca="1">+'Phase II Pro Forma'!V208/1000000</f>
        <v>62.547317101405142</v>
      </c>
      <c r="W211" s="783">
        <f ca="1">+'Phase II Pro Forma'!W208/1000000</f>
        <v>64.143320676585873</v>
      </c>
      <c r="X211" s="783">
        <f ca="1">+'Phase II Pro Forma'!X208/1000000</f>
        <v>65.771244323270139</v>
      </c>
      <c r="Y211" s="783">
        <f ca="1">+'Phase II Pro Forma'!Y208/1000000</f>
        <v>67.086669209735575</v>
      </c>
      <c r="Z211" s="783">
        <f ca="1">+'Phase II Pro Forma'!Z208/1000000</f>
        <v>68.780360971745935</v>
      </c>
    </row>
    <row r="213" spans="2:26" x14ac:dyDescent="0.2">
      <c r="B213" s="147" t="s">
        <v>31</v>
      </c>
      <c r="F213" s="776">
        <f>+F165</f>
        <v>44926</v>
      </c>
      <c r="G213" s="776">
        <f t="shared" ref="G213:Z213" si="62">+G165</f>
        <v>45291</v>
      </c>
      <c r="H213" s="776">
        <f t="shared" si="62"/>
        <v>45657</v>
      </c>
      <c r="I213" s="776">
        <f t="shared" si="62"/>
        <v>46022</v>
      </c>
      <c r="J213" s="776">
        <f t="shared" si="62"/>
        <v>46387</v>
      </c>
      <c r="K213" s="776">
        <f t="shared" si="62"/>
        <v>46752</v>
      </c>
      <c r="L213" s="776">
        <f t="shared" si="62"/>
        <v>47118</v>
      </c>
      <c r="M213" s="776">
        <f t="shared" si="62"/>
        <v>47483</v>
      </c>
      <c r="N213" s="776">
        <f t="shared" si="62"/>
        <v>47848</v>
      </c>
      <c r="O213" s="776">
        <f t="shared" si="62"/>
        <v>48213</v>
      </c>
      <c r="P213" s="776">
        <f t="shared" si="62"/>
        <v>48579</v>
      </c>
      <c r="Q213" s="776">
        <f t="shared" si="62"/>
        <v>48944</v>
      </c>
      <c r="R213" s="776">
        <f t="shared" si="62"/>
        <v>49309</v>
      </c>
      <c r="S213" s="776">
        <f t="shared" si="62"/>
        <v>49674</v>
      </c>
      <c r="T213" s="776">
        <f t="shared" si="62"/>
        <v>50040</v>
      </c>
      <c r="U213" s="776">
        <f t="shared" si="62"/>
        <v>50405</v>
      </c>
      <c r="V213" s="776">
        <f t="shared" si="62"/>
        <v>50770</v>
      </c>
      <c r="W213" s="776">
        <f t="shared" si="62"/>
        <v>51135</v>
      </c>
      <c r="X213" s="776">
        <f t="shared" si="62"/>
        <v>51501</v>
      </c>
      <c r="Y213" s="776">
        <f t="shared" si="62"/>
        <v>51866</v>
      </c>
      <c r="Z213" s="776">
        <f t="shared" si="62"/>
        <v>52231</v>
      </c>
    </row>
    <row r="214" spans="2:26" hidden="1" x14ac:dyDescent="0.2">
      <c r="B214" s="788" t="s">
        <v>331</v>
      </c>
      <c r="C214" s="793"/>
      <c r="D214" s="793"/>
      <c r="E214" s="793"/>
      <c r="F214" s="792">
        <v>0</v>
      </c>
      <c r="G214" s="792">
        <f t="shared" ref="G214:Z214" si="63">+F217</f>
        <v>0</v>
      </c>
      <c r="H214" s="792">
        <f t="shared" si="63"/>
        <v>0</v>
      </c>
      <c r="I214" s="792">
        <f t="shared" si="63"/>
        <v>0</v>
      </c>
      <c r="J214" s="792">
        <f t="shared" ca="1" si="63"/>
        <v>38.593085568527727</v>
      </c>
      <c r="K214" s="792">
        <f t="shared" ca="1" si="63"/>
        <v>38.593085568527727</v>
      </c>
      <c r="L214" s="792">
        <f t="shared" ca="1" si="63"/>
        <v>38.593085568527727</v>
      </c>
      <c r="M214" s="792">
        <f t="shared" ca="1" si="63"/>
        <v>38.593085568527727</v>
      </c>
      <c r="N214" s="792">
        <f t="shared" ca="1" si="63"/>
        <v>38.593085568527727</v>
      </c>
      <c r="O214" s="792">
        <f t="shared" ca="1" si="63"/>
        <v>38.593085568527727</v>
      </c>
      <c r="P214" s="792">
        <f t="shared" ca="1" si="63"/>
        <v>38.593085568527727</v>
      </c>
      <c r="Q214" s="792">
        <f t="shared" ca="1" si="63"/>
        <v>38.593085568527727</v>
      </c>
      <c r="R214" s="792">
        <f t="shared" ca="1" si="63"/>
        <v>38.593085568527727</v>
      </c>
      <c r="S214" s="792">
        <f t="shared" ca="1" si="63"/>
        <v>38.593085568527727</v>
      </c>
      <c r="T214" s="792">
        <f t="shared" ca="1" si="63"/>
        <v>38.593085568527727</v>
      </c>
      <c r="U214" s="792">
        <f t="shared" ca="1" si="63"/>
        <v>38.593085568527727</v>
      </c>
      <c r="V214" s="792">
        <f t="shared" ca="1" si="63"/>
        <v>38.593085568527727</v>
      </c>
      <c r="W214" s="792">
        <f t="shared" ca="1" si="63"/>
        <v>38.593085568527727</v>
      </c>
      <c r="X214" s="792">
        <f t="shared" ca="1" si="63"/>
        <v>38.593085568527727</v>
      </c>
      <c r="Y214" s="792">
        <f t="shared" ca="1" si="63"/>
        <v>38.593085568527727</v>
      </c>
      <c r="Z214" s="792">
        <f t="shared" ca="1" si="63"/>
        <v>38.593085568527727</v>
      </c>
    </row>
    <row r="215" spans="2:26" x14ac:dyDescent="0.2">
      <c r="B215" s="32" t="s">
        <v>342</v>
      </c>
      <c r="F215" s="48">
        <f>+'Phase II Pro Forma'!F212/1000000</f>
        <v>0</v>
      </c>
      <c r="G215" s="48">
        <f>+'Phase II Pro Forma'!G212/1000000</f>
        <v>0</v>
      </c>
      <c r="H215" s="48">
        <f>+'Phase II Pro Forma'!H212/1000000</f>
        <v>0</v>
      </c>
      <c r="I215" s="48">
        <f ca="1">+'Phase II Pro Forma'!I212/1000000</f>
        <v>38.593085568527727</v>
      </c>
      <c r="J215" s="48">
        <f>+'Phase II Pro Forma'!J212/1000000</f>
        <v>0</v>
      </c>
      <c r="K215" s="48">
        <f>+'Phase II Pro Forma'!K212/1000000</f>
        <v>0</v>
      </c>
      <c r="L215" s="48">
        <f>+'Phase II Pro Forma'!L212/1000000</f>
        <v>0</v>
      </c>
      <c r="M215" s="48">
        <f>+'Phase II Pro Forma'!M212/1000000</f>
        <v>0</v>
      </c>
      <c r="N215" s="48">
        <f>+'Phase II Pro Forma'!N212/1000000</f>
        <v>0</v>
      </c>
      <c r="O215" s="48">
        <f>+'Phase II Pro Forma'!O212/1000000</f>
        <v>0</v>
      </c>
      <c r="P215" s="48">
        <f>+'Phase II Pro Forma'!P212/1000000</f>
        <v>0</v>
      </c>
      <c r="Q215" s="48">
        <f>+'Phase II Pro Forma'!Q212/1000000</f>
        <v>0</v>
      </c>
      <c r="R215" s="48">
        <f>+'Phase II Pro Forma'!R212/1000000</f>
        <v>0</v>
      </c>
      <c r="S215" s="48">
        <f>+'Phase II Pro Forma'!S212/1000000</f>
        <v>0</v>
      </c>
      <c r="T215" s="48">
        <f>+'Phase II Pro Forma'!T212/1000000</f>
        <v>0</v>
      </c>
      <c r="U215" s="48">
        <f>+'Phase II Pro Forma'!U212/1000000</f>
        <v>0</v>
      </c>
      <c r="V215" s="48">
        <f>+'Phase II Pro Forma'!V212/1000000</f>
        <v>0</v>
      </c>
      <c r="W215" s="48">
        <f>+'Phase II Pro Forma'!W212/1000000</f>
        <v>0</v>
      </c>
      <c r="X215" s="48">
        <f>+'Phase II Pro Forma'!X212/1000000</f>
        <v>0</v>
      </c>
      <c r="Y215" s="48">
        <f>+'Phase II Pro Forma'!Y212/1000000</f>
        <v>0</v>
      </c>
      <c r="Z215" s="48">
        <f>+'Phase II Pro Forma'!Z212/1000000</f>
        <v>0</v>
      </c>
    </row>
    <row r="216" spans="2:26" x14ac:dyDescent="0.2">
      <c r="B216" s="32" t="s">
        <v>162</v>
      </c>
      <c r="F216" s="772">
        <f>+'Phase II Pro Forma'!F213/1000000</f>
        <v>0</v>
      </c>
      <c r="G216" s="772">
        <f>+'Phase II Pro Forma'!G213/1000000</f>
        <v>0</v>
      </c>
      <c r="H216" s="772">
        <f>+'Phase II Pro Forma'!H213/1000000</f>
        <v>0</v>
      </c>
      <c r="I216" s="772">
        <f>+'Phase II Pro Forma'!I213/1000000</f>
        <v>0</v>
      </c>
      <c r="J216" s="772">
        <f>+'Phase II Pro Forma'!J213/1000000</f>
        <v>0</v>
      </c>
      <c r="K216" s="772">
        <f>+'Phase II Pro Forma'!K213/1000000</f>
        <v>0</v>
      </c>
      <c r="L216" s="772">
        <f>+'Phase II Pro Forma'!L213/1000000</f>
        <v>0</v>
      </c>
      <c r="M216" s="772">
        <f>+'Phase II Pro Forma'!M213/1000000</f>
        <v>0</v>
      </c>
      <c r="N216" s="772">
        <f>+'Phase II Pro Forma'!N213/1000000</f>
        <v>0</v>
      </c>
      <c r="O216" s="772">
        <f>+'Phase II Pro Forma'!O213/1000000</f>
        <v>0</v>
      </c>
      <c r="P216" s="772">
        <f>+'Phase II Pro Forma'!P213/1000000</f>
        <v>0</v>
      </c>
      <c r="Q216" s="772">
        <f>+'Phase II Pro Forma'!Q213/1000000</f>
        <v>0</v>
      </c>
      <c r="R216" s="772">
        <f>+'Phase II Pro Forma'!R213/1000000</f>
        <v>0</v>
      </c>
      <c r="S216" s="772">
        <f>+'Phase II Pro Forma'!S213/1000000</f>
        <v>0</v>
      </c>
      <c r="T216" s="772">
        <f>+'Phase II Pro Forma'!T213/1000000</f>
        <v>0</v>
      </c>
      <c r="U216" s="772">
        <f>+'Phase II Pro Forma'!U213/1000000</f>
        <v>0</v>
      </c>
      <c r="V216" s="772">
        <f>+'Phase II Pro Forma'!V213/1000000</f>
        <v>0</v>
      </c>
      <c r="W216" s="772">
        <f>+'Phase II Pro Forma'!W213/1000000</f>
        <v>0</v>
      </c>
      <c r="X216" s="772">
        <f>+'Phase II Pro Forma'!X213/1000000</f>
        <v>0</v>
      </c>
      <c r="Y216" s="772">
        <f>+'Phase II Pro Forma'!Y213/1000000</f>
        <v>0</v>
      </c>
      <c r="Z216" s="772">
        <f>+'Phase II Pro Forma'!Z213/1000000</f>
        <v>0</v>
      </c>
    </row>
    <row r="217" spans="2:26" x14ac:dyDescent="0.2">
      <c r="B217" s="32" t="s">
        <v>785</v>
      </c>
      <c r="F217" s="772">
        <f t="shared" ref="F217:N217" si="64">+SUM(F214:F216)</f>
        <v>0</v>
      </c>
      <c r="G217" s="772">
        <f t="shared" si="64"/>
        <v>0</v>
      </c>
      <c r="H217" s="772">
        <f t="shared" si="64"/>
        <v>0</v>
      </c>
      <c r="I217" s="772">
        <f t="shared" ca="1" si="64"/>
        <v>38.593085568527727</v>
      </c>
      <c r="J217" s="772">
        <f t="shared" ca="1" si="64"/>
        <v>38.593085568527727</v>
      </c>
      <c r="K217" s="772">
        <f t="shared" ca="1" si="64"/>
        <v>38.593085568527727</v>
      </c>
      <c r="L217" s="772">
        <f t="shared" ca="1" si="64"/>
        <v>38.593085568527727</v>
      </c>
      <c r="M217" s="772">
        <f t="shared" ca="1" si="64"/>
        <v>38.593085568527727</v>
      </c>
      <c r="N217" s="772">
        <f t="shared" ca="1" si="64"/>
        <v>38.593085568527727</v>
      </c>
      <c r="O217" s="772">
        <f t="shared" ref="O217" ca="1" si="65">+SUM(O214:O216)</f>
        <v>38.593085568527727</v>
      </c>
      <c r="P217" s="772">
        <f t="shared" ref="P217:Z217" ca="1" si="66">+SUM(P214:P216)</f>
        <v>38.593085568527727</v>
      </c>
      <c r="Q217" s="772">
        <f t="shared" ca="1" si="66"/>
        <v>38.593085568527727</v>
      </c>
      <c r="R217" s="772">
        <f t="shared" ca="1" si="66"/>
        <v>38.593085568527727</v>
      </c>
      <c r="S217" s="772">
        <f t="shared" ca="1" si="66"/>
        <v>38.593085568527727</v>
      </c>
      <c r="T217" s="772">
        <f t="shared" ca="1" si="66"/>
        <v>38.593085568527727</v>
      </c>
      <c r="U217" s="772">
        <f t="shared" ca="1" si="66"/>
        <v>38.593085568527727</v>
      </c>
      <c r="V217" s="772">
        <f t="shared" ca="1" si="66"/>
        <v>38.593085568527727</v>
      </c>
      <c r="W217" s="772">
        <f t="shared" ca="1" si="66"/>
        <v>38.593085568527727</v>
      </c>
      <c r="X217" s="772">
        <f t="shared" ca="1" si="66"/>
        <v>38.593085568527727</v>
      </c>
      <c r="Y217" s="772">
        <f t="shared" ca="1" si="66"/>
        <v>38.593085568527727</v>
      </c>
      <c r="Z217" s="772">
        <f t="shared" ca="1" si="66"/>
        <v>38.593085568527727</v>
      </c>
    </row>
    <row r="218" spans="2:26" ht="5" customHeight="1" x14ac:dyDescent="0.2"/>
    <row r="219" spans="2:26" x14ac:dyDescent="0.2">
      <c r="B219" s="40" t="s">
        <v>332</v>
      </c>
      <c r="F219" s="48">
        <f>+'Phase II Pro Forma'!F216/1000000</f>
        <v>0</v>
      </c>
      <c r="G219" s="48">
        <f>+'Phase II Pro Forma'!G216/1000000</f>
        <v>0</v>
      </c>
      <c r="H219" s="48">
        <f>+'Phase II Pro Forma'!H216/1000000</f>
        <v>0</v>
      </c>
      <c r="I219" s="48">
        <f ca="1">+'Phase II Pro Forma'!I216/1000000</f>
        <v>2.315585134111664</v>
      </c>
      <c r="J219" s="48">
        <f ca="1">+'Phase II Pro Forma'!J216/1000000</f>
        <v>2.315585134111664</v>
      </c>
      <c r="K219" s="48">
        <f ca="1">+'Phase II Pro Forma'!K216/1000000</f>
        <v>2.315585134111664</v>
      </c>
      <c r="L219" s="48">
        <f ca="1">+'Phase II Pro Forma'!L216/1000000</f>
        <v>2.315585134111664</v>
      </c>
      <c r="M219" s="48">
        <f ca="1">+'Phase II Pro Forma'!M216/1000000</f>
        <v>2.315585134111664</v>
      </c>
      <c r="N219" s="48">
        <f ca="1">+'Phase II Pro Forma'!N216/1000000</f>
        <v>2.315585134111664</v>
      </c>
      <c r="O219" s="48">
        <f ca="1">+'Phase II Pro Forma'!O216/1000000</f>
        <v>2.315585134111664</v>
      </c>
      <c r="P219" s="48">
        <f ca="1">+'Phase II Pro Forma'!P216/1000000</f>
        <v>2.315585134111664</v>
      </c>
      <c r="Q219" s="48">
        <f ca="1">+'Phase II Pro Forma'!Q216/1000000</f>
        <v>2.315585134111664</v>
      </c>
      <c r="R219" s="48">
        <f ca="1">+'Phase II Pro Forma'!R216/1000000</f>
        <v>2.315585134111664</v>
      </c>
      <c r="S219" s="48">
        <f ca="1">+'Phase II Pro Forma'!S216/1000000</f>
        <v>2.315585134111664</v>
      </c>
      <c r="T219" s="48">
        <f ca="1">+'Phase II Pro Forma'!T216/1000000</f>
        <v>2.315585134111664</v>
      </c>
      <c r="U219" s="48">
        <f ca="1">+'Phase II Pro Forma'!U216/1000000</f>
        <v>2.315585134111664</v>
      </c>
      <c r="V219" s="48">
        <f ca="1">+'Phase II Pro Forma'!V216/1000000</f>
        <v>2.315585134111664</v>
      </c>
      <c r="W219" s="48">
        <f ca="1">+'Phase II Pro Forma'!W216/1000000</f>
        <v>2.315585134111664</v>
      </c>
      <c r="X219" s="48">
        <f ca="1">+'Phase II Pro Forma'!X216/1000000</f>
        <v>2.315585134111664</v>
      </c>
      <c r="Y219" s="48">
        <f ca="1">+'Phase II Pro Forma'!Y216/1000000</f>
        <v>2.315585134111664</v>
      </c>
      <c r="Z219" s="48">
        <f ca="1">+'Phase II Pro Forma'!Z216/1000000</f>
        <v>2.315585134111664</v>
      </c>
    </row>
    <row r="220" spans="2:26" x14ac:dyDescent="0.2">
      <c r="B220" s="136" t="s">
        <v>341</v>
      </c>
      <c r="C220" s="136"/>
      <c r="D220" s="136"/>
      <c r="E220" s="136"/>
      <c r="F220" s="773">
        <f t="shared" ref="F220:K220" si="67">+F219-F216</f>
        <v>0</v>
      </c>
      <c r="G220" s="773">
        <f t="shared" si="67"/>
        <v>0</v>
      </c>
      <c r="H220" s="773">
        <f t="shared" si="67"/>
        <v>0</v>
      </c>
      <c r="I220" s="773">
        <f t="shared" ca="1" si="67"/>
        <v>2.315585134111664</v>
      </c>
      <c r="J220" s="773">
        <f t="shared" ca="1" si="67"/>
        <v>2.315585134111664</v>
      </c>
      <c r="K220" s="773">
        <f t="shared" ca="1" si="67"/>
        <v>2.315585134111664</v>
      </c>
      <c r="L220" s="773">
        <f ca="1">+L219-L216</f>
        <v>2.315585134111664</v>
      </c>
      <c r="M220" s="773">
        <f t="shared" ref="M220:Z220" ca="1" si="68">+M219-M216</f>
        <v>2.315585134111664</v>
      </c>
      <c r="N220" s="773">
        <f t="shared" ca="1" si="68"/>
        <v>2.315585134111664</v>
      </c>
      <c r="O220" s="773">
        <f t="shared" ca="1" si="68"/>
        <v>2.315585134111664</v>
      </c>
      <c r="P220" s="773">
        <f t="shared" ca="1" si="68"/>
        <v>2.315585134111664</v>
      </c>
      <c r="Q220" s="773">
        <f t="shared" ca="1" si="68"/>
        <v>2.315585134111664</v>
      </c>
      <c r="R220" s="773">
        <f t="shared" ca="1" si="68"/>
        <v>2.315585134111664</v>
      </c>
      <c r="S220" s="773">
        <f t="shared" ca="1" si="68"/>
        <v>2.315585134111664</v>
      </c>
      <c r="T220" s="773">
        <f t="shared" ca="1" si="68"/>
        <v>2.315585134111664</v>
      </c>
      <c r="U220" s="773">
        <f t="shared" ca="1" si="68"/>
        <v>2.315585134111664</v>
      </c>
      <c r="V220" s="773">
        <f t="shared" ca="1" si="68"/>
        <v>2.315585134111664</v>
      </c>
      <c r="W220" s="773">
        <f t="shared" ca="1" si="68"/>
        <v>2.315585134111664</v>
      </c>
      <c r="X220" s="773">
        <f t="shared" ca="1" si="68"/>
        <v>2.315585134111664</v>
      </c>
      <c r="Y220" s="773">
        <f t="shared" ca="1" si="68"/>
        <v>2.315585134111664</v>
      </c>
      <c r="Z220" s="773">
        <f t="shared" ca="1" si="68"/>
        <v>2.315585134111664</v>
      </c>
    </row>
    <row r="221" spans="2:26" x14ac:dyDescent="0.2">
      <c r="B221" s="145" t="s">
        <v>181</v>
      </c>
      <c r="F221" s="178" t="str">
        <f t="shared" ref="F221:J221" ca="1" si="69">+IFERROR(F209/F220,"")</f>
        <v/>
      </c>
      <c r="G221" s="178" t="str">
        <f t="shared" ca="1" si="69"/>
        <v/>
      </c>
      <c r="H221" s="178" t="str">
        <f t="shared" ca="1" si="69"/>
        <v/>
      </c>
      <c r="I221" s="178">
        <f t="shared" ca="1" si="69"/>
        <v>0.61378768483998591</v>
      </c>
      <c r="J221" s="178">
        <f t="shared" ca="1" si="69"/>
        <v>1.4181128988822667</v>
      </c>
      <c r="K221" s="178">
        <f ca="1">+IFERROR(K209/K220,"")</f>
        <v>1.5182649332803193</v>
      </c>
      <c r="L221" s="178">
        <f t="shared" ref="L221:Z221" ca="1" si="70">+IFERROR(L209/L220,"")</f>
        <v>1.5596435880733026</v>
      </c>
      <c r="M221" s="178">
        <f t="shared" ca="1" si="70"/>
        <v>1.5908364598347684</v>
      </c>
      <c r="N221" s="178">
        <f t="shared" ca="1" si="70"/>
        <v>1.6338868122813879</v>
      </c>
      <c r="O221" s="178">
        <f t="shared" ca="1" si="70"/>
        <v>1.6777981717769412</v>
      </c>
      <c r="P221" s="178">
        <f t="shared" ca="1" si="70"/>
        <v>1.7113541352124804</v>
      </c>
      <c r="Q221" s="178">
        <f t="shared" ca="1" si="70"/>
        <v>1.7570395136316523</v>
      </c>
      <c r="R221" s="178">
        <f t="shared" ca="1" si="70"/>
        <v>1.8036385996192073</v>
      </c>
      <c r="S221" s="178">
        <f t="shared" ca="1" si="70"/>
        <v>1.839711371611592</v>
      </c>
      <c r="T221" s="178">
        <f t="shared" ca="1" si="70"/>
        <v>1.8881930606730439</v>
      </c>
      <c r="U221" s="178">
        <f t="shared" ca="1" si="70"/>
        <v>1.9376443835157289</v>
      </c>
      <c r="V221" s="178">
        <f t="shared" ca="1" si="70"/>
        <v>1.9763972711860418</v>
      </c>
      <c r="W221" s="178">
        <f t="shared" ca="1" si="70"/>
        <v>2.0278464274715682</v>
      </c>
      <c r="X221" s="178">
        <f t="shared" ca="1" si="70"/>
        <v>2.0803245668828056</v>
      </c>
      <c r="Y221" s="178">
        <f t="shared" ca="1" si="70"/>
        <v>2.1219310582204618</v>
      </c>
      <c r="Z221" s="178">
        <f t="shared" ca="1" si="70"/>
        <v>2.1765293144639131</v>
      </c>
    </row>
    <row r="222" spans="2:26" ht="5" customHeight="1" x14ac:dyDescent="0.2"/>
    <row r="223" spans="2:26" x14ac:dyDescent="0.2">
      <c r="B223" s="40" t="s">
        <v>156</v>
      </c>
      <c r="F223" s="48">
        <f>+'Phase II Pro Forma'!F220/1000000</f>
        <v>0</v>
      </c>
      <c r="G223" s="48">
        <f>+'Phase II Pro Forma'!G220/1000000</f>
        <v>0</v>
      </c>
      <c r="H223" s="48">
        <f>+'Phase II Pro Forma'!H220/1000000</f>
        <v>0</v>
      </c>
      <c r="I223" s="48">
        <f ca="1">+'Phase II Pro Forma'!I220/1000000</f>
        <v>0.3859308556852773</v>
      </c>
      <c r="J223" s="48">
        <f>+'Phase II Pro Forma'!J220/1000000</f>
        <v>0</v>
      </c>
      <c r="K223" s="48">
        <f>+'Phase II Pro Forma'!K220/1000000</f>
        <v>0</v>
      </c>
      <c r="L223" s="48">
        <f>+'Phase II Pro Forma'!L220/1000000</f>
        <v>0</v>
      </c>
      <c r="M223" s="48">
        <f>+'Phase II Pro Forma'!M220/1000000</f>
        <v>0</v>
      </c>
      <c r="N223" s="48">
        <f>+'Phase II Pro Forma'!N220/1000000</f>
        <v>0</v>
      </c>
      <c r="O223" s="48">
        <f>+'Phase II Pro Forma'!O220/1000000</f>
        <v>0</v>
      </c>
      <c r="P223" s="48">
        <f>+'Phase II Pro Forma'!P220/1000000</f>
        <v>0</v>
      </c>
      <c r="Q223" s="48">
        <f>+'Phase II Pro Forma'!Q220/1000000</f>
        <v>0</v>
      </c>
      <c r="R223" s="48">
        <f>+'Phase II Pro Forma'!R220/1000000</f>
        <v>0</v>
      </c>
      <c r="S223" s="48">
        <f>+'Phase II Pro Forma'!S220/1000000</f>
        <v>0</v>
      </c>
      <c r="T223" s="48">
        <f>+'Phase II Pro Forma'!T220/1000000</f>
        <v>0</v>
      </c>
      <c r="U223" s="48">
        <f>+'Phase II Pro Forma'!U220/1000000</f>
        <v>0</v>
      </c>
      <c r="V223" s="48">
        <f>+'Phase II Pro Forma'!V220/1000000</f>
        <v>0</v>
      </c>
      <c r="W223" s="48">
        <f>+'Phase II Pro Forma'!W220/1000000</f>
        <v>0</v>
      </c>
      <c r="X223" s="48">
        <f>+'Phase II Pro Forma'!X220/1000000</f>
        <v>0</v>
      </c>
      <c r="Y223" s="48">
        <f>+'Phase II Pro Forma'!Y220/1000000</f>
        <v>0</v>
      </c>
      <c r="Z223" s="48">
        <f>+'Phase II Pro Forma'!Z220/1000000</f>
        <v>0</v>
      </c>
    </row>
    <row r="224" spans="2:26" ht="5" customHeight="1" x14ac:dyDescent="0.2"/>
    <row r="225" spans="2:26" x14ac:dyDescent="0.2">
      <c r="B225" s="136" t="s">
        <v>334</v>
      </c>
      <c r="C225" s="136"/>
      <c r="D225" s="136"/>
      <c r="E225" s="136"/>
      <c r="F225" s="773">
        <f ca="1">+F209-F220-F223</f>
        <v>0</v>
      </c>
      <c r="G225" s="773">
        <f t="shared" ref="G225:Z225" ca="1" si="71">+G209-G220-G223</f>
        <v>0</v>
      </c>
      <c r="H225" s="773">
        <f t="shared" ca="1" si="71"/>
        <v>0</v>
      </c>
      <c r="I225" s="773">
        <f t="shared" ca="1" si="71"/>
        <v>-1.2802383512806546</v>
      </c>
      <c r="J225" s="773">
        <f t="shared" ca="1" si="71"/>
        <v>0.96817601303211021</v>
      </c>
      <c r="K225" s="773">
        <f t="shared" ca="1" si="71"/>
        <v>1.2000865750352809</v>
      </c>
      <c r="L225" s="773">
        <f t="shared" ca="1" si="71"/>
        <v>1.2959023729434511</v>
      </c>
      <c r="M225" s="773">
        <f t="shared" ca="1" si="71"/>
        <v>1.3681321230845529</v>
      </c>
      <c r="N225" s="773">
        <f t="shared" ca="1" si="71"/>
        <v>1.4678188792282127</v>
      </c>
      <c r="O225" s="773">
        <f t="shared" ca="1" si="71"/>
        <v>1.5694993704947491</v>
      </c>
      <c r="P225" s="773">
        <f t="shared" ca="1" si="71"/>
        <v>1.6472010605868781</v>
      </c>
      <c r="Q225" s="773">
        <f t="shared" ca="1" si="71"/>
        <v>1.7529894437005784</v>
      </c>
      <c r="R225" s="773">
        <f t="shared" ca="1" si="71"/>
        <v>1.8608935944765519</v>
      </c>
      <c r="S225" s="773">
        <f t="shared" ca="1" si="71"/>
        <v>1.9444231690483176</v>
      </c>
      <c r="T225" s="773">
        <f t="shared" ca="1" si="71"/>
        <v>2.0566866475156398</v>
      </c>
      <c r="U225" s="773">
        <f t="shared" ca="1" si="71"/>
        <v>2.1711953955523176</v>
      </c>
      <c r="V225" s="773">
        <f t="shared" ca="1" si="71"/>
        <v>2.2609310061455932</v>
      </c>
      <c r="W225" s="773">
        <f t="shared" ca="1" si="71"/>
        <v>2.3800659076029462</v>
      </c>
      <c r="X225" s="773">
        <f t="shared" ca="1" si="71"/>
        <v>2.5015835070894465</v>
      </c>
      <c r="Y225" s="773">
        <f t="shared" ca="1" si="71"/>
        <v>2.5979268799134689</v>
      </c>
      <c r="Z225" s="773">
        <f t="shared" ca="1" si="71"/>
        <v>2.7243537904192245</v>
      </c>
    </row>
    <row r="226" spans="2:26" ht="5" customHeight="1" x14ac:dyDescent="0.2"/>
    <row r="227" spans="2:26" x14ac:dyDescent="0.2">
      <c r="B227" s="147" t="s">
        <v>335</v>
      </c>
    </row>
    <row r="228" spans="2:26" x14ac:dyDescent="0.2">
      <c r="B228" s="32" t="s">
        <v>336</v>
      </c>
      <c r="F228" s="48">
        <f>+'Phase II Pro Forma'!F225/1000000</f>
        <v>0</v>
      </c>
      <c r="G228" s="48">
        <f>+'Phase II Pro Forma'!G225/1000000</f>
        <v>0</v>
      </c>
      <c r="H228" s="48">
        <f>+'Phase II Pro Forma'!H225/1000000</f>
        <v>0</v>
      </c>
      <c r="I228" s="48">
        <f>+'Phase II Pro Forma'!I225/1000000</f>
        <v>0</v>
      </c>
      <c r="J228" s="48">
        <f>+'Phase II Pro Forma'!J225/1000000</f>
        <v>0</v>
      </c>
      <c r="K228" s="48">
        <f>+'Phase II Pro Forma'!K225/1000000</f>
        <v>0</v>
      </c>
      <c r="L228" s="48">
        <f>+'Phase II Pro Forma'!L225/1000000</f>
        <v>0</v>
      </c>
      <c r="M228" s="48">
        <f>+'Phase II Pro Forma'!M225/1000000</f>
        <v>0</v>
      </c>
      <c r="N228" s="48">
        <f ca="1">+'Phase II Pro Forma'!N225/1000000</f>
        <v>51.850927315251084</v>
      </c>
      <c r="O228" s="48">
        <f>+'Phase II Pro Forma'!O225/1000000</f>
        <v>0</v>
      </c>
      <c r="P228" s="48">
        <f>+'Phase II Pro Forma'!P225/1000000</f>
        <v>0</v>
      </c>
      <c r="Q228" s="48">
        <f>+'Phase II Pro Forma'!Q225/1000000</f>
        <v>0</v>
      </c>
      <c r="R228" s="48">
        <f>+'Phase II Pro Forma'!R225/1000000</f>
        <v>0</v>
      </c>
      <c r="S228" s="48">
        <f>+'Phase II Pro Forma'!S225/1000000</f>
        <v>0</v>
      </c>
      <c r="T228" s="48">
        <f>+'Phase II Pro Forma'!T225/1000000</f>
        <v>0</v>
      </c>
      <c r="U228" s="48">
        <f>+'Phase II Pro Forma'!U225/1000000</f>
        <v>0</v>
      </c>
      <c r="V228" s="48">
        <f>+'Phase II Pro Forma'!V225/1000000</f>
        <v>0</v>
      </c>
      <c r="W228" s="48">
        <f>+'Phase II Pro Forma'!W225/1000000</f>
        <v>0</v>
      </c>
      <c r="X228" s="48">
        <f>+'Phase II Pro Forma'!X225/1000000</f>
        <v>0</v>
      </c>
      <c r="Y228" s="48">
        <f>+'Phase II Pro Forma'!Y225/1000000</f>
        <v>0</v>
      </c>
      <c r="Z228" s="48">
        <f>+'Phase II Pro Forma'!Z225/1000000</f>
        <v>0</v>
      </c>
    </row>
    <row r="229" spans="2:26" x14ac:dyDescent="0.2">
      <c r="B229" s="32" t="s">
        <v>337</v>
      </c>
      <c r="F229" s="772">
        <f>+'Phase II Pro Forma'!F226/1000000</f>
        <v>0</v>
      </c>
      <c r="G229" s="772">
        <f>+'Phase II Pro Forma'!G226/1000000</f>
        <v>0</v>
      </c>
      <c r="H229" s="772">
        <f>+'Phase II Pro Forma'!H226/1000000</f>
        <v>0</v>
      </c>
      <c r="I229" s="772">
        <f>+'Phase II Pro Forma'!I226/1000000</f>
        <v>0</v>
      </c>
      <c r="J229" s="772">
        <f>+'Phase II Pro Forma'!J226/1000000</f>
        <v>0</v>
      </c>
      <c r="K229" s="772">
        <f>+'Phase II Pro Forma'!K226/1000000</f>
        <v>0</v>
      </c>
      <c r="L229" s="772">
        <f>+'Phase II Pro Forma'!L226/1000000</f>
        <v>0</v>
      </c>
      <c r="M229" s="772">
        <f>+'Phase II Pro Forma'!M226/1000000</f>
        <v>0</v>
      </c>
      <c r="N229" s="772">
        <f ca="1">+'Phase II Pro Forma'!N226/1000000</f>
        <v>-1.0370185463050217</v>
      </c>
      <c r="O229" s="772">
        <f>+'Phase II Pro Forma'!O226/1000000</f>
        <v>0</v>
      </c>
      <c r="P229" s="772">
        <f>+'Phase II Pro Forma'!P226/1000000</f>
        <v>0</v>
      </c>
      <c r="Q229" s="772">
        <f>+'Phase II Pro Forma'!Q226/1000000</f>
        <v>0</v>
      </c>
      <c r="R229" s="772">
        <f>+'Phase II Pro Forma'!R226/1000000</f>
        <v>0</v>
      </c>
      <c r="S229" s="772">
        <f>+'Phase II Pro Forma'!S226/1000000</f>
        <v>0</v>
      </c>
      <c r="T229" s="772">
        <f>+'Phase II Pro Forma'!T226/1000000</f>
        <v>0</v>
      </c>
      <c r="U229" s="772">
        <f>+'Phase II Pro Forma'!U226/1000000</f>
        <v>0</v>
      </c>
      <c r="V229" s="772">
        <f>+'Phase II Pro Forma'!V226/1000000</f>
        <v>0</v>
      </c>
      <c r="W229" s="772">
        <f>+'Phase II Pro Forma'!W226/1000000</f>
        <v>0</v>
      </c>
      <c r="X229" s="772">
        <f>+'Phase II Pro Forma'!X226/1000000</f>
        <v>0</v>
      </c>
      <c r="Y229" s="772">
        <f>+'Phase II Pro Forma'!Y226/1000000</f>
        <v>0</v>
      </c>
      <c r="Z229" s="772">
        <f>+'Phase II Pro Forma'!Z226/1000000</f>
        <v>0</v>
      </c>
    </row>
    <row r="230" spans="2:26" x14ac:dyDescent="0.2">
      <c r="B230" s="32" t="s">
        <v>338</v>
      </c>
      <c r="F230" s="772">
        <f>+'Phase II Pro Forma'!F227/1000000</f>
        <v>0</v>
      </c>
      <c r="G230" s="772">
        <f>+'Phase II Pro Forma'!G227/1000000</f>
        <v>0</v>
      </c>
      <c r="H230" s="772">
        <f>+'Phase II Pro Forma'!H227/1000000</f>
        <v>0</v>
      </c>
      <c r="I230" s="772">
        <f>+'Phase II Pro Forma'!I227/1000000</f>
        <v>0</v>
      </c>
      <c r="J230" s="772">
        <f>+'Phase II Pro Forma'!J227/1000000</f>
        <v>0</v>
      </c>
      <c r="K230" s="772">
        <f>+'Phase II Pro Forma'!K227/1000000</f>
        <v>0</v>
      </c>
      <c r="L230" s="772">
        <f>+'Phase II Pro Forma'!L227/1000000</f>
        <v>0</v>
      </c>
      <c r="M230" s="772">
        <f>+'Phase II Pro Forma'!M227/1000000</f>
        <v>0</v>
      </c>
      <c r="N230" s="772">
        <f ca="1">+'Phase II Pro Forma'!N227/1000000</f>
        <v>-38.593085568527727</v>
      </c>
      <c r="O230" s="772">
        <f>+'Phase II Pro Forma'!O227/1000000</f>
        <v>0</v>
      </c>
      <c r="P230" s="772">
        <f>+'Phase II Pro Forma'!P227/1000000</f>
        <v>0</v>
      </c>
      <c r="Q230" s="772">
        <f>+'Phase II Pro Forma'!Q227/1000000</f>
        <v>0</v>
      </c>
      <c r="R230" s="772">
        <f>+'Phase II Pro Forma'!R227/1000000</f>
        <v>0</v>
      </c>
      <c r="S230" s="772">
        <f>+'Phase II Pro Forma'!S227/1000000</f>
        <v>0</v>
      </c>
      <c r="T230" s="772">
        <f>+'Phase II Pro Forma'!T227/1000000</f>
        <v>0</v>
      </c>
      <c r="U230" s="772">
        <f>+'Phase II Pro Forma'!U227/1000000</f>
        <v>0</v>
      </c>
      <c r="V230" s="772">
        <f>+'Phase II Pro Forma'!V227/1000000</f>
        <v>0</v>
      </c>
      <c r="W230" s="772">
        <f>+'Phase II Pro Forma'!W227/1000000</f>
        <v>0</v>
      </c>
      <c r="X230" s="772">
        <f>+'Phase II Pro Forma'!X227/1000000</f>
        <v>0</v>
      </c>
      <c r="Y230" s="772">
        <f>+'Phase II Pro Forma'!Y227/1000000</f>
        <v>0</v>
      </c>
      <c r="Z230" s="772">
        <f>+'Phase II Pro Forma'!Z227/1000000</f>
        <v>0</v>
      </c>
    </row>
    <row r="231" spans="2:26" x14ac:dyDescent="0.2">
      <c r="B231" s="136" t="s">
        <v>339</v>
      </c>
      <c r="C231" s="136"/>
      <c r="D231" s="136"/>
      <c r="E231" s="136"/>
      <c r="F231" s="773">
        <f t="shared" ref="F231:Z231" si="72">+SUM(F228:F230)</f>
        <v>0</v>
      </c>
      <c r="G231" s="773">
        <f t="shared" si="72"/>
        <v>0</v>
      </c>
      <c r="H231" s="773">
        <f t="shared" si="72"/>
        <v>0</v>
      </c>
      <c r="I231" s="773">
        <f t="shared" si="72"/>
        <v>0</v>
      </c>
      <c r="J231" s="773">
        <f t="shared" si="72"/>
        <v>0</v>
      </c>
      <c r="K231" s="773">
        <f t="shared" si="72"/>
        <v>0</v>
      </c>
      <c r="L231" s="773">
        <f t="shared" si="72"/>
        <v>0</v>
      </c>
      <c r="M231" s="773">
        <f t="shared" si="72"/>
        <v>0</v>
      </c>
      <c r="N231" s="773">
        <f t="shared" ca="1" si="72"/>
        <v>12.220823200418337</v>
      </c>
      <c r="O231" s="773">
        <f t="shared" si="72"/>
        <v>0</v>
      </c>
      <c r="P231" s="773">
        <f t="shared" si="72"/>
        <v>0</v>
      </c>
      <c r="Q231" s="773">
        <f t="shared" si="72"/>
        <v>0</v>
      </c>
      <c r="R231" s="773">
        <f t="shared" si="72"/>
        <v>0</v>
      </c>
      <c r="S231" s="773">
        <f t="shared" si="72"/>
        <v>0</v>
      </c>
      <c r="T231" s="773">
        <f t="shared" si="72"/>
        <v>0</v>
      </c>
      <c r="U231" s="773">
        <f t="shared" si="72"/>
        <v>0</v>
      </c>
      <c r="V231" s="773">
        <f t="shared" si="72"/>
        <v>0</v>
      </c>
      <c r="W231" s="773">
        <f t="shared" si="72"/>
        <v>0</v>
      </c>
      <c r="X231" s="773">
        <f t="shared" si="72"/>
        <v>0</v>
      </c>
      <c r="Y231" s="773">
        <f t="shared" si="72"/>
        <v>0</v>
      </c>
      <c r="Z231" s="773">
        <f t="shared" si="72"/>
        <v>0</v>
      </c>
    </row>
    <row r="233" spans="2:26" x14ac:dyDescent="0.2">
      <c r="B233" s="137" t="s">
        <v>791</v>
      </c>
      <c r="C233" s="137"/>
      <c r="D233" s="137"/>
      <c r="E233" s="137"/>
      <c r="F233" s="774">
        <f ca="1">+'Phase II Pro Forma'!F230/1000000</f>
        <v>0</v>
      </c>
      <c r="G233" s="774">
        <f ca="1">+'Phase II Pro Forma'!G230/1000000</f>
        <v>0</v>
      </c>
      <c r="H233" s="774">
        <f ca="1">+'Phase II Pro Forma'!H230/1000000</f>
        <v>0</v>
      </c>
      <c r="I233" s="774">
        <f ca="1">+'Phase II Pro Forma'!I230/1000000</f>
        <v>-1.2802383512806554</v>
      </c>
      <c r="J233" s="774">
        <f ca="1">+'Phase II Pro Forma'!J230/1000000</f>
        <v>0.9681760130321132</v>
      </c>
      <c r="K233" s="774">
        <f ca="1">+'Phase II Pro Forma'!K230/1000000</f>
        <v>1.20008657503528</v>
      </c>
      <c r="L233" s="774">
        <f ca="1">+'Phase II Pro Forma'!L230/1000000</f>
        <v>1.2959023729434507</v>
      </c>
      <c r="M233" s="774">
        <f ca="1">+'Phase II Pro Forma'!M230/1000000</f>
        <v>1.3681321230845545</v>
      </c>
      <c r="N233" s="774">
        <f ca="1">+'Phase II Pro Forma'!N230/1000000</f>
        <v>13.688642079646547</v>
      </c>
      <c r="O233" s="774">
        <f>+'Phase II Pro Forma'!O230/1000000</f>
        <v>0</v>
      </c>
      <c r="P233" s="774">
        <f>+'Phase II Pro Forma'!P230/1000000</f>
        <v>0</v>
      </c>
      <c r="Q233" s="774">
        <f>+'Phase II Pro Forma'!Q230/1000000</f>
        <v>0</v>
      </c>
      <c r="R233" s="774">
        <f>+'Phase II Pro Forma'!R230/1000000</f>
        <v>0</v>
      </c>
      <c r="S233" s="774">
        <f>+'Phase II Pro Forma'!S230/1000000</f>
        <v>0</v>
      </c>
      <c r="T233" s="774">
        <f>+'Phase II Pro Forma'!T230/1000000</f>
        <v>0</v>
      </c>
      <c r="U233" s="774">
        <f>+'Phase II Pro Forma'!U230/1000000</f>
        <v>0</v>
      </c>
      <c r="V233" s="774">
        <f>+'Phase II Pro Forma'!V230/1000000</f>
        <v>0</v>
      </c>
      <c r="W233" s="774">
        <f>+'Phase II Pro Forma'!W230/1000000</f>
        <v>0</v>
      </c>
      <c r="X233" s="774">
        <f>+'Phase II Pro Forma'!X230/1000000</f>
        <v>0</v>
      </c>
      <c r="Y233" s="774">
        <f>+'Phase II Pro Forma'!Y230/1000000</f>
        <v>0</v>
      </c>
      <c r="Z233" s="774">
        <f>+'Phase II Pro Forma'!Z230/1000000</f>
        <v>0</v>
      </c>
    </row>
    <row r="234" spans="2:26" outlineLevel="1" x14ac:dyDescent="0.2"/>
    <row r="235" spans="2:26" outlineLevel="1" x14ac:dyDescent="0.2">
      <c r="B235" s="36" t="s">
        <v>769</v>
      </c>
      <c r="C235" s="37"/>
      <c r="D235" s="37"/>
      <c r="E235" s="37"/>
      <c r="F235" s="135">
        <f>+F165</f>
        <v>44926</v>
      </c>
      <c r="G235" s="135">
        <f t="shared" ref="G235:Z235" si="73">+G165</f>
        <v>45291</v>
      </c>
      <c r="H235" s="135">
        <f t="shared" si="73"/>
        <v>45657</v>
      </c>
      <c r="I235" s="135">
        <f t="shared" si="73"/>
        <v>46022</v>
      </c>
      <c r="J235" s="135">
        <f t="shared" si="73"/>
        <v>46387</v>
      </c>
      <c r="K235" s="135">
        <f t="shared" si="73"/>
        <v>46752</v>
      </c>
      <c r="L235" s="135">
        <f t="shared" si="73"/>
        <v>47118</v>
      </c>
      <c r="M235" s="135">
        <f t="shared" si="73"/>
        <v>47483</v>
      </c>
      <c r="N235" s="135">
        <f t="shared" si="73"/>
        <v>47848</v>
      </c>
      <c r="O235" s="135">
        <f t="shared" si="73"/>
        <v>48213</v>
      </c>
      <c r="P235" s="135">
        <f t="shared" si="73"/>
        <v>48579</v>
      </c>
      <c r="Q235" s="135">
        <f t="shared" si="73"/>
        <v>48944</v>
      </c>
      <c r="R235" s="135">
        <f t="shared" si="73"/>
        <v>49309</v>
      </c>
      <c r="S235" s="135">
        <f t="shared" si="73"/>
        <v>49674</v>
      </c>
      <c r="T235" s="135">
        <f t="shared" si="73"/>
        <v>50040</v>
      </c>
      <c r="U235" s="135">
        <f t="shared" si="73"/>
        <v>50405</v>
      </c>
      <c r="V235" s="135">
        <f t="shared" si="73"/>
        <v>50770</v>
      </c>
      <c r="W235" s="135">
        <f t="shared" si="73"/>
        <v>51135</v>
      </c>
      <c r="X235" s="135">
        <f t="shared" si="73"/>
        <v>51501</v>
      </c>
      <c r="Y235" s="135">
        <f t="shared" si="73"/>
        <v>51866</v>
      </c>
      <c r="Z235" s="135">
        <f t="shared" si="73"/>
        <v>52231</v>
      </c>
    </row>
    <row r="236" spans="2:26" hidden="1" outlineLevel="1" x14ac:dyDescent="0.2">
      <c r="B236" s="793"/>
      <c r="C236" s="793"/>
      <c r="D236" s="793"/>
      <c r="E236" s="793"/>
      <c r="F236" s="793"/>
      <c r="G236" s="793"/>
      <c r="H236" s="793"/>
      <c r="I236" s="793"/>
      <c r="J236" s="793"/>
      <c r="K236" s="793"/>
      <c r="L236" s="793"/>
      <c r="M236" s="793"/>
      <c r="N236" s="793"/>
      <c r="O236" s="793"/>
      <c r="P236" s="793"/>
      <c r="Q236" s="793"/>
      <c r="R236" s="793"/>
      <c r="S236" s="793"/>
      <c r="T236" s="793"/>
      <c r="U236" s="793"/>
      <c r="V236" s="793"/>
      <c r="W236" s="793"/>
      <c r="X236" s="793"/>
      <c r="Y236" s="793"/>
      <c r="Z236" s="793"/>
    </row>
    <row r="237" spans="2:26" outlineLevel="1" x14ac:dyDescent="0.2">
      <c r="B237" s="147" t="s">
        <v>235</v>
      </c>
      <c r="C237" s="148"/>
      <c r="D237" s="148"/>
      <c r="E237" s="148"/>
      <c r="F237" s="776">
        <f>+F235</f>
        <v>44926</v>
      </c>
      <c r="G237" s="776">
        <f t="shared" ref="G237:Z237" si="74">+G235</f>
        <v>45291</v>
      </c>
      <c r="H237" s="776">
        <f t="shared" si="74"/>
        <v>45657</v>
      </c>
      <c r="I237" s="776">
        <f t="shared" si="74"/>
        <v>46022</v>
      </c>
      <c r="J237" s="776">
        <f t="shared" si="74"/>
        <v>46387</v>
      </c>
      <c r="K237" s="776">
        <f t="shared" si="74"/>
        <v>46752</v>
      </c>
      <c r="L237" s="776">
        <f t="shared" si="74"/>
        <v>47118</v>
      </c>
      <c r="M237" s="776">
        <f t="shared" si="74"/>
        <v>47483</v>
      </c>
      <c r="N237" s="776">
        <f t="shared" si="74"/>
        <v>47848</v>
      </c>
      <c r="O237" s="776">
        <f t="shared" si="74"/>
        <v>48213</v>
      </c>
      <c r="P237" s="776">
        <f t="shared" si="74"/>
        <v>48579</v>
      </c>
      <c r="Q237" s="776">
        <f t="shared" si="74"/>
        <v>48944</v>
      </c>
      <c r="R237" s="776">
        <f t="shared" si="74"/>
        <v>49309</v>
      </c>
      <c r="S237" s="776">
        <f t="shared" si="74"/>
        <v>49674</v>
      </c>
      <c r="T237" s="776">
        <f t="shared" si="74"/>
        <v>50040</v>
      </c>
      <c r="U237" s="776">
        <f t="shared" si="74"/>
        <v>50405</v>
      </c>
      <c r="V237" s="776">
        <f t="shared" si="74"/>
        <v>50770</v>
      </c>
      <c r="W237" s="776">
        <f t="shared" si="74"/>
        <v>51135</v>
      </c>
      <c r="X237" s="776">
        <f t="shared" si="74"/>
        <v>51501</v>
      </c>
      <c r="Y237" s="776">
        <f t="shared" si="74"/>
        <v>51866</v>
      </c>
      <c r="Z237" s="776">
        <f t="shared" si="74"/>
        <v>52231</v>
      </c>
    </row>
    <row r="238" spans="2:26" hidden="1" outlineLevel="1" x14ac:dyDescent="0.2">
      <c r="B238" s="788" t="s">
        <v>756</v>
      </c>
      <c r="C238" s="788"/>
      <c r="D238" s="791"/>
      <c r="E238" s="791"/>
      <c r="F238" s="789">
        <f>+'Phase II Pro Forma'!F235</f>
        <v>0</v>
      </c>
      <c r="G238" s="789">
        <f>+'Phase II Pro Forma'!G235</f>
        <v>0</v>
      </c>
      <c r="H238" s="789">
        <f>+'Phase II Pro Forma'!H235</f>
        <v>0</v>
      </c>
      <c r="I238" s="789">
        <f>+'Phase II Pro Forma'!I235</f>
        <v>4.9999999999999998E-7</v>
      </c>
      <c r="J238" s="789">
        <f>+'Phase II Pro Forma'!J235</f>
        <v>4.9999999999999998E-7</v>
      </c>
      <c r="K238" s="789">
        <f>+'Phase II Pro Forma'!K235</f>
        <v>0</v>
      </c>
      <c r="L238" s="789">
        <f>+'Phase II Pro Forma'!L235</f>
        <v>0</v>
      </c>
      <c r="M238" s="789">
        <f>+'Phase II Pro Forma'!M235</f>
        <v>0</v>
      </c>
      <c r="N238" s="789">
        <f>+'Phase II Pro Forma'!N235</f>
        <v>0</v>
      </c>
      <c r="O238" s="789">
        <f>+'Phase II Pro Forma'!O235</f>
        <v>0</v>
      </c>
      <c r="P238" s="789">
        <f>+'Phase II Pro Forma'!P235</f>
        <v>0</v>
      </c>
      <c r="Q238" s="789">
        <f>+'Phase II Pro Forma'!Q235</f>
        <v>0</v>
      </c>
      <c r="R238" s="789">
        <f>+'Phase II Pro Forma'!R235</f>
        <v>0</v>
      </c>
      <c r="S238" s="789">
        <f>+'Phase II Pro Forma'!S235</f>
        <v>0</v>
      </c>
      <c r="T238" s="789">
        <f>+'Phase II Pro Forma'!T235</f>
        <v>0</v>
      </c>
      <c r="U238" s="789">
        <f>+'Phase II Pro Forma'!U235</f>
        <v>0</v>
      </c>
      <c r="V238" s="789">
        <f>+'Phase II Pro Forma'!V235</f>
        <v>0</v>
      </c>
      <c r="W238" s="789">
        <f>+'Phase II Pro Forma'!W235</f>
        <v>0</v>
      </c>
      <c r="X238" s="789">
        <f>+'Phase II Pro Forma'!X235</f>
        <v>0</v>
      </c>
      <c r="Y238" s="789">
        <f>+'Phase II Pro Forma'!Y235</f>
        <v>0</v>
      </c>
      <c r="Z238" s="789">
        <f>+'Phase II Pro Forma'!Z235</f>
        <v>0</v>
      </c>
    </row>
    <row r="239" spans="2:26" outlineLevel="1" x14ac:dyDescent="0.2">
      <c r="B239" s="32" t="s">
        <v>784</v>
      </c>
      <c r="C239" s="32"/>
      <c r="D239" s="41">
        <v>0</v>
      </c>
      <c r="E239" s="41"/>
      <c r="F239" s="41">
        <f>+D239+F238</f>
        <v>0</v>
      </c>
      <c r="G239" s="41">
        <f t="shared" ref="G239:Z239" si="75">+F239+G238</f>
        <v>0</v>
      </c>
      <c r="H239" s="41">
        <f t="shared" si="75"/>
        <v>0</v>
      </c>
      <c r="I239" s="41">
        <f t="shared" si="75"/>
        <v>4.9999999999999998E-7</v>
      </c>
      <c r="J239" s="41">
        <f t="shared" si="75"/>
        <v>9.9999999999999995E-7</v>
      </c>
      <c r="K239" s="41">
        <f t="shared" si="75"/>
        <v>9.9999999999999995E-7</v>
      </c>
      <c r="L239" s="41">
        <f t="shared" si="75"/>
        <v>9.9999999999999995E-7</v>
      </c>
      <c r="M239" s="41">
        <f t="shared" si="75"/>
        <v>9.9999999999999995E-7</v>
      </c>
      <c r="N239" s="41">
        <f t="shared" si="75"/>
        <v>9.9999999999999995E-7</v>
      </c>
      <c r="O239" s="41">
        <f t="shared" si="75"/>
        <v>9.9999999999999995E-7</v>
      </c>
      <c r="P239" s="41">
        <f t="shared" si="75"/>
        <v>9.9999999999999995E-7</v>
      </c>
      <c r="Q239" s="41">
        <f t="shared" si="75"/>
        <v>9.9999999999999995E-7</v>
      </c>
      <c r="R239" s="41">
        <f t="shared" si="75"/>
        <v>9.9999999999999995E-7</v>
      </c>
      <c r="S239" s="41">
        <f t="shared" si="75"/>
        <v>9.9999999999999995E-7</v>
      </c>
      <c r="T239" s="41">
        <f t="shared" si="75"/>
        <v>9.9999999999999995E-7</v>
      </c>
      <c r="U239" s="41">
        <f t="shared" si="75"/>
        <v>9.9999999999999995E-7</v>
      </c>
      <c r="V239" s="41">
        <f t="shared" si="75"/>
        <v>9.9999999999999995E-7</v>
      </c>
      <c r="W239" s="41">
        <f t="shared" si="75"/>
        <v>9.9999999999999995E-7</v>
      </c>
      <c r="X239" s="41">
        <f t="shared" si="75"/>
        <v>9.9999999999999995E-7</v>
      </c>
      <c r="Y239" s="41">
        <f t="shared" si="75"/>
        <v>9.9999999999999995E-7</v>
      </c>
      <c r="Z239" s="41">
        <f t="shared" si="75"/>
        <v>9.9999999999999995E-7</v>
      </c>
    </row>
    <row r="240" spans="2:26" hidden="1" outlineLevel="1" x14ac:dyDescent="0.2">
      <c r="B240" s="788" t="s">
        <v>301</v>
      </c>
      <c r="C240" s="788"/>
      <c r="D240" s="789"/>
      <c r="E240" s="789"/>
      <c r="F240" s="790">
        <f t="shared" ref="F240:Z240" si="76">+F239/SUM($F238:$Z238)</f>
        <v>0</v>
      </c>
      <c r="G240" s="790">
        <f t="shared" si="76"/>
        <v>0</v>
      </c>
      <c r="H240" s="790">
        <f t="shared" si="76"/>
        <v>0</v>
      </c>
      <c r="I240" s="790">
        <f t="shared" si="76"/>
        <v>0.5</v>
      </c>
      <c r="J240" s="790">
        <f t="shared" si="76"/>
        <v>1</v>
      </c>
      <c r="K240" s="790">
        <f t="shared" si="76"/>
        <v>1</v>
      </c>
      <c r="L240" s="790">
        <f t="shared" si="76"/>
        <v>1</v>
      </c>
      <c r="M240" s="790">
        <f t="shared" si="76"/>
        <v>1</v>
      </c>
      <c r="N240" s="790">
        <f t="shared" si="76"/>
        <v>1</v>
      </c>
      <c r="O240" s="790">
        <f t="shared" si="76"/>
        <v>1</v>
      </c>
      <c r="P240" s="790">
        <f t="shared" si="76"/>
        <v>1</v>
      </c>
      <c r="Q240" s="790">
        <f t="shared" si="76"/>
        <v>1</v>
      </c>
      <c r="R240" s="790">
        <f t="shared" si="76"/>
        <v>1</v>
      </c>
      <c r="S240" s="790">
        <f t="shared" si="76"/>
        <v>1</v>
      </c>
      <c r="T240" s="790">
        <f t="shared" si="76"/>
        <v>1</v>
      </c>
      <c r="U240" s="790">
        <f t="shared" si="76"/>
        <v>1</v>
      </c>
      <c r="V240" s="790">
        <f t="shared" si="76"/>
        <v>1</v>
      </c>
      <c r="W240" s="790">
        <f t="shared" si="76"/>
        <v>1</v>
      </c>
      <c r="X240" s="790">
        <f t="shared" si="76"/>
        <v>1</v>
      </c>
      <c r="Y240" s="790">
        <f t="shared" si="76"/>
        <v>1</v>
      </c>
      <c r="Z240" s="790">
        <f t="shared" si="76"/>
        <v>1</v>
      </c>
    </row>
    <row r="241" spans="2:26" hidden="1" outlineLevel="1" x14ac:dyDescent="0.2">
      <c r="B241" s="788"/>
      <c r="C241" s="788"/>
      <c r="D241" s="791"/>
      <c r="E241" s="791"/>
      <c r="F241" s="792"/>
      <c r="G241" s="792"/>
      <c r="H241" s="792"/>
      <c r="I241" s="792"/>
      <c r="J241" s="792"/>
      <c r="K241" s="792"/>
      <c r="L241" s="792"/>
      <c r="M241" s="792"/>
      <c r="N241" s="792"/>
      <c r="O241" s="792"/>
      <c r="P241" s="792"/>
      <c r="Q241" s="792"/>
      <c r="R241" s="792"/>
      <c r="S241" s="792"/>
      <c r="T241" s="792"/>
      <c r="U241" s="792"/>
      <c r="V241" s="792"/>
      <c r="W241" s="792"/>
      <c r="X241" s="792"/>
      <c r="Y241" s="792"/>
      <c r="Z241" s="792"/>
    </row>
    <row r="242" spans="2:26" hidden="1" outlineLevel="1" x14ac:dyDescent="0.2">
      <c r="B242" s="788" t="s">
        <v>251</v>
      </c>
      <c r="C242" s="788"/>
      <c r="D242" s="789"/>
      <c r="E242" s="789"/>
      <c r="F242" s="790">
        <f>+'Phase II Pro Forma'!F239</f>
        <v>1</v>
      </c>
      <c r="G242" s="790">
        <f>+'Phase II Pro Forma'!G239</f>
        <v>1</v>
      </c>
      <c r="H242" s="790">
        <f>+'Phase II Pro Forma'!H239</f>
        <v>1</v>
      </c>
      <c r="I242" s="790">
        <f>+'Phase II Pro Forma'!I239</f>
        <v>1</v>
      </c>
      <c r="J242" s="790">
        <f>+'Phase II Pro Forma'!J239</f>
        <v>1</v>
      </c>
      <c r="K242" s="790">
        <f>+'Phase II Pro Forma'!K239</f>
        <v>1</v>
      </c>
      <c r="L242" s="790">
        <f>+'Phase II Pro Forma'!L239</f>
        <v>1.1000000000000001</v>
      </c>
      <c r="M242" s="790">
        <f>+'Phase II Pro Forma'!M239</f>
        <v>1.1000000000000001</v>
      </c>
      <c r="N242" s="790">
        <f>+'Phase II Pro Forma'!N239</f>
        <v>1.1000000000000001</v>
      </c>
      <c r="O242" s="790">
        <f>+'Phase II Pro Forma'!O239</f>
        <v>1.1000000000000001</v>
      </c>
      <c r="P242" s="790">
        <f>+'Phase II Pro Forma'!P239</f>
        <v>1.1000000000000001</v>
      </c>
      <c r="Q242" s="790">
        <f>+'Phase II Pro Forma'!Q239</f>
        <v>1.2100000000000002</v>
      </c>
      <c r="R242" s="790">
        <f>+'Phase II Pro Forma'!R239</f>
        <v>1.2100000000000002</v>
      </c>
      <c r="S242" s="790">
        <f>+'Phase II Pro Forma'!S239</f>
        <v>1.2100000000000002</v>
      </c>
      <c r="T242" s="790">
        <f>+'Phase II Pro Forma'!T239</f>
        <v>1.2100000000000002</v>
      </c>
      <c r="U242" s="790">
        <f>+'Phase II Pro Forma'!U239</f>
        <v>1.2100000000000002</v>
      </c>
      <c r="V242" s="790">
        <f>+'Phase II Pro Forma'!V239</f>
        <v>1.3310000000000004</v>
      </c>
      <c r="W242" s="790">
        <f>+'Phase II Pro Forma'!W239</f>
        <v>1.3310000000000004</v>
      </c>
      <c r="X242" s="790">
        <f>+'Phase II Pro Forma'!X239</f>
        <v>1.3310000000000004</v>
      </c>
      <c r="Y242" s="790">
        <f>+'Phase II Pro Forma'!Y239</f>
        <v>1.3310000000000004</v>
      </c>
      <c r="Z242" s="790">
        <f>+'Phase II Pro Forma'!Z239</f>
        <v>1.3310000000000004</v>
      </c>
    </row>
    <row r="243" spans="2:26" hidden="1" outlineLevel="1" x14ac:dyDescent="0.2">
      <c r="B243" s="788" t="s">
        <v>252</v>
      </c>
      <c r="C243" s="788"/>
      <c r="D243" s="789"/>
      <c r="E243" s="789"/>
      <c r="F243" s="790">
        <f>+'Phase II Pro Forma'!F240</f>
        <v>1</v>
      </c>
      <c r="G243" s="790">
        <f>+'Phase II Pro Forma'!G240</f>
        <v>1.03</v>
      </c>
      <c r="H243" s="790">
        <f>+'Phase II Pro Forma'!H240</f>
        <v>1.0609</v>
      </c>
      <c r="I243" s="790">
        <f>+'Phase II Pro Forma'!I240</f>
        <v>1.092727</v>
      </c>
      <c r="J243" s="790">
        <f>+'Phase II Pro Forma'!J240</f>
        <v>1.1255088100000001</v>
      </c>
      <c r="K243" s="790">
        <f>+'Phase II Pro Forma'!K240</f>
        <v>1.1592740743000001</v>
      </c>
      <c r="L243" s="790">
        <f>+'Phase II Pro Forma'!L240</f>
        <v>1.1940522965290001</v>
      </c>
      <c r="M243" s="790">
        <f>+'Phase II Pro Forma'!M240</f>
        <v>1.2298738654248702</v>
      </c>
      <c r="N243" s="790">
        <f>+'Phase II Pro Forma'!N240</f>
        <v>1.2667700813876164</v>
      </c>
      <c r="O243" s="790">
        <f>+'Phase II Pro Forma'!O240</f>
        <v>1.3047731838292449</v>
      </c>
      <c r="P243" s="790">
        <f>+'Phase II Pro Forma'!P240</f>
        <v>1.3439163793441222</v>
      </c>
      <c r="Q243" s="790">
        <f>+'Phase II Pro Forma'!Q240</f>
        <v>1.3842338707244459</v>
      </c>
      <c r="R243" s="790">
        <f>+'Phase II Pro Forma'!R240</f>
        <v>1.4257608868461793</v>
      </c>
      <c r="S243" s="790">
        <f>+'Phase II Pro Forma'!S240</f>
        <v>1.4685337134515648</v>
      </c>
      <c r="T243" s="790">
        <f>+'Phase II Pro Forma'!T240</f>
        <v>1.5125897248551119</v>
      </c>
      <c r="U243" s="790">
        <f>+'Phase II Pro Forma'!U240</f>
        <v>1.5579674166007653</v>
      </c>
      <c r="V243" s="790">
        <f>+'Phase II Pro Forma'!V240</f>
        <v>1.6047064390987884</v>
      </c>
      <c r="W243" s="790">
        <f>+'Phase II Pro Forma'!W240</f>
        <v>1.652847632271752</v>
      </c>
      <c r="X243" s="790">
        <f>+'Phase II Pro Forma'!X240</f>
        <v>1.7024330612399046</v>
      </c>
      <c r="Y243" s="790">
        <f>+'Phase II Pro Forma'!Y240</f>
        <v>1.7535060530771018</v>
      </c>
      <c r="Z243" s="790">
        <f>+'Phase II Pro Forma'!Z240</f>
        <v>1.806111234669415</v>
      </c>
    </row>
    <row r="244" spans="2:26" ht="5" customHeight="1" outlineLevel="1" x14ac:dyDescent="0.2">
      <c r="B244" s="32"/>
      <c r="C244" s="32"/>
      <c r="D244" s="39"/>
      <c r="E244" s="39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2:26" outlineLevel="1" x14ac:dyDescent="0.2">
      <c r="B245" s="32" t="s">
        <v>243</v>
      </c>
      <c r="C245" s="32"/>
      <c r="D245" s="39"/>
      <c r="E245" s="39"/>
      <c r="F245" s="48">
        <f>+'Phase II Pro Forma'!F242/1000000</f>
        <v>0</v>
      </c>
      <c r="G245" s="48">
        <f>+'Phase II Pro Forma'!G242/1000000</f>
        <v>0</v>
      </c>
      <c r="H245" s="48">
        <f>+'Phase II Pro Forma'!H242/1000000</f>
        <v>0</v>
      </c>
      <c r="I245" s="48">
        <f>+'Phase II Pro Forma'!I242/1000000</f>
        <v>6.2423999999999993E-12</v>
      </c>
      <c r="J245" s="48">
        <f>+'Phase II Pro Forma'!J242/1000000</f>
        <v>1.2484799999999999E-11</v>
      </c>
      <c r="K245" s="48">
        <f>+'Phase II Pro Forma'!K242/1000000</f>
        <v>1.2484799999999999E-11</v>
      </c>
      <c r="L245" s="48">
        <f>+'Phase II Pro Forma'!L242/1000000</f>
        <v>1.3733279999999999E-11</v>
      </c>
      <c r="M245" s="48">
        <f>+'Phase II Pro Forma'!M242/1000000</f>
        <v>1.3733279999999999E-11</v>
      </c>
      <c r="N245" s="48">
        <f>+'Phase II Pro Forma'!N242/1000000</f>
        <v>1.3733279999999999E-11</v>
      </c>
      <c r="O245" s="48">
        <f>+'Phase II Pro Forma'!O242/1000000</f>
        <v>1.3733279999999999E-11</v>
      </c>
      <c r="P245" s="48">
        <f>+'Phase II Pro Forma'!P242/1000000</f>
        <v>1.3733279999999999E-11</v>
      </c>
      <c r="Q245" s="48">
        <f>+'Phase II Pro Forma'!Q242/1000000</f>
        <v>1.5106608000000003E-11</v>
      </c>
      <c r="R245" s="48">
        <f>+'Phase II Pro Forma'!R242/1000000</f>
        <v>1.5106608000000003E-11</v>
      </c>
      <c r="S245" s="48">
        <f>+'Phase II Pro Forma'!S242/1000000</f>
        <v>1.5106608000000003E-11</v>
      </c>
      <c r="T245" s="48">
        <f>+'Phase II Pro Forma'!T242/1000000</f>
        <v>1.5106608000000003E-11</v>
      </c>
      <c r="U245" s="48">
        <f>+'Phase II Pro Forma'!U242/1000000</f>
        <v>1.5106608000000003E-11</v>
      </c>
      <c r="V245" s="48">
        <f>+'Phase II Pro Forma'!V242/1000000</f>
        <v>1.6617268800000003E-11</v>
      </c>
      <c r="W245" s="48">
        <f>+'Phase II Pro Forma'!W242/1000000</f>
        <v>1.6617268800000003E-11</v>
      </c>
      <c r="X245" s="48">
        <f>+'Phase II Pro Forma'!X242/1000000</f>
        <v>1.6617268800000003E-11</v>
      </c>
      <c r="Y245" s="48">
        <f>+'Phase II Pro Forma'!Y242/1000000</f>
        <v>1.6617268800000003E-11</v>
      </c>
      <c r="Z245" s="48">
        <f>+'Phase II Pro Forma'!Z242/1000000</f>
        <v>1.6617268800000003E-11</v>
      </c>
    </row>
    <row r="246" spans="2:26" outlineLevel="1" x14ac:dyDescent="0.2">
      <c r="B246" s="32" t="s">
        <v>244</v>
      </c>
      <c r="C246" s="32"/>
      <c r="D246" s="39"/>
      <c r="E246" s="39"/>
      <c r="F246" s="771">
        <f>+'Phase II Pro Forma'!F243/1000000</f>
        <v>0</v>
      </c>
      <c r="G246" s="771">
        <f>+'Phase II Pro Forma'!G243/1000000</f>
        <v>0</v>
      </c>
      <c r="H246" s="771">
        <f>+'Phase II Pro Forma'!H243/1000000</f>
        <v>0</v>
      </c>
      <c r="I246" s="771">
        <f>+'Phase II Pro Forma'!I243/1000000</f>
        <v>-3.7454399999999997E-13</v>
      </c>
      <c r="J246" s="771">
        <f>+'Phase II Pro Forma'!J243/1000000</f>
        <v>-7.4908799999999995E-13</v>
      </c>
      <c r="K246" s="771">
        <f>+'Phase II Pro Forma'!K243/1000000</f>
        <v>-7.4908799999999995E-13</v>
      </c>
      <c r="L246" s="771">
        <f>+'Phase II Pro Forma'!L243/1000000</f>
        <v>-8.2399679999999999E-13</v>
      </c>
      <c r="M246" s="771">
        <f>+'Phase II Pro Forma'!M243/1000000</f>
        <v>-8.2399679999999999E-13</v>
      </c>
      <c r="N246" s="771">
        <f>+'Phase II Pro Forma'!N243/1000000</f>
        <v>-8.2399679999999999E-13</v>
      </c>
      <c r="O246" s="771">
        <f>+'Phase II Pro Forma'!O243/1000000</f>
        <v>-8.2399679999999999E-13</v>
      </c>
      <c r="P246" s="771">
        <f>+'Phase II Pro Forma'!P243/1000000</f>
        <v>-8.2399679999999999E-13</v>
      </c>
      <c r="Q246" s="771">
        <f>+'Phase II Pro Forma'!Q243/1000000</f>
        <v>-9.0639648000000008E-13</v>
      </c>
      <c r="R246" s="771">
        <f>+'Phase II Pro Forma'!R243/1000000</f>
        <v>-9.0639648000000008E-13</v>
      </c>
      <c r="S246" s="771">
        <f>+'Phase II Pro Forma'!S243/1000000</f>
        <v>-9.0639648000000008E-13</v>
      </c>
      <c r="T246" s="771">
        <f>+'Phase II Pro Forma'!T243/1000000</f>
        <v>-9.0639648000000008E-13</v>
      </c>
      <c r="U246" s="771">
        <f>+'Phase II Pro Forma'!U243/1000000</f>
        <v>-9.0639648000000008E-13</v>
      </c>
      <c r="V246" s="771">
        <f>+'Phase II Pro Forma'!V243/1000000</f>
        <v>-9.9703612800000005E-13</v>
      </c>
      <c r="W246" s="771">
        <f>+'Phase II Pro Forma'!W243/1000000</f>
        <v>-9.9703612800000005E-13</v>
      </c>
      <c r="X246" s="771">
        <f>+'Phase II Pro Forma'!X243/1000000</f>
        <v>-9.9703612800000005E-13</v>
      </c>
      <c r="Y246" s="771">
        <f>+'Phase II Pro Forma'!Y243/1000000</f>
        <v>-9.9703612800000005E-13</v>
      </c>
      <c r="Z246" s="771">
        <f>+'Phase II Pro Forma'!Z243/1000000</f>
        <v>-9.9703612800000005E-13</v>
      </c>
    </row>
    <row r="247" spans="2:26" outlineLevel="1" x14ac:dyDescent="0.2">
      <c r="B247" s="32" t="s">
        <v>259</v>
      </c>
      <c r="C247" s="32"/>
      <c r="D247" s="39"/>
      <c r="E247" s="39"/>
      <c r="F247" s="772">
        <f ca="1">+'Phase II Pro Forma'!F244/1000000</f>
        <v>0</v>
      </c>
      <c r="G247" s="772">
        <f ca="1">+'Phase II Pro Forma'!G244/1000000</f>
        <v>0</v>
      </c>
      <c r="H247" s="772">
        <f ca="1">+'Phase II Pro Forma'!H244/1000000</f>
        <v>0</v>
      </c>
      <c r="I247" s="772">
        <f ca="1">+'Phase II Pro Forma'!I244/1000000</f>
        <v>3.2233876433658947E-12</v>
      </c>
      <c r="J247" s="772">
        <f ca="1">+'Phase II Pro Forma'!J244/1000000</f>
        <v>6.5984482558824249E-12</v>
      </c>
      <c r="K247" s="772">
        <f ca="1">+'Phase II Pro Forma'!K244/1000000</f>
        <v>6.6687070178378652E-12</v>
      </c>
      <c r="L247" s="772">
        <f ca="1">+'Phase II Pro Forma'!L244/1000000</f>
        <v>6.7410735426519673E-12</v>
      </c>
      <c r="M247" s="772">
        <f ca="1">+'Phase II Pro Forma'!M244/1000000</f>
        <v>6.9007408536911824E-12</v>
      </c>
      <c r="N247" s="772">
        <f ca="1">+'Phase II Pro Forma'!N244/1000000</f>
        <v>6.9775144998664657E-12</v>
      </c>
      <c r="O247" s="772">
        <f ca="1">+'Phase II Pro Forma'!O244/1000000</f>
        <v>7.0565913554270063E-12</v>
      </c>
      <c r="P247" s="772">
        <f ca="1">+'Phase II Pro Forma'!P244/1000000</f>
        <v>7.224872902944665E-12</v>
      </c>
      <c r="Q247" s="772">
        <f ca="1">+'Phase II Pro Forma'!Q244/1000000</f>
        <v>7.3087655390088425E-12</v>
      </c>
      <c r="R247" s="772">
        <f ca="1">+'Phase II Pro Forma'!R244/1000000</f>
        <v>7.3951749541549459E-12</v>
      </c>
      <c r="S247" s="772">
        <f ca="1">+'Phase II Pro Forma'!S244/1000000</f>
        <v>7.5727456857715398E-12</v>
      </c>
      <c r="T247" s="772">
        <f ca="1">+'Phase II Pro Forma'!T244/1000000</f>
        <v>7.6644174343000408E-12</v>
      </c>
      <c r="U247" s="772">
        <f ca="1">+'Phase II Pro Forma'!U244/1000000</f>
        <v>7.7588393352843968E-12</v>
      </c>
      <c r="V247" s="772">
        <f ca="1">+'Phase II Pro Forma'!V244/1000000</f>
        <v>7.9464343079947141E-12</v>
      </c>
      <c r="W247" s="772">
        <f ca="1">+'Phase II Pro Forma'!W244/1000000</f>
        <v>8.0466065027490182E-12</v>
      </c>
      <c r="X247" s="772">
        <f ca="1">+'Phase II Pro Forma'!X244/1000000</f>
        <v>8.1497838633459487E-12</v>
      </c>
      <c r="Y247" s="772">
        <f ca="1">+'Phase II Pro Forma'!Y244/1000000</f>
        <v>8.3482037677511466E-12</v>
      </c>
      <c r="Z247" s="772">
        <f ca="1">+'Phase II Pro Forma'!Z244/1000000</f>
        <v>8.4576646296084324E-12</v>
      </c>
    </row>
    <row r="248" spans="2:26" outlineLevel="1" x14ac:dyDescent="0.2">
      <c r="B248" s="136" t="s">
        <v>253</v>
      </c>
      <c r="C248" s="136"/>
      <c r="D248" s="136"/>
      <c r="E248" s="136"/>
      <c r="F248" s="773">
        <f t="shared" ref="F248:Z248" ca="1" si="77">+SUM(F245:F247)</f>
        <v>0</v>
      </c>
      <c r="G248" s="773">
        <f t="shared" ca="1" si="77"/>
        <v>0</v>
      </c>
      <c r="H248" s="773">
        <f t="shared" ca="1" si="77"/>
        <v>0</v>
      </c>
      <c r="I248" s="773">
        <f t="shared" ca="1" si="77"/>
        <v>9.0912436433658952E-12</v>
      </c>
      <c r="J248" s="773">
        <f t="shared" ca="1" si="77"/>
        <v>1.8334160255882423E-11</v>
      </c>
      <c r="K248" s="773">
        <f t="shared" ca="1" si="77"/>
        <v>1.8404419017837866E-11</v>
      </c>
      <c r="L248" s="773">
        <f t="shared" ca="1" si="77"/>
        <v>1.9650356742651966E-11</v>
      </c>
      <c r="M248" s="773">
        <f t="shared" ca="1" si="77"/>
        <v>1.981002405369118E-11</v>
      </c>
      <c r="N248" s="773">
        <f t="shared" ca="1" si="77"/>
        <v>1.9886797699866464E-11</v>
      </c>
      <c r="O248" s="773">
        <f t="shared" ca="1" si="77"/>
        <v>1.9965874555427004E-11</v>
      </c>
      <c r="P248" s="773">
        <f t="shared" ca="1" si="77"/>
        <v>2.0134156102944664E-11</v>
      </c>
      <c r="Q248" s="773">
        <f t="shared" ca="1" si="77"/>
        <v>2.1508977059008844E-11</v>
      </c>
      <c r="R248" s="773">
        <f t="shared" ca="1" si="77"/>
        <v>2.1595386474154949E-11</v>
      </c>
      <c r="S248" s="773">
        <f t="shared" ca="1" si="77"/>
        <v>2.1772957205771543E-11</v>
      </c>
      <c r="T248" s="773">
        <f t="shared" ca="1" si="77"/>
        <v>2.1864628954300044E-11</v>
      </c>
      <c r="U248" s="773">
        <f t="shared" ca="1" si="77"/>
        <v>2.1959050855284399E-11</v>
      </c>
      <c r="V248" s="773">
        <f t="shared" ca="1" si="77"/>
        <v>2.3566666979994719E-11</v>
      </c>
      <c r="W248" s="773">
        <f t="shared" ca="1" si="77"/>
        <v>2.3666839174749021E-11</v>
      </c>
      <c r="X248" s="773">
        <f t="shared" ca="1" si="77"/>
        <v>2.377001653534595E-11</v>
      </c>
      <c r="Y248" s="773">
        <f t="shared" ca="1" si="77"/>
        <v>2.3968436439751151E-11</v>
      </c>
      <c r="Z248" s="773">
        <f t="shared" ca="1" si="77"/>
        <v>2.4077897301608434E-11</v>
      </c>
    </row>
    <row r="249" spans="2:26" ht="5" customHeight="1" outlineLevel="1" x14ac:dyDescent="0.2"/>
    <row r="250" spans="2:26" outlineLevel="1" x14ac:dyDescent="0.2">
      <c r="B250" s="32" t="s">
        <v>389</v>
      </c>
      <c r="F250" s="48">
        <f>+'Phase II Pro Forma'!F247/1000000</f>
        <v>0</v>
      </c>
      <c r="G250" s="48">
        <f>+'Phase II Pro Forma'!G247/1000000</f>
        <v>0</v>
      </c>
      <c r="H250" s="48">
        <f>+'Phase II Pro Forma'!H247/1000000</f>
        <v>0</v>
      </c>
      <c r="I250" s="48">
        <f>+'Phase II Pro Forma'!I247/1000000</f>
        <v>1.1368731708000001E-12</v>
      </c>
      <c r="J250" s="48">
        <f>+'Phase II Pro Forma'!J247/1000000</f>
        <v>2.3419587318480004E-12</v>
      </c>
      <c r="K250" s="48">
        <f>+'Phase II Pro Forma'!K247/1000000</f>
        <v>2.4122174938034404E-12</v>
      </c>
      <c r="L250" s="48">
        <f>+'Phase II Pro Forma'!L247/1000000</f>
        <v>2.4845840186175437E-12</v>
      </c>
      <c r="M250" s="48">
        <f>+'Phase II Pro Forma'!M247/1000000</f>
        <v>2.5591215391760701E-12</v>
      </c>
      <c r="N250" s="48">
        <f>+'Phase II Pro Forma'!N247/1000000</f>
        <v>2.6358951853513521E-12</v>
      </c>
      <c r="O250" s="48">
        <f>+'Phase II Pro Forma'!O247/1000000</f>
        <v>2.7149720409118927E-12</v>
      </c>
      <c r="P250" s="48">
        <f>+'Phase II Pro Forma'!P247/1000000</f>
        <v>2.7964212021392496E-12</v>
      </c>
      <c r="Q250" s="48">
        <f>+'Phase II Pro Forma'!Q247/1000000</f>
        <v>2.8803138382034271E-12</v>
      </c>
      <c r="R250" s="48">
        <f>+'Phase II Pro Forma'!R247/1000000</f>
        <v>2.9667232533495301E-12</v>
      </c>
      <c r="S250" s="48">
        <f>+'Phase II Pro Forma'!S247/1000000</f>
        <v>3.055724950950016E-12</v>
      </c>
      <c r="T250" s="48">
        <f>+'Phase II Pro Forma'!T247/1000000</f>
        <v>3.147396699478517E-12</v>
      </c>
      <c r="U250" s="48">
        <f>+'Phase II Pro Forma'!U247/1000000</f>
        <v>3.2418186004628726E-12</v>
      </c>
      <c r="V250" s="48">
        <f>+'Phase II Pro Forma'!V247/1000000</f>
        <v>3.3390731584767591E-12</v>
      </c>
      <c r="W250" s="48">
        <f>+'Phase II Pro Forma'!W247/1000000</f>
        <v>3.4392453532310616E-12</v>
      </c>
      <c r="X250" s="48">
        <f>+'Phase II Pro Forma'!X247/1000000</f>
        <v>3.5424227138279938E-12</v>
      </c>
      <c r="Y250" s="48">
        <f>+'Phase II Pro Forma'!Y247/1000000</f>
        <v>3.648695395242834E-12</v>
      </c>
      <c r="Z250" s="48">
        <f>+'Phase II Pro Forma'!Z247/1000000</f>
        <v>3.758156257100119E-12</v>
      </c>
    </row>
    <row r="251" spans="2:26" outlineLevel="1" x14ac:dyDescent="0.2">
      <c r="B251" s="32" t="s">
        <v>325</v>
      </c>
      <c r="F251" s="772">
        <f ca="1">+'Phase II Pro Forma'!F248/1000000</f>
        <v>0</v>
      </c>
      <c r="G251" s="772">
        <f ca="1">+'Phase II Pro Forma'!G248/1000000</f>
        <v>0</v>
      </c>
      <c r="H251" s="772">
        <f ca="1">+'Phase II Pro Forma'!H248/1000000</f>
        <v>0</v>
      </c>
      <c r="I251" s="772">
        <f ca="1">+'Phase II Pro Forma'!I248/1000000</f>
        <v>2.0865144725658945E-12</v>
      </c>
      <c r="J251" s="772">
        <f ca="1">+'Phase II Pro Forma'!J248/1000000</f>
        <v>4.2564895240344245E-12</v>
      </c>
      <c r="K251" s="772">
        <f ca="1">+'Phase II Pro Forma'!K248/1000000</f>
        <v>4.2564895240344245E-12</v>
      </c>
      <c r="L251" s="772">
        <f ca="1">+'Phase II Pro Forma'!L248/1000000</f>
        <v>4.2564895240344245E-12</v>
      </c>
      <c r="M251" s="772">
        <f ca="1">+'Phase II Pro Forma'!M248/1000000</f>
        <v>4.3416193145151132E-12</v>
      </c>
      <c r="N251" s="772">
        <f ca="1">+'Phase II Pro Forma'!N248/1000000</f>
        <v>4.3416193145151132E-12</v>
      </c>
      <c r="O251" s="772">
        <f ca="1">+'Phase II Pro Forma'!O248/1000000</f>
        <v>4.3416193145151132E-12</v>
      </c>
      <c r="P251" s="772">
        <f ca="1">+'Phase II Pro Forma'!P248/1000000</f>
        <v>4.4284517008054154E-12</v>
      </c>
      <c r="Q251" s="772">
        <f ca="1">+'Phase II Pro Forma'!Q248/1000000</f>
        <v>4.4284517008054154E-12</v>
      </c>
      <c r="R251" s="772">
        <f ca="1">+'Phase II Pro Forma'!R248/1000000</f>
        <v>4.4284517008054154E-12</v>
      </c>
      <c r="S251" s="772">
        <f ca="1">+'Phase II Pro Forma'!S248/1000000</f>
        <v>4.5170207348215242E-12</v>
      </c>
      <c r="T251" s="772">
        <f ca="1">+'Phase II Pro Forma'!T248/1000000</f>
        <v>4.5170207348215242E-12</v>
      </c>
      <c r="U251" s="772">
        <f ca="1">+'Phase II Pro Forma'!U248/1000000</f>
        <v>4.5170207348215242E-12</v>
      </c>
      <c r="V251" s="772">
        <f ca="1">+'Phase II Pro Forma'!V248/1000000</f>
        <v>4.607361149517955E-12</v>
      </c>
      <c r="W251" s="772">
        <f ca="1">+'Phase II Pro Forma'!W248/1000000</f>
        <v>4.607361149517955E-12</v>
      </c>
      <c r="X251" s="772">
        <f ca="1">+'Phase II Pro Forma'!X248/1000000</f>
        <v>4.607361149517955E-12</v>
      </c>
      <c r="Y251" s="772">
        <f ca="1">+'Phase II Pro Forma'!Y248/1000000</f>
        <v>4.6995083725083134E-12</v>
      </c>
      <c r="Z251" s="772">
        <f ca="1">+'Phase II Pro Forma'!Z248/1000000</f>
        <v>4.6995083725083134E-12</v>
      </c>
    </row>
    <row r="252" spans="2:26" outlineLevel="1" x14ac:dyDescent="0.2">
      <c r="B252" s="136" t="s">
        <v>249</v>
      </c>
      <c r="C252" s="136"/>
      <c r="D252" s="136"/>
      <c r="E252" s="136"/>
      <c r="F252" s="773">
        <f ca="1">+SUM(F250:F251)</f>
        <v>0</v>
      </c>
      <c r="G252" s="773">
        <f t="shared" ref="G252" ca="1" si="78">+SUM(G250:G251)</f>
        <v>0</v>
      </c>
      <c r="H252" s="773">
        <f t="shared" ref="H252:Z252" ca="1" si="79">+SUM(H250:H251)</f>
        <v>0</v>
      </c>
      <c r="I252" s="773">
        <f t="shared" ca="1" si="79"/>
        <v>3.2233876433658947E-12</v>
      </c>
      <c r="J252" s="773">
        <f t="shared" ca="1" si="79"/>
        <v>6.5984482558824249E-12</v>
      </c>
      <c r="K252" s="773">
        <f t="shared" ca="1" si="79"/>
        <v>6.6687070178378652E-12</v>
      </c>
      <c r="L252" s="773">
        <f t="shared" ca="1" si="79"/>
        <v>6.7410735426519681E-12</v>
      </c>
      <c r="M252" s="773">
        <f t="shared" ca="1" si="79"/>
        <v>6.9007408536911832E-12</v>
      </c>
      <c r="N252" s="773">
        <f t="shared" ca="1" si="79"/>
        <v>6.9775144998664649E-12</v>
      </c>
      <c r="O252" s="773">
        <f t="shared" ca="1" si="79"/>
        <v>7.0565913554270055E-12</v>
      </c>
      <c r="P252" s="773">
        <f t="shared" ca="1" si="79"/>
        <v>7.224872902944665E-12</v>
      </c>
      <c r="Q252" s="773">
        <f t="shared" ca="1" si="79"/>
        <v>7.3087655390088425E-12</v>
      </c>
      <c r="R252" s="773">
        <f t="shared" ca="1" si="79"/>
        <v>7.3951749541549459E-12</v>
      </c>
      <c r="S252" s="773">
        <f t="shared" ca="1" si="79"/>
        <v>7.5727456857715398E-12</v>
      </c>
      <c r="T252" s="773">
        <f t="shared" ca="1" si="79"/>
        <v>7.6644174343000408E-12</v>
      </c>
      <c r="U252" s="773">
        <f t="shared" ca="1" si="79"/>
        <v>7.7588393352843968E-12</v>
      </c>
      <c r="V252" s="773">
        <f t="shared" ca="1" si="79"/>
        <v>7.9464343079947141E-12</v>
      </c>
      <c r="W252" s="773">
        <f t="shared" ca="1" si="79"/>
        <v>8.0466065027490166E-12</v>
      </c>
      <c r="X252" s="773">
        <f t="shared" ca="1" si="79"/>
        <v>8.1497838633459487E-12</v>
      </c>
      <c r="Y252" s="773">
        <f t="shared" ca="1" si="79"/>
        <v>8.3482037677511482E-12</v>
      </c>
      <c r="Z252" s="773">
        <f t="shared" ca="1" si="79"/>
        <v>8.4576646296084324E-12</v>
      </c>
    </row>
    <row r="253" spans="2:26" ht="5" customHeight="1" outlineLevel="1" x14ac:dyDescent="0.2">
      <c r="B253" s="32"/>
    </row>
    <row r="254" spans="2:26" outlineLevel="1" x14ac:dyDescent="0.2">
      <c r="B254" s="137" t="s">
        <v>793</v>
      </c>
      <c r="C254" s="137"/>
      <c r="D254" s="137"/>
      <c r="E254" s="137"/>
      <c r="F254" s="774">
        <f ca="1">+'Phase II Pro Forma'!F251/1000000</f>
        <v>0</v>
      </c>
      <c r="G254" s="774">
        <f ca="1">+'Phase II Pro Forma'!G251/1000000</f>
        <v>0</v>
      </c>
      <c r="H254" s="774">
        <f ca="1">+'Phase II Pro Forma'!H251/1000000</f>
        <v>0</v>
      </c>
      <c r="I254" s="774">
        <f ca="1">+'Phase II Pro Forma'!I251/1000000</f>
        <v>5.8678559999999997E-12</v>
      </c>
      <c r="J254" s="774">
        <f ca="1">+'Phase II Pro Forma'!J251/1000000</f>
        <v>1.1735711999999999E-11</v>
      </c>
      <c r="K254" s="774">
        <f ca="1">+'Phase II Pro Forma'!K251/1000000</f>
        <v>1.1735711999999999E-11</v>
      </c>
      <c r="L254" s="774">
        <f ca="1">+'Phase II Pro Forma'!L251/1000000</f>
        <v>1.2909283200000002E-11</v>
      </c>
      <c r="M254" s="774">
        <f ca="1">+'Phase II Pro Forma'!M251/1000000</f>
        <v>1.29092832E-11</v>
      </c>
      <c r="N254" s="774">
        <f ca="1">+'Phase II Pro Forma'!N251/1000000</f>
        <v>1.2909283200000002E-11</v>
      </c>
      <c r="O254" s="774">
        <f ca="1">+'Phase II Pro Forma'!O251/1000000</f>
        <v>1.2909283200000002E-11</v>
      </c>
      <c r="P254" s="774">
        <f ca="1">+'Phase II Pro Forma'!P251/1000000</f>
        <v>1.29092832E-11</v>
      </c>
      <c r="Q254" s="774">
        <f ca="1">+'Phase II Pro Forma'!Q251/1000000</f>
        <v>1.4200211520000004E-11</v>
      </c>
      <c r="R254" s="774">
        <f ca="1">+'Phase II Pro Forma'!R251/1000000</f>
        <v>1.420021152E-11</v>
      </c>
      <c r="S254" s="774">
        <f ca="1">+'Phase II Pro Forma'!S251/1000000</f>
        <v>1.4200211520000004E-11</v>
      </c>
      <c r="T254" s="774">
        <f ca="1">+'Phase II Pro Forma'!T251/1000000</f>
        <v>1.4200211520000005E-11</v>
      </c>
      <c r="U254" s="774">
        <f ca="1">+'Phase II Pro Forma'!U251/1000000</f>
        <v>1.420021152E-11</v>
      </c>
      <c r="V254" s="774">
        <f ca="1">+'Phase II Pro Forma'!V251/1000000</f>
        <v>1.5620232672000003E-11</v>
      </c>
      <c r="W254" s="774">
        <f ca="1">+'Phase II Pro Forma'!W251/1000000</f>
        <v>1.5620232672000003E-11</v>
      </c>
      <c r="X254" s="774">
        <f ca="1">+'Phase II Pro Forma'!X251/1000000</f>
        <v>1.5620232672000003E-11</v>
      </c>
      <c r="Y254" s="774">
        <f ca="1">+'Phase II Pro Forma'!Y251/1000000</f>
        <v>1.5620232672000003E-11</v>
      </c>
      <c r="Z254" s="774">
        <f ca="1">+'Phase II Pro Forma'!Z251/1000000</f>
        <v>1.5620232672000003E-11</v>
      </c>
    </row>
    <row r="255" spans="2:26" outlineLevel="1" x14ac:dyDescent="0.2">
      <c r="B255" s="779" t="s">
        <v>254</v>
      </c>
      <c r="C255" s="780"/>
      <c r="D255" s="780"/>
      <c r="E255" s="780"/>
      <c r="F255" s="781" t="str">
        <f ca="1">+IFERROR(F254/F248,"")</f>
        <v/>
      </c>
      <c r="G255" s="781" t="str">
        <f t="shared" ref="G255:Z255" ca="1" si="80">+IFERROR(G254/G248,"")</f>
        <v/>
      </c>
      <c r="H255" s="781" t="str">
        <f t="shared" ca="1" si="80"/>
        <v/>
      </c>
      <c r="I255" s="782">
        <f t="shared" ca="1" si="80"/>
        <v>0.64544040729586194</v>
      </c>
      <c r="J255" s="782">
        <f t="shared" ca="1" si="80"/>
        <v>0.64010087379020564</v>
      </c>
      <c r="K255" s="782">
        <f t="shared" ca="1" si="80"/>
        <v>0.63765729244838176</v>
      </c>
      <c r="L255" s="782">
        <f t="shared" ca="1" si="80"/>
        <v>0.65694905029280382</v>
      </c>
      <c r="M255" s="782">
        <f t="shared" ca="1" si="80"/>
        <v>0.6516540901218455</v>
      </c>
      <c r="N255" s="782">
        <f t="shared" ca="1" si="80"/>
        <v>0.64913835776016793</v>
      </c>
      <c r="O255" s="782">
        <f t="shared" ca="1" si="80"/>
        <v>0.64656737996438418</v>
      </c>
      <c r="P255" s="782">
        <f t="shared" ca="1" si="80"/>
        <v>0.64116336110615479</v>
      </c>
      <c r="Q255" s="782">
        <f t="shared" ca="1" si="80"/>
        <v>0.66019929637018093</v>
      </c>
      <c r="R255" s="782">
        <f t="shared" ca="1" si="80"/>
        <v>0.6575576471851805</v>
      </c>
      <c r="S255" s="782">
        <f t="shared" ca="1" si="80"/>
        <v>0.65219489414308096</v>
      </c>
      <c r="T255" s="782">
        <f t="shared" ca="1" si="80"/>
        <v>0.64946043903513384</v>
      </c>
      <c r="U255" s="782">
        <f t="shared" ca="1" si="80"/>
        <v>0.64666781882254032</v>
      </c>
      <c r="V255" s="782">
        <f t="shared" ca="1" si="80"/>
        <v>0.66281042988640315</v>
      </c>
      <c r="W255" s="782">
        <f t="shared" ca="1" si="80"/>
        <v>0.66000502038589826</v>
      </c>
      <c r="X255" s="782">
        <f t="shared" ca="1" si="80"/>
        <v>0.65714016853007906</v>
      </c>
      <c r="Y255" s="782">
        <f t="shared" ca="1" si="80"/>
        <v>0.65170011032067876</v>
      </c>
      <c r="Z255" s="782">
        <f t="shared" ca="1" si="80"/>
        <v>0.64873740743783936</v>
      </c>
    </row>
    <row r="256" spans="2:26" outlineLevel="1" x14ac:dyDescent="0.2">
      <c r="B256" s="779" t="s">
        <v>188</v>
      </c>
      <c r="C256" s="780"/>
      <c r="D256" s="780"/>
      <c r="E256" s="780"/>
      <c r="F256" s="783">
        <f ca="1">+'Phase II Pro Forma'!F253/1000000</f>
        <v>0</v>
      </c>
      <c r="G256" s="783">
        <f ca="1">+'Phase II Pro Forma'!G253/1000000</f>
        <v>0</v>
      </c>
      <c r="H256" s="783">
        <f ca="1">+'Phase II Pro Forma'!H253/1000000</f>
        <v>0</v>
      </c>
      <c r="I256" s="783">
        <f ca="1">+'Phase II Pro Forma'!I253/1000000</f>
        <v>1.066882909090909E-10</v>
      </c>
      <c r="J256" s="783">
        <f ca="1">+'Phase II Pro Forma'!J253/1000000</f>
        <v>2.1337658181818179E-10</v>
      </c>
      <c r="K256" s="783">
        <f ca="1">+'Phase II Pro Forma'!K253/1000000</f>
        <v>2.1337658181818179E-10</v>
      </c>
      <c r="L256" s="783">
        <f ca="1">+'Phase II Pro Forma'!L253/1000000</f>
        <v>2.3471424000000003E-10</v>
      </c>
      <c r="M256" s="783">
        <f ca="1">+'Phase II Pro Forma'!M253/1000000</f>
        <v>2.3471424000000003E-10</v>
      </c>
      <c r="N256" s="783">
        <f ca="1">+'Phase II Pro Forma'!N253/1000000</f>
        <v>2.3471424000000003E-10</v>
      </c>
      <c r="O256" s="783">
        <f ca="1">+'Phase II Pro Forma'!O253/1000000</f>
        <v>2.3471424000000003E-10</v>
      </c>
      <c r="P256" s="783">
        <f ca="1">+'Phase II Pro Forma'!P253/1000000</f>
        <v>2.3471424000000003E-10</v>
      </c>
      <c r="Q256" s="783">
        <f ca="1">+'Phase II Pro Forma'!Q253/1000000</f>
        <v>2.5818566400000005E-10</v>
      </c>
      <c r="R256" s="783">
        <f ca="1">+'Phase II Pro Forma'!R253/1000000</f>
        <v>2.5818566400000005E-10</v>
      </c>
      <c r="S256" s="783">
        <f ca="1">+'Phase II Pro Forma'!S253/1000000</f>
        <v>2.5818566400000005E-10</v>
      </c>
      <c r="T256" s="783">
        <f ca="1">+'Phase II Pro Forma'!T253/1000000</f>
        <v>2.581856640000001E-10</v>
      </c>
      <c r="U256" s="783">
        <f ca="1">+'Phase II Pro Forma'!U253/1000000</f>
        <v>2.5818566400000005E-10</v>
      </c>
      <c r="V256" s="783">
        <f ca="1">+'Phase II Pro Forma'!V253/1000000</f>
        <v>2.8400423040000007E-10</v>
      </c>
      <c r="W256" s="783">
        <f ca="1">+'Phase II Pro Forma'!W253/1000000</f>
        <v>2.8400423040000007E-10</v>
      </c>
      <c r="X256" s="783">
        <f ca="1">+'Phase II Pro Forma'!X253/1000000</f>
        <v>2.8400423040000007E-10</v>
      </c>
      <c r="Y256" s="783">
        <f ca="1">+'Phase II Pro Forma'!Y253/1000000</f>
        <v>2.8400423040000007E-10</v>
      </c>
      <c r="Z256" s="783">
        <f ca="1">+'Phase II Pro Forma'!Z253/1000000</f>
        <v>2.8400423040000007E-10</v>
      </c>
    </row>
    <row r="257" spans="2:26" outlineLevel="1" x14ac:dyDescent="0.2"/>
    <row r="258" spans="2:26" outlineLevel="1" x14ac:dyDescent="0.2">
      <c r="B258" s="147" t="s">
        <v>31</v>
      </c>
      <c r="F258" s="776">
        <f>+F235</f>
        <v>44926</v>
      </c>
      <c r="G258" s="776">
        <f t="shared" ref="G258:Z258" si="81">+G235</f>
        <v>45291</v>
      </c>
      <c r="H258" s="776">
        <f t="shared" si="81"/>
        <v>45657</v>
      </c>
      <c r="I258" s="776">
        <f t="shared" si="81"/>
        <v>46022</v>
      </c>
      <c r="J258" s="776">
        <f t="shared" si="81"/>
        <v>46387</v>
      </c>
      <c r="K258" s="776">
        <f t="shared" si="81"/>
        <v>46752</v>
      </c>
      <c r="L258" s="776">
        <f t="shared" si="81"/>
        <v>47118</v>
      </c>
      <c r="M258" s="776">
        <f t="shared" si="81"/>
        <v>47483</v>
      </c>
      <c r="N258" s="776">
        <f t="shared" si="81"/>
        <v>47848</v>
      </c>
      <c r="O258" s="776">
        <f t="shared" si="81"/>
        <v>48213</v>
      </c>
      <c r="P258" s="776">
        <f t="shared" si="81"/>
        <v>48579</v>
      </c>
      <c r="Q258" s="776">
        <f t="shared" si="81"/>
        <v>48944</v>
      </c>
      <c r="R258" s="776">
        <f t="shared" si="81"/>
        <v>49309</v>
      </c>
      <c r="S258" s="776">
        <f t="shared" si="81"/>
        <v>49674</v>
      </c>
      <c r="T258" s="776">
        <f t="shared" si="81"/>
        <v>50040</v>
      </c>
      <c r="U258" s="776">
        <f t="shared" si="81"/>
        <v>50405</v>
      </c>
      <c r="V258" s="776">
        <f t="shared" si="81"/>
        <v>50770</v>
      </c>
      <c r="W258" s="776">
        <f t="shared" si="81"/>
        <v>51135</v>
      </c>
      <c r="X258" s="776">
        <f t="shared" si="81"/>
        <v>51501</v>
      </c>
      <c r="Y258" s="776">
        <f t="shared" si="81"/>
        <v>51866</v>
      </c>
      <c r="Z258" s="776">
        <f t="shared" si="81"/>
        <v>52231</v>
      </c>
    </row>
    <row r="259" spans="2:26" hidden="1" outlineLevel="1" x14ac:dyDescent="0.2">
      <c r="B259" s="788" t="s">
        <v>331</v>
      </c>
      <c r="C259" s="793"/>
      <c r="D259" s="793"/>
      <c r="E259" s="793"/>
      <c r="F259" s="792">
        <v>0</v>
      </c>
      <c r="G259" s="792">
        <f t="shared" ref="G259:Z259" si="82">+F262</f>
        <v>0</v>
      </c>
      <c r="H259" s="792">
        <f t="shared" si="82"/>
        <v>0</v>
      </c>
      <c r="I259" s="792">
        <f t="shared" si="82"/>
        <v>0</v>
      </c>
      <c r="J259" s="792">
        <f t="shared" ca="1" si="82"/>
        <v>1.6003243636363635E-10</v>
      </c>
      <c r="K259" s="792">
        <f t="shared" ca="1" si="82"/>
        <v>1.6003243636363635E-10</v>
      </c>
      <c r="L259" s="792">
        <f t="shared" ca="1" si="82"/>
        <v>1.6003243636363635E-10</v>
      </c>
      <c r="M259" s="792">
        <f t="shared" ca="1" si="82"/>
        <v>1.6003243636363635E-10</v>
      </c>
      <c r="N259" s="792">
        <f t="shared" ca="1" si="82"/>
        <v>1.6003243636363635E-10</v>
      </c>
      <c r="O259" s="792">
        <f t="shared" ca="1" si="82"/>
        <v>1.6003243636363635E-10</v>
      </c>
      <c r="P259" s="792">
        <f t="shared" ca="1" si="82"/>
        <v>1.6003243636363635E-10</v>
      </c>
      <c r="Q259" s="792">
        <f t="shared" ca="1" si="82"/>
        <v>1.6003243636363635E-10</v>
      </c>
      <c r="R259" s="792">
        <f t="shared" ca="1" si="82"/>
        <v>1.6003243636363635E-10</v>
      </c>
      <c r="S259" s="792">
        <f t="shared" ca="1" si="82"/>
        <v>1.6003243636363635E-10</v>
      </c>
      <c r="T259" s="792">
        <f t="shared" ca="1" si="82"/>
        <v>1.6003243636363635E-10</v>
      </c>
      <c r="U259" s="792">
        <f t="shared" ca="1" si="82"/>
        <v>1.6003243636363635E-10</v>
      </c>
      <c r="V259" s="792">
        <f t="shared" ca="1" si="82"/>
        <v>1.6003243636363635E-10</v>
      </c>
      <c r="W259" s="792">
        <f t="shared" ca="1" si="82"/>
        <v>1.6003243636363635E-10</v>
      </c>
      <c r="X259" s="792">
        <f t="shared" ca="1" si="82"/>
        <v>1.6003243636363635E-10</v>
      </c>
      <c r="Y259" s="792">
        <f t="shared" ca="1" si="82"/>
        <v>1.6003243636363635E-10</v>
      </c>
      <c r="Z259" s="792">
        <f t="shared" ca="1" si="82"/>
        <v>1.6003243636363635E-10</v>
      </c>
    </row>
    <row r="260" spans="2:26" outlineLevel="1" x14ac:dyDescent="0.2">
      <c r="B260" s="32" t="s">
        <v>342</v>
      </c>
      <c r="F260" s="48">
        <f>+'Phase II Pro Forma'!F257/1000000</f>
        <v>0</v>
      </c>
      <c r="G260" s="48">
        <f>+'Phase II Pro Forma'!G257/1000000</f>
        <v>0</v>
      </c>
      <c r="H260" s="48">
        <f>+'Phase II Pro Forma'!H257/1000000</f>
        <v>0</v>
      </c>
      <c r="I260" s="48">
        <f ca="1">+'Phase II Pro Forma'!I257/1000000</f>
        <v>1.6003243636363635E-10</v>
      </c>
      <c r="J260" s="48">
        <f>+'Phase II Pro Forma'!J257/1000000</f>
        <v>0</v>
      </c>
      <c r="K260" s="48">
        <f>+'Phase II Pro Forma'!K257/1000000</f>
        <v>0</v>
      </c>
      <c r="L260" s="48">
        <f>+'Phase II Pro Forma'!L257/1000000</f>
        <v>0</v>
      </c>
      <c r="M260" s="48">
        <f>+'Phase II Pro Forma'!M257/1000000</f>
        <v>0</v>
      </c>
      <c r="N260" s="48">
        <f>+'Phase II Pro Forma'!N257/1000000</f>
        <v>0</v>
      </c>
      <c r="O260" s="48">
        <f>+'Phase II Pro Forma'!O257/1000000</f>
        <v>0</v>
      </c>
      <c r="P260" s="48">
        <f>+'Phase II Pro Forma'!P257/1000000</f>
        <v>0</v>
      </c>
      <c r="Q260" s="48">
        <f>+'Phase II Pro Forma'!Q257/1000000</f>
        <v>0</v>
      </c>
      <c r="R260" s="48">
        <f>+'Phase II Pro Forma'!R257/1000000</f>
        <v>0</v>
      </c>
      <c r="S260" s="48">
        <f>+'Phase II Pro Forma'!S257/1000000</f>
        <v>0</v>
      </c>
      <c r="T260" s="48">
        <f>+'Phase II Pro Forma'!T257/1000000</f>
        <v>0</v>
      </c>
      <c r="U260" s="48">
        <f>+'Phase II Pro Forma'!U257/1000000</f>
        <v>0</v>
      </c>
      <c r="V260" s="48">
        <f>+'Phase II Pro Forma'!V257/1000000</f>
        <v>0</v>
      </c>
      <c r="W260" s="48">
        <f>+'Phase II Pro Forma'!W257/1000000</f>
        <v>0</v>
      </c>
      <c r="X260" s="48">
        <f>+'Phase II Pro Forma'!X257/1000000</f>
        <v>0</v>
      </c>
      <c r="Y260" s="48">
        <f>+'Phase II Pro Forma'!Y257/1000000</f>
        <v>0</v>
      </c>
      <c r="Z260" s="48">
        <f>+'Phase II Pro Forma'!Z257/1000000</f>
        <v>0</v>
      </c>
    </row>
    <row r="261" spans="2:26" outlineLevel="1" x14ac:dyDescent="0.2">
      <c r="B261" s="32" t="s">
        <v>162</v>
      </c>
      <c r="F261" s="772">
        <f>+'Phase II Pro Forma'!F258/1000000</f>
        <v>0</v>
      </c>
      <c r="G261" s="772">
        <f>+'Phase II Pro Forma'!G258/1000000</f>
        <v>0</v>
      </c>
      <c r="H261" s="772">
        <f>+'Phase II Pro Forma'!H258/1000000</f>
        <v>0</v>
      </c>
      <c r="I261" s="772">
        <f>+'Phase II Pro Forma'!I258/1000000</f>
        <v>0</v>
      </c>
      <c r="J261" s="772">
        <f>+'Phase II Pro Forma'!J258/1000000</f>
        <v>0</v>
      </c>
      <c r="K261" s="772">
        <f>+'Phase II Pro Forma'!K258/1000000</f>
        <v>0</v>
      </c>
      <c r="L261" s="772">
        <f>+'Phase II Pro Forma'!L258/1000000</f>
        <v>0</v>
      </c>
      <c r="M261" s="772">
        <f>+'Phase II Pro Forma'!M258/1000000</f>
        <v>0</v>
      </c>
      <c r="N261" s="772">
        <f>+'Phase II Pro Forma'!N258/1000000</f>
        <v>0</v>
      </c>
      <c r="O261" s="772">
        <f>+'Phase II Pro Forma'!O258/1000000</f>
        <v>0</v>
      </c>
      <c r="P261" s="772">
        <f>+'Phase II Pro Forma'!P258/1000000</f>
        <v>0</v>
      </c>
      <c r="Q261" s="772">
        <f>+'Phase II Pro Forma'!Q258/1000000</f>
        <v>0</v>
      </c>
      <c r="R261" s="772">
        <f>+'Phase II Pro Forma'!R258/1000000</f>
        <v>0</v>
      </c>
      <c r="S261" s="772">
        <f>+'Phase II Pro Forma'!S258/1000000</f>
        <v>0</v>
      </c>
      <c r="T261" s="772">
        <f>+'Phase II Pro Forma'!T258/1000000</f>
        <v>0</v>
      </c>
      <c r="U261" s="772">
        <f>+'Phase II Pro Forma'!U258/1000000</f>
        <v>0</v>
      </c>
      <c r="V261" s="772">
        <f>+'Phase II Pro Forma'!V258/1000000</f>
        <v>0</v>
      </c>
      <c r="W261" s="772">
        <f>+'Phase II Pro Forma'!W258/1000000</f>
        <v>0</v>
      </c>
      <c r="X261" s="772">
        <f>+'Phase II Pro Forma'!X258/1000000</f>
        <v>0</v>
      </c>
      <c r="Y261" s="772">
        <f>+'Phase II Pro Forma'!Y258/1000000</f>
        <v>0</v>
      </c>
      <c r="Z261" s="772">
        <f>+'Phase II Pro Forma'!Z258/1000000</f>
        <v>0</v>
      </c>
    </row>
    <row r="262" spans="2:26" outlineLevel="1" x14ac:dyDescent="0.2">
      <c r="B262" s="32" t="s">
        <v>785</v>
      </c>
      <c r="F262" s="772">
        <f t="shared" ref="F262:N262" si="83">+SUM(F259:F261)</f>
        <v>0</v>
      </c>
      <c r="G262" s="772">
        <f t="shared" si="83"/>
        <v>0</v>
      </c>
      <c r="H262" s="772">
        <f t="shared" si="83"/>
        <v>0</v>
      </c>
      <c r="I262" s="772">
        <f t="shared" ca="1" si="83"/>
        <v>1.6003243636363635E-10</v>
      </c>
      <c r="J262" s="772">
        <f t="shared" ca="1" si="83"/>
        <v>1.6003243636363635E-10</v>
      </c>
      <c r="K262" s="772">
        <f t="shared" ca="1" si="83"/>
        <v>1.6003243636363635E-10</v>
      </c>
      <c r="L262" s="772">
        <f t="shared" ca="1" si="83"/>
        <v>1.6003243636363635E-10</v>
      </c>
      <c r="M262" s="772">
        <f t="shared" ca="1" si="83"/>
        <v>1.6003243636363635E-10</v>
      </c>
      <c r="N262" s="772">
        <f t="shared" ca="1" si="83"/>
        <v>1.6003243636363635E-10</v>
      </c>
      <c r="O262" s="772">
        <f t="shared" ref="O262" ca="1" si="84">+SUM(O259:O261)</f>
        <v>1.6003243636363635E-10</v>
      </c>
      <c r="P262" s="772">
        <f t="shared" ref="P262:Z262" ca="1" si="85">+SUM(P259:P261)</f>
        <v>1.6003243636363635E-10</v>
      </c>
      <c r="Q262" s="772">
        <f t="shared" ca="1" si="85"/>
        <v>1.6003243636363635E-10</v>
      </c>
      <c r="R262" s="772">
        <f t="shared" ca="1" si="85"/>
        <v>1.6003243636363635E-10</v>
      </c>
      <c r="S262" s="772">
        <f t="shared" ca="1" si="85"/>
        <v>1.6003243636363635E-10</v>
      </c>
      <c r="T262" s="772">
        <f t="shared" ca="1" si="85"/>
        <v>1.6003243636363635E-10</v>
      </c>
      <c r="U262" s="772">
        <f t="shared" ca="1" si="85"/>
        <v>1.6003243636363635E-10</v>
      </c>
      <c r="V262" s="772">
        <f t="shared" ca="1" si="85"/>
        <v>1.6003243636363635E-10</v>
      </c>
      <c r="W262" s="772">
        <f t="shared" ca="1" si="85"/>
        <v>1.6003243636363635E-10</v>
      </c>
      <c r="X262" s="772">
        <f t="shared" ca="1" si="85"/>
        <v>1.6003243636363635E-10</v>
      </c>
      <c r="Y262" s="772">
        <f t="shared" ca="1" si="85"/>
        <v>1.6003243636363635E-10</v>
      </c>
      <c r="Z262" s="772">
        <f t="shared" ca="1" si="85"/>
        <v>1.6003243636363635E-10</v>
      </c>
    </row>
    <row r="263" spans="2:26" ht="5" customHeight="1" outlineLevel="1" x14ac:dyDescent="0.2"/>
    <row r="264" spans="2:26" outlineLevel="1" x14ac:dyDescent="0.2">
      <c r="B264" s="40" t="s">
        <v>332</v>
      </c>
      <c r="F264" s="48">
        <f>+'Phase II Pro Forma'!F261/1000000</f>
        <v>0</v>
      </c>
      <c r="G264" s="48">
        <f>+'Phase II Pro Forma'!G261/1000000</f>
        <v>0</v>
      </c>
      <c r="H264" s="48">
        <f>+'Phase II Pro Forma'!H261/1000000</f>
        <v>0</v>
      </c>
      <c r="I264" s="48">
        <f ca="1">+'Phase II Pro Forma'!I261/1000000</f>
        <v>8.8017840000000004E-12</v>
      </c>
      <c r="J264" s="48">
        <f ca="1">+'Phase II Pro Forma'!J261/1000000</f>
        <v>8.8017840000000004E-12</v>
      </c>
      <c r="K264" s="48">
        <f ca="1">+'Phase II Pro Forma'!K261/1000000</f>
        <v>8.8017840000000004E-12</v>
      </c>
      <c r="L264" s="48">
        <f ca="1">+'Phase II Pro Forma'!L261/1000000</f>
        <v>8.8017840000000004E-12</v>
      </c>
      <c r="M264" s="48">
        <f ca="1">+'Phase II Pro Forma'!M261/1000000</f>
        <v>8.8017840000000004E-12</v>
      </c>
      <c r="N264" s="48">
        <f ca="1">+'Phase II Pro Forma'!N261/1000000</f>
        <v>8.8017840000000004E-12</v>
      </c>
      <c r="O264" s="48">
        <f ca="1">+'Phase II Pro Forma'!O261/1000000</f>
        <v>8.8017840000000004E-12</v>
      </c>
      <c r="P264" s="48">
        <f ca="1">+'Phase II Pro Forma'!P261/1000000</f>
        <v>8.8017840000000004E-12</v>
      </c>
      <c r="Q264" s="48">
        <f ca="1">+'Phase II Pro Forma'!Q261/1000000</f>
        <v>8.8017840000000004E-12</v>
      </c>
      <c r="R264" s="48">
        <f ca="1">+'Phase II Pro Forma'!R261/1000000</f>
        <v>8.8017840000000004E-12</v>
      </c>
      <c r="S264" s="48">
        <f ca="1">+'Phase II Pro Forma'!S261/1000000</f>
        <v>8.8017840000000004E-12</v>
      </c>
      <c r="T264" s="48">
        <f ca="1">+'Phase II Pro Forma'!T261/1000000</f>
        <v>8.8017840000000004E-12</v>
      </c>
      <c r="U264" s="48">
        <f ca="1">+'Phase II Pro Forma'!U261/1000000</f>
        <v>8.8017840000000004E-12</v>
      </c>
      <c r="V264" s="48">
        <f ca="1">+'Phase II Pro Forma'!V261/1000000</f>
        <v>8.8017840000000004E-12</v>
      </c>
      <c r="W264" s="48">
        <f ca="1">+'Phase II Pro Forma'!W261/1000000</f>
        <v>8.8017840000000004E-12</v>
      </c>
      <c r="X264" s="48">
        <f ca="1">+'Phase II Pro Forma'!X261/1000000</f>
        <v>8.8017840000000004E-12</v>
      </c>
      <c r="Y264" s="48">
        <f ca="1">+'Phase II Pro Forma'!Y261/1000000</f>
        <v>8.8017840000000004E-12</v>
      </c>
      <c r="Z264" s="48">
        <f ca="1">+'Phase II Pro Forma'!Z261/1000000</f>
        <v>8.8017840000000004E-12</v>
      </c>
    </row>
    <row r="265" spans="2:26" outlineLevel="1" x14ac:dyDescent="0.2">
      <c r="B265" s="136" t="s">
        <v>341</v>
      </c>
      <c r="C265" s="136"/>
      <c r="D265" s="136"/>
      <c r="E265" s="136"/>
      <c r="F265" s="773">
        <f t="shared" ref="F265:K265" si="86">+F264-F261</f>
        <v>0</v>
      </c>
      <c r="G265" s="773">
        <f t="shared" si="86"/>
        <v>0</v>
      </c>
      <c r="H265" s="773">
        <f t="shared" si="86"/>
        <v>0</v>
      </c>
      <c r="I265" s="773">
        <f t="shared" ca="1" si="86"/>
        <v>8.8017840000000004E-12</v>
      </c>
      <c r="J265" s="773">
        <f t="shared" ca="1" si="86"/>
        <v>8.8017840000000004E-12</v>
      </c>
      <c r="K265" s="773">
        <f t="shared" ca="1" si="86"/>
        <v>8.8017840000000004E-12</v>
      </c>
      <c r="L265" s="773">
        <f ca="1">+L264-L261</f>
        <v>8.8017840000000004E-12</v>
      </c>
      <c r="M265" s="773">
        <f t="shared" ref="M265:Z265" ca="1" si="87">+M264-M261</f>
        <v>8.8017840000000004E-12</v>
      </c>
      <c r="N265" s="773">
        <f t="shared" ca="1" si="87"/>
        <v>8.8017840000000004E-12</v>
      </c>
      <c r="O265" s="773">
        <f t="shared" ca="1" si="87"/>
        <v>8.8017840000000004E-12</v>
      </c>
      <c r="P265" s="773">
        <f t="shared" ca="1" si="87"/>
        <v>8.8017840000000004E-12</v>
      </c>
      <c r="Q265" s="773">
        <f t="shared" ca="1" si="87"/>
        <v>8.8017840000000004E-12</v>
      </c>
      <c r="R265" s="773">
        <f t="shared" ca="1" si="87"/>
        <v>8.8017840000000004E-12</v>
      </c>
      <c r="S265" s="773">
        <f t="shared" ca="1" si="87"/>
        <v>8.8017840000000004E-12</v>
      </c>
      <c r="T265" s="773">
        <f t="shared" ca="1" si="87"/>
        <v>8.8017840000000004E-12</v>
      </c>
      <c r="U265" s="773">
        <f t="shared" ca="1" si="87"/>
        <v>8.8017840000000004E-12</v>
      </c>
      <c r="V265" s="773">
        <f t="shared" ca="1" si="87"/>
        <v>8.8017840000000004E-12</v>
      </c>
      <c r="W265" s="773">
        <f t="shared" ca="1" si="87"/>
        <v>8.8017840000000004E-12</v>
      </c>
      <c r="X265" s="773">
        <f t="shared" ca="1" si="87"/>
        <v>8.8017840000000004E-12</v>
      </c>
      <c r="Y265" s="773">
        <f t="shared" ca="1" si="87"/>
        <v>8.8017840000000004E-12</v>
      </c>
      <c r="Z265" s="773">
        <f t="shared" ca="1" si="87"/>
        <v>8.8017840000000004E-12</v>
      </c>
    </row>
    <row r="266" spans="2:26" outlineLevel="1" x14ac:dyDescent="0.2">
      <c r="B266" s="145" t="s">
        <v>181</v>
      </c>
      <c r="F266" s="178" t="str">
        <f t="shared" ref="F266:J266" ca="1" si="88">+IFERROR(F254/F265,"")</f>
        <v/>
      </c>
      <c r="G266" s="178" t="str">
        <f t="shared" ca="1" si="88"/>
        <v/>
      </c>
      <c r="H266" s="178" t="str">
        <f t="shared" ca="1" si="88"/>
        <v/>
      </c>
      <c r="I266" s="178">
        <f t="shared" ca="1" si="88"/>
        <v>0.66666666666666663</v>
      </c>
      <c r="J266" s="178">
        <f t="shared" ca="1" si="88"/>
        <v>1.3333333333333333</v>
      </c>
      <c r="K266" s="178">
        <f ca="1">+IFERROR(K254/K265,"")</f>
        <v>1.3333333333333333</v>
      </c>
      <c r="L266" s="178">
        <f t="shared" ref="L266:Z266" ca="1" si="89">+IFERROR(L254/L265,"")</f>
        <v>1.4666666666666668</v>
      </c>
      <c r="M266" s="178">
        <f t="shared" ca="1" si="89"/>
        <v>1.4666666666666666</v>
      </c>
      <c r="N266" s="178">
        <f t="shared" ca="1" si="89"/>
        <v>1.4666666666666668</v>
      </c>
      <c r="O266" s="178">
        <f t="shared" ca="1" si="89"/>
        <v>1.4666666666666668</v>
      </c>
      <c r="P266" s="178">
        <f t="shared" ca="1" si="89"/>
        <v>1.4666666666666666</v>
      </c>
      <c r="Q266" s="178">
        <f t="shared" ca="1" si="89"/>
        <v>1.6133333333333337</v>
      </c>
      <c r="R266" s="178">
        <f t="shared" ca="1" si="89"/>
        <v>1.6133333333333333</v>
      </c>
      <c r="S266" s="178">
        <f t="shared" ca="1" si="89"/>
        <v>1.6133333333333337</v>
      </c>
      <c r="T266" s="178">
        <f t="shared" ca="1" si="89"/>
        <v>1.613333333333334</v>
      </c>
      <c r="U266" s="178">
        <f t="shared" ca="1" si="89"/>
        <v>1.6133333333333333</v>
      </c>
      <c r="V266" s="178">
        <f t="shared" ca="1" si="89"/>
        <v>1.7746666666666668</v>
      </c>
      <c r="W266" s="178">
        <f t="shared" ca="1" si="89"/>
        <v>1.7746666666666668</v>
      </c>
      <c r="X266" s="178">
        <f t="shared" ca="1" si="89"/>
        <v>1.7746666666666668</v>
      </c>
      <c r="Y266" s="178">
        <f t="shared" ca="1" si="89"/>
        <v>1.7746666666666668</v>
      </c>
      <c r="Z266" s="178">
        <f t="shared" ca="1" si="89"/>
        <v>1.7746666666666668</v>
      </c>
    </row>
    <row r="267" spans="2:26" ht="5" customHeight="1" outlineLevel="1" x14ac:dyDescent="0.2"/>
    <row r="268" spans="2:26" outlineLevel="1" x14ac:dyDescent="0.2">
      <c r="B268" s="40" t="s">
        <v>156</v>
      </c>
      <c r="F268" s="48">
        <f>+'Phase II Pro Forma'!F265/1000000</f>
        <v>0</v>
      </c>
      <c r="G268" s="48">
        <f>+'Phase II Pro Forma'!G265/1000000</f>
        <v>0</v>
      </c>
      <c r="H268" s="48">
        <f>+'Phase II Pro Forma'!H265/1000000</f>
        <v>0</v>
      </c>
      <c r="I268" s="48">
        <f ca="1">+'Phase II Pro Forma'!I265/1000000</f>
        <v>1.2002432727272726E-12</v>
      </c>
      <c r="J268" s="48">
        <f>+'Phase II Pro Forma'!J265/1000000</f>
        <v>0</v>
      </c>
      <c r="K268" s="48">
        <f>+'Phase II Pro Forma'!K265/1000000</f>
        <v>0</v>
      </c>
      <c r="L268" s="48">
        <f>+'Phase II Pro Forma'!L265/1000000</f>
        <v>0</v>
      </c>
      <c r="M268" s="48">
        <f>+'Phase II Pro Forma'!M265/1000000</f>
        <v>0</v>
      </c>
      <c r="N268" s="48">
        <f>+'Phase II Pro Forma'!N265/1000000</f>
        <v>0</v>
      </c>
      <c r="O268" s="48">
        <f>+'Phase II Pro Forma'!O265/1000000</f>
        <v>0</v>
      </c>
      <c r="P268" s="48">
        <f>+'Phase II Pro Forma'!P265/1000000</f>
        <v>0</v>
      </c>
      <c r="Q268" s="48">
        <f>+'Phase II Pro Forma'!Q265/1000000</f>
        <v>0</v>
      </c>
      <c r="R268" s="48">
        <f>+'Phase II Pro Forma'!R265/1000000</f>
        <v>0</v>
      </c>
      <c r="S268" s="48">
        <f>+'Phase II Pro Forma'!S265/1000000</f>
        <v>0</v>
      </c>
      <c r="T268" s="48">
        <f>+'Phase II Pro Forma'!T265/1000000</f>
        <v>0</v>
      </c>
      <c r="U268" s="48">
        <f>+'Phase II Pro Forma'!U265/1000000</f>
        <v>0</v>
      </c>
      <c r="V268" s="48">
        <f>+'Phase II Pro Forma'!V265/1000000</f>
        <v>0</v>
      </c>
      <c r="W268" s="48">
        <f>+'Phase II Pro Forma'!W265/1000000</f>
        <v>0</v>
      </c>
      <c r="X268" s="48">
        <f>+'Phase II Pro Forma'!X265/1000000</f>
        <v>0</v>
      </c>
      <c r="Y268" s="48">
        <f>+'Phase II Pro Forma'!Y265/1000000</f>
        <v>0</v>
      </c>
      <c r="Z268" s="48">
        <f>+'Phase II Pro Forma'!Z265/1000000</f>
        <v>0</v>
      </c>
    </row>
    <row r="269" spans="2:26" ht="5" customHeight="1" outlineLevel="1" x14ac:dyDescent="0.2"/>
    <row r="270" spans="2:26" outlineLevel="1" x14ac:dyDescent="0.2">
      <c r="B270" s="136" t="s">
        <v>334</v>
      </c>
      <c r="C270" s="136"/>
      <c r="D270" s="136"/>
      <c r="E270" s="136"/>
      <c r="F270" s="773">
        <f ca="1">+F254-F265-F268</f>
        <v>0</v>
      </c>
      <c r="G270" s="773">
        <f t="shared" ref="G270:Z270" ca="1" si="90">+G254-G265-G268</f>
        <v>0</v>
      </c>
      <c r="H270" s="773">
        <f t="shared" ca="1" si="90"/>
        <v>0</v>
      </c>
      <c r="I270" s="773">
        <f t="shared" ca="1" si="90"/>
        <v>-4.1341712727272731E-12</v>
      </c>
      <c r="J270" s="773">
        <f t="shared" ca="1" si="90"/>
        <v>2.933927999999999E-12</v>
      </c>
      <c r="K270" s="773">
        <f t="shared" ca="1" si="90"/>
        <v>2.933927999999999E-12</v>
      </c>
      <c r="L270" s="773">
        <f t="shared" ca="1" si="90"/>
        <v>4.1074992000000016E-12</v>
      </c>
      <c r="M270" s="773">
        <f t="shared" ca="1" si="90"/>
        <v>4.1074992E-12</v>
      </c>
      <c r="N270" s="773">
        <f t="shared" ca="1" si="90"/>
        <v>4.1074992000000016E-12</v>
      </c>
      <c r="O270" s="773">
        <f t="shared" ca="1" si="90"/>
        <v>4.1074992000000016E-12</v>
      </c>
      <c r="P270" s="773">
        <f t="shared" ca="1" si="90"/>
        <v>4.1074992E-12</v>
      </c>
      <c r="Q270" s="773">
        <f t="shared" ca="1" si="90"/>
        <v>5.3984275200000032E-12</v>
      </c>
      <c r="R270" s="773">
        <f t="shared" ca="1" si="90"/>
        <v>5.39842752E-12</v>
      </c>
      <c r="S270" s="773">
        <f t="shared" ca="1" si="90"/>
        <v>5.3984275200000032E-12</v>
      </c>
      <c r="T270" s="773">
        <f t="shared" ca="1" si="90"/>
        <v>5.3984275200000048E-12</v>
      </c>
      <c r="U270" s="773">
        <f t="shared" ca="1" si="90"/>
        <v>5.39842752E-12</v>
      </c>
      <c r="V270" s="773">
        <f t="shared" ca="1" si="90"/>
        <v>6.8184486720000025E-12</v>
      </c>
      <c r="W270" s="773">
        <f t="shared" ca="1" si="90"/>
        <v>6.8184486720000025E-12</v>
      </c>
      <c r="X270" s="773">
        <f t="shared" ca="1" si="90"/>
        <v>6.8184486720000025E-12</v>
      </c>
      <c r="Y270" s="773">
        <f t="shared" ca="1" si="90"/>
        <v>6.8184486720000025E-12</v>
      </c>
      <c r="Z270" s="773">
        <f t="shared" ca="1" si="90"/>
        <v>6.8184486720000025E-12</v>
      </c>
    </row>
    <row r="271" spans="2:26" ht="5" customHeight="1" outlineLevel="1" x14ac:dyDescent="0.2"/>
    <row r="272" spans="2:26" outlineLevel="1" x14ac:dyDescent="0.2">
      <c r="B272" s="147" t="s">
        <v>335</v>
      </c>
    </row>
    <row r="273" spans="2:26" outlineLevel="1" x14ac:dyDescent="0.2">
      <c r="B273" s="32" t="s">
        <v>336</v>
      </c>
      <c r="F273" s="48">
        <f>+'Phase II Pro Forma'!F270/1000000</f>
        <v>0</v>
      </c>
      <c r="G273" s="48">
        <f>+'Phase II Pro Forma'!G270/1000000</f>
        <v>0</v>
      </c>
      <c r="H273" s="48">
        <f>+'Phase II Pro Forma'!H270/1000000</f>
        <v>0</v>
      </c>
      <c r="I273" s="48">
        <f>+'Phase II Pro Forma'!I270/1000000</f>
        <v>0</v>
      </c>
      <c r="J273" s="48">
        <f>+'Phase II Pro Forma'!J270/1000000</f>
        <v>0</v>
      </c>
      <c r="K273" s="48">
        <f>+'Phase II Pro Forma'!K270/1000000</f>
        <v>0</v>
      </c>
      <c r="L273" s="48">
        <f>+'Phase II Pro Forma'!L270/1000000</f>
        <v>0</v>
      </c>
      <c r="M273" s="48">
        <f>+'Phase II Pro Forma'!M270/1000000</f>
        <v>0</v>
      </c>
      <c r="N273" s="48">
        <f ca="1">+'Phase II Pro Forma'!N270/1000000</f>
        <v>2.3471424000000003E-10</v>
      </c>
      <c r="O273" s="48">
        <f>+'Phase II Pro Forma'!O270/1000000</f>
        <v>0</v>
      </c>
      <c r="P273" s="48">
        <f>+'Phase II Pro Forma'!P270/1000000</f>
        <v>0</v>
      </c>
      <c r="Q273" s="48">
        <f>+'Phase II Pro Forma'!Q270/1000000</f>
        <v>0</v>
      </c>
      <c r="R273" s="48">
        <f>+'Phase II Pro Forma'!R270/1000000</f>
        <v>0</v>
      </c>
      <c r="S273" s="48">
        <f>+'Phase II Pro Forma'!S270/1000000</f>
        <v>0</v>
      </c>
      <c r="T273" s="48">
        <f>+'Phase II Pro Forma'!T270/1000000</f>
        <v>0</v>
      </c>
      <c r="U273" s="48">
        <f>+'Phase II Pro Forma'!U270/1000000</f>
        <v>0</v>
      </c>
      <c r="V273" s="48">
        <f>+'Phase II Pro Forma'!V270/1000000</f>
        <v>0</v>
      </c>
      <c r="W273" s="48">
        <f>+'Phase II Pro Forma'!W270/1000000</f>
        <v>0</v>
      </c>
      <c r="X273" s="48">
        <f>+'Phase II Pro Forma'!X270/1000000</f>
        <v>0</v>
      </c>
      <c r="Y273" s="48">
        <f>+'Phase II Pro Forma'!Y270/1000000</f>
        <v>0</v>
      </c>
      <c r="Z273" s="48">
        <f>+'Phase II Pro Forma'!Z270/1000000</f>
        <v>0</v>
      </c>
    </row>
    <row r="274" spans="2:26" outlineLevel="1" x14ac:dyDescent="0.2">
      <c r="B274" s="32" t="s">
        <v>337</v>
      </c>
      <c r="F274" s="772">
        <f>+'Phase II Pro Forma'!F271/1000000</f>
        <v>0</v>
      </c>
      <c r="G274" s="772">
        <f>+'Phase II Pro Forma'!G271/1000000</f>
        <v>0</v>
      </c>
      <c r="H274" s="772">
        <f>+'Phase II Pro Forma'!H271/1000000</f>
        <v>0</v>
      </c>
      <c r="I274" s="772">
        <f>+'Phase II Pro Forma'!I271/1000000</f>
        <v>0</v>
      </c>
      <c r="J274" s="772">
        <f>+'Phase II Pro Forma'!J271/1000000</f>
        <v>0</v>
      </c>
      <c r="K274" s="772">
        <f>+'Phase II Pro Forma'!K271/1000000</f>
        <v>0</v>
      </c>
      <c r="L274" s="772">
        <f>+'Phase II Pro Forma'!L271/1000000</f>
        <v>0</v>
      </c>
      <c r="M274" s="772">
        <f>+'Phase II Pro Forma'!M271/1000000</f>
        <v>0</v>
      </c>
      <c r="N274" s="772">
        <f ca="1">+'Phase II Pro Forma'!N271/1000000</f>
        <v>-4.6942848000000012E-12</v>
      </c>
      <c r="O274" s="772">
        <f>+'Phase II Pro Forma'!O271/1000000</f>
        <v>0</v>
      </c>
      <c r="P274" s="772">
        <f>+'Phase II Pro Forma'!P271/1000000</f>
        <v>0</v>
      </c>
      <c r="Q274" s="772">
        <f>+'Phase II Pro Forma'!Q271/1000000</f>
        <v>0</v>
      </c>
      <c r="R274" s="772">
        <f>+'Phase II Pro Forma'!R271/1000000</f>
        <v>0</v>
      </c>
      <c r="S274" s="772">
        <f>+'Phase II Pro Forma'!S271/1000000</f>
        <v>0</v>
      </c>
      <c r="T274" s="772">
        <f>+'Phase II Pro Forma'!T271/1000000</f>
        <v>0</v>
      </c>
      <c r="U274" s="772">
        <f>+'Phase II Pro Forma'!U271/1000000</f>
        <v>0</v>
      </c>
      <c r="V274" s="772">
        <f>+'Phase II Pro Forma'!V271/1000000</f>
        <v>0</v>
      </c>
      <c r="W274" s="772">
        <f>+'Phase II Pro Forma'!W271/1000000</f>
        <v>0</v>
      </c>
      <c r="X274" s="772">
        <f>+'Phase II Pro Forma'!X271/1000000</f>
        <v>0</v>
      </c>
      <c r="Y274" s="772">
        <f>+'Phase II Pro Forma'!Y271/1000000</f>
        <v>0</v>
      </c>
      <c r="Z274" s="772">
        <f>+'Phase II Pro Forma'!Z271/1000000</f>
        <v>0</v>
      </c>
    </row>
    <row r="275" spans="2:26" outlineLevel="1" x14ac:dyDescent="0.2">
      <c r="B275" s="32" t="s">
        <v>338</v>
      </c>
      <c r="F275" s="772">
        <f>+'Phase II Pro Forma'!F272/1000000</f>
        <v>0</v>
      </c>
      <c r="G275" s="772">
        <f>+'Phase II Pro Forma'!G272/1000000</f>
        <v>0</v>
      </c>
      <c r="H275" s="772">
        <f>+'Phase II Pro Forma'!H272/1000000</f>
        <v>0</v>
      </c>
      <c r="I275" s="772">
        <f>+'Phase II Pro Forma'!I272/1000000</f>
        <v>0</v>
      </c>
      <c r="J275" s="772">
        <f>+'Phase II Pro Forma'!J272/1000000</f>
        <v>0</v>
      </c>
      <c r="K275" s="772">
        <f>+'Phase II Pro Forma'!K272/1000000</f>
        <v>0</v>
      </c>
      <c r="L275" s="772">
        <f>+'Phase II Pro Forma'!L272/1000000</f>
        <v>0</v>
      </c>
      <c r="M275" s="772">
        <f>+'Phase II Pro Forma'!M272/1000000</f>
        <v>0</v>
      </c>
      <c r="N275" s="772">
        <f ca="1">+'Phase II Pro Forma'!N272/1000000</f>
        <v>-1.6003243636363635E-10</v>
      </c>
      <c r="O275" s="772">
        <f>+'Phase II Pro Forma'!O272/1000000</f>
        <v>0</v>
      </c>
      <c r="P275" s="772">
        <f>+'Phase II Pro Forma'!P272/1000000</f>
        <v>0</v>
      </c>
      <c r="Q275" s="772">
        <f>+'Phase II Pro Forma'!Q272/1000000</f>
        <v>0</v>
      </c>
      <c r="R275" s="772">
        <f>+'Phase II Pro Forma'!R272/1000000</f>
        <v>0</v>
      </c>
      <c r="S275" s="772">
        <f>+'Phase II Pro Forma'!S272/1000000</f>
        <v>0</v>
      </c>
      <c r="T275" s="772">
        <f>+'Phase II Pro Forma'!T272/1000000</f>
        <v>0</v>
      </c>
      <c r="U275" s="772">
        <f>+'Phase II Pro Forma'!U272/1000000</f>
        <v>0</v>
      </c>
      <c r="V275" s="772">
        <f>+'Phase II Pro Forma'!V272/1000000</f>
        <v>0</v>
      </c>
      <c r="W275" s="772">
        <f>+'Phase II Pro Forma'!W272/1000000</f>
        <v>0</v>
      </c>
      <c r="X275" s="772">
        <f>+'Phase II Pro Forma'!X272/1000000</f>
        <v>0</v>
      </c>
      <c r="Y275" s="772">
        <f>+'Phase II Pro Forma'!Y272/1000000</f>
        <v>0</v>
      </c>
      <c r="Z275" s="772">
        <f>+'Phase II Pro Forma'!Z272/1000000</f>
        <v>0</v>
      </c>
    </row>
    <row r="276" spans="2:26" outlineLevel="1" x14ac:dyDescent="0.2">
      <c r="B276" s="136" t="s">
        <v>339</v>
      </c>
      <c r="C276" s="136"/>
      <c r="D276" s="136"/>
      <c r="E276" s="136"/>
      <c r="F276" s="773">
        <f t="shared" ref="F276:Z276" si="91">+SUM(F273:F275)</f>
        <v>0</v>
      </c>
      <c r="G276" s="773">
        <f t="shared" si="91"/>
        <v>0</v>
      </c>
      <c r="H276" s="773">
        <f t="shared" si="91"/>
        <v>0</v>
      </c>
      <c r="I276" s="773">
        <f t="shared" si="91"/>
        <v>0</v>
      </c>
      <c r="J276" s="773">
        <f t="shared" si="91"/>
        <v>0</v>
      </c>
      <c r="K276" s="773">
        <f t="shared" si="91"/>
        <v>0</v>
      </c>
      <c r="L276" s="773">
        <f t="shared" si="91"/>
        <v>0</v>
      </c>
      <c r="M276" s="773">
        <f t="shared" si="91"/>
        <v>0</v>
      </c>
      <c r="N276" s="773">
        <f t="shared" ca="1" si="91"/>
        <v>6.9987518836363672E-11</v>
      </c>
      <c r="O276" s="773">
        <f t="shared" si="91"/>
        <v>0</v>
      </c>
      <c r="P276" s="773">
        <f t="shared" si="91"/>
        <v>0</v>
      </c>
      <c r="Q276" s="773">
        <f t="shared" si="91"/>
        <v>0</v>
      </c>
      <c r="R276" s="773">
        <f t="shared" si="91"/>
        <v>0</v>
      </c>
      <c r="S276" s="773">
        <f t="shared" si="91"/>
        <v>0</v>
      </c>
      <c r="T276" s="773">
        <f t="shared" si="91"/>
        <v>0</v>
      </c>
      <c r="U276" s="773">
        <f t="shared" si="91"/>
        <v>0</v>
      </c>
      <c r="V276" s="773">
        <f t="shared" si="91"/>
        <v>0</v>
      </c>
      <c r="W276" s="773">
        <f t="shared" si="91"/>
        <v>0</v>
      </c>
      <c r="X276" s="773">
        <f t="shared" si="91"/>
        <v>0</v>
      </c>
      <c r="Y276" s="773">
        <f t="shared" si="91"/>
        <v>0</v>
      </c>
      <c r="Z276" s="773">
        <f t="shared" si="91"/>
        <v>0</v>
      </c>
    </row>
    <row r="277" spans="2:26" ht="5" customHeight="1" outlineLevel="1" x14ac:dyDescent="0.2"/>
    <row r="278" spans="2:26" outlineLevel="1" x14ac:dyDescent="0.2">
      <c r="B278" s="137" t="s">
        <v>792</v>
      </c>
      <c r="C278" s="137"/>
      <c r="D278" s="137"/>
      <c r="E278" s="137"/>
      <c r="F278" s="774">
        <f ca="1">+'Phase II Pro Forma'!F275/1000000</f>
        <v>0</v>
      </c>
      <c r="G278" s="774">
        <f ca="1">+'Phase II Pro Forma'!G275/1000000</f>
        <v>0</v>
      </c>
      <c r="H278" s="774">
        <f ca="1">+'Phase II Pro Forma'!H275/1000000</f>
        <v>0</v>
      </c>
      <c r="I278" s="774">
        <f ca="1">+'Phase II Pro Forma'!I275/1000000</f>
        <v>-4.1341712727272739E-12</v>
      </c>
      <c r="J278" s="774">
        <f ca="1">+'Phase II Pro Forma'!J275/1000000</f>
        <v>2.933927999999999E-12</v>
      </c>
      <c r="K278" s="774">
        <f ca="1">+'Phase II Pro Forma'!K275/1000000</f>
        <v>2.933927999999999E-12</v>
      </c>
      <c r="L278" s="774">
        <f ca="1">+'Phase II Pro Forma'!L275/1000000</f>
        <v>4.1074992000000016E-12</v>
      </c>
      <c r="M278" s="774">
        <f ca="1">+'Phase II Pro Forma'!M275/1000000</f>
        <v>4.1074992E-12</v>
      </c>
      <c r="N278" s="774">
        <f ca="1">+'Phase II Pro Forma'!N275/1000000</f>
        <v>7.4095018036363662E-11</v>
      </c>
      <c r="O278" s="774">
        <f>+'Phase II Pro Forma'!O275/1000000</f>
        <v>0</v>
      </c>
      <c r="P278" s="774">
        <f>+'Phase II Pro Forma'!P275/1000000</f>
        <v>0</v>
      </c>
      <c r="Q278" s="774">
        <f>+'Phase II Pro Forma'!Q275/1000000</f>
        <v>0</v>
      </c>
      <c r="R278" s="774">
        <f>+'Phase II Pro Forma'!R275/1000000</f>
        <v>0</v>
      </c>
      <c r="S278" s="774">
        <f>+'Phase II Pro Forma'!S275/1000000</f>
        <v>0</v>
      </c>
      <c r="T278" s="774">
        <f>+'Phase II Pro Forma'!T275/1000000</f>
        <v>0</v>
      </c>
      <c r="U278" s="774">
        <f>+'Phase II Pro Forma'!U275/1000000</f>
        <v>0</v>
      </c>
      <c r="V278" s="774">
        <f>+'Phase II Pro Forma'!V275/1000000</f>
        <v>0</v>
      </c>
      <c r="W278" s="774">
        <f>+'Phase II Pro Forma'!W275/1000000</f>
        <v>0</v>
      </c>
      <c r="X278" s="774">
        <f>+'Phase II Pro Forma'!X275/1000000</f>
        <v>0</v>
      </c>
      <c r="Y278" s="774">
        <f>+'Phase II Pro Forma'!Y275/1000000</f>
        <v>0</v>
      </c>
      <c r="Z278" s="774">
        <f>+'Phase II Pro Forma'!Z275/1000000</f>
        <v>0</v>
      </c>
    </row>
    <row r="279" spans="2:26" outlineLevel="1" x14ac:dyDescent="0.2"/>
    <row r="280" spans="2:26" outlineLevel="1" x14ac:dyDescent="0.2">
      <c r="B280" s="137" t="s">
        <v>356</v>
      </c>
      <c r="C280" s="137"/>
      <c r="D280" s="137"/>
      <c r="E280" s="137"/>
      <c r="F280" s="774">
        <f t="shared" ref="F280:Z280" ca="1" si="92">+F278+F233+F163</f>
        <v>0</v>
      </c>
      <c r="G280" s="774">
        <f t="shared" ca="1" si="92"/>
        <v>0</v>
      </c>
      <c r="H280" s="774">
        <f t="shared" ca="1" si="92"/>
        <v>0</v>
      </c>
      <c r="I280" s="774">
        <f t="shared" ca="1" si="92"/>
        <v>18.901765613567786</v>
      </c>
      <c r="J280" s="774">
        <f t="shared" ca="1" si="92"/>
        <v>3.0471949531564033</v>
      </c>
      <c r="K280" s="774">
        <f t="shared" ca="1" si="92"/>
        <v>3.4807736680041819</v>
      </c>
      <c r="L280" s="774">
        <f t="shared" ca="1" si="92"/>
        <v>4.3857327590233828</v>
      </c>
      <c r="M280" s="774">
        <f t="shared" ca="1" si="92"/>
        <v>4.6249668406341433</v>
      </c>
      <c r="N280" s="774">
        <f t="shared" ca="1" si="92"/>
        <v>114.50683595042824</v>
      </c>
      <c r="O280" s="774">
        <f t="shared" si="92"/>
        <v>0</v>
      </c>
      <c r="P280" s="774">
        <f t="shared" si="92"/>
        <v>0</v>
      </c>
      <c r="Q280" s="774">
        <f t="shared" si="92"/>
        <v>0</v>
      </c>
      <c r="R280" s="774">
        <f t="shared" si="92"/>
        <v>0</v>
      </c>
      <c r="S280" s="774">
        <f t="shared" si="92"/>
        <v>0</v>
      </c>
      <c r="T280" s="774">
        <f t="shared" si="92"/>
        <v>0</v>
      </c>
      <c r="U280" s="774">
        <f t="shared" si="92"/>
        <v>0</v>
      </c>
      <c r="V280" s="774">
        <f t="shared" si="92"/>
        <v>0</v>
      </c>
      <c r="W280" s="774">
        <f t="shared" si="92"/>
        <v>0</v>
      </c>
      <c r="X280" s="774">
        <f t="shared" si="92"/>
        <v>0</v>
      </c>
      <c r="Y280" s="774">
        <f t="shared" si="92"/>
        <v>0</v>
      </c>
      <c r="Z280" s="774">
        <f t="shared" si="92"/>
        <v>0</v>
      </c>
    </row>
    <row r="281" spans="2:26" s="793" customFormat="1" hidden="1" x14ac:dyDescent="0.2"/>
    <row r="282" spans="2:26" s="793" customFormat="1" hidden="1" x14ac:dyDescent="0.2">
      <c r="B282" s="793" t="s">
        <v>442</v>
      </c>
      <c r="F282" s="792">
        <f ca="1">+F157+F303</f>
        <v>0</v>
      </c>
      <c r="G282" s="792">
        <f t="shared" ref="G282:Z282" ca="1" si="93">+G157+G303</f>
        <v>73.588298947462533</v>
      </c>
      <c r="H282" s="792">
        <f t="shared" ca="1" si="93"/>
        <v>59.463110661403</v>
      </c>
      <c r="I282" s="792">
        <f t="shared" ca="1" si="93"/>
        <v>24.672690320007653</v>
      </c>
      <c r="J282" s="792">
        <f t="shared" ca="1" si="93"/>
        <v>0</v>
      </c>
      <c r="K282" s="792">
        <f t="shared" ca="1" si="93"/>
        <v>0</v>
      </c>
      <c r="L282" s="792">
        <f t="shared" ca="1" si="93"/>
        <v>0</v>
      </c>
      <c r="M282" s="792">
        <f t="shared" ca="1" si="93"/>
        <v>0</v>
      </c>
      <c r="N282" s="792">
        <f t="shared" ca="1" si="93"/>
        <v>0</v>
      </c>
      <c r="O282" s="792">
        <f t="shared" ca="1" si="93"/>
        <v>0</v>
      </c>
      <c r="P282" s="792">
        <f t="shared" ca="1" si="93"/>
        <v>0</v>
      </c>
      <c r="Q282" s="792">
        <f t="shared" ca="1" si="93"/>
        <v>0</v>
      </c>
      <c r="R282" s="792">
        <f t="shared" ca="1" si="93"/>
        <v>0</v>
      </c>
      <c r="S282" s="792">
        <f t="shared" ca="1" si="93"/>
        <v>0</v>
      </c>
      <c r="T282" s="792">
        <f t="shared" ca="1" si="93"/>
        <v>0</v>
      </c>
      <c r="U282" s="792">
        <f t="shared" ca="1" si="93"/>
        <v>0</v>
      </c>
      <c r="V282" s="792">
        <f t="shared" ca="1" si="93"/>
        <v>0</v>
      </c>
      <c r="W282" s="792">
        <f t="shared" ca="1" si="93"/>
        <v>0</v>
      </c>
      <c r="X282" s="792">
        <f t="shared" ca="1" si="93"/>
        <v>0</v>
      </c>
      <c r="Y282" s="792">
        <f t="shared" ca="1" si="93"/>
        <v>0</v>
      </c>
      <c r="Z282" s="792">
        <f t="shared" ca="1" si="93"/>
        <v>0</v>
      </c>
    </row>
    <row r="283" spans="2:26" s="793" customFormat="1" hidden="1" x14ac:dyDescent="0.2">
      <c r="B283" s="793" t="s">
        <v>501</v>
      </c>
      <c r="F283" s="792">
        <f ca="1">-F275+F265-F230+F220-F159+F148+F223+F151+F268</f>
        <v>0</v>
      </c>
      <c r="G283" s="792">
        <f t="shared" ref="G283:Z283" ca="1" si="94">-G275+G265-G230+G220-G159+G148+G223+G151+G268</f>
        <v>0</v>
      </c>
      <c r="H283" s="792">
        <f t="shared" ca="1" si="94"/>
        <v>0</v>
      </c>
      <c r="I283" s="792">
        <f t="shared" ca="1" si="94"/>
        <v>12.717746969372179</v>
      </c>
      <c r="J283" s="792">
        <f t="shared" ca="1" si="94"/>
        <v>11.438333505984311</v>
      </c>
      <c r="K283" s="792">
        <f t="shared" ca="1" si="94"/>
        <v>11.438333505984311</v>
      </c>
      <c r="L283" s="792">
        <f t="shared" ca="1" si="94"/>
        <v>11.438333505984309</v>
      </c>
      <c r="M283" s="792">
        <f t="shared" ca="1" si="94"/>
        <v>11.438333505984309</v>
      </c>
      <c r="N283" s="792">
        <f t="shared" ca="1" si="94"/>
        <v>159.41991113870415</v>
      </c>
      <c r="O283" s="792">
        <f t="shared" ca="1" si="94"/>
        <v>11.438333505984311</v>
      </c>
      <c r="P283" s="792">
        <f t="shared" ca="1" si="94"/>
        <v>11.438333505984311</v>
      </c>
      <c r="Q283" s="792">
        <f t="shared" ca="1" si="94"/>
        <v>11.438333505984311</v>
      </c>
      <c r="R283" s="792">
        <f t="shared" ca="1" si="94"/>
        <v>11.438333505984311</v>
      </c>
      <c r="S283" s="792">
        <f t="shared" ca="1" si="94"/>
        <v>11.438333505984311</v>
      </c>
      <c r="T283" s="792">
        <f t="shared" ca="1" si="94"/>
        <v>11.438333505984311</v>
      </c>
      <c r="U283" s="792">
        <f t="shared" ca="1" si="94"/>
        <v>11.438333505984309</v>
      </c>
      <c r="V283" s="792">
        <f t="shared" ca="1" si="94"/>
        <v>11.438333505984311</v>
      </c>
      <c r="W283" s="792">
        <f t="shared" ca="1" si="94"/>
        <v>11.438333505984311</v>
      </c>
      <c r="X283" s="792">
        <f t="shared" ca="1" si="94"/>
        <v>11.438333505984309</v>
      </c>
      <c r="Y283" s="792">
        <f t="shared" ca="1" si="94"/>
        <v>11.438333505984309</v>
      </c>
      <c r="Z283" s="792">
        <f t="shared" ca="1" si="94"/>
        <v>11.438333505984309</v>
      </c>
    </row>
    <row r="285" spans="2:26" x14ac:dyDescent="0.2">
      <c r="B285" s="36" t="s">
        <v>346</v>
      </c>
      <c r="C285" s="37"/>
      <c r="D285" s="37"/>
      <c r="E285" s="37"/>
      <c r="F285" s="135">
        <f>+F287</f>
        <v>44926</v>
      </c>
      <c r="G285" s="135">
        <f t="shared" ref="G285:Z285" si="95">+G287</f>
        <v>45291</v>
      </c>
      <c r="H285" s="135">
        <f t="shared" si="95"/>
        <v>45657</v>
      </c>
      <c r="I285" s="135">
        <f t="shared" si="95"/>
        <v>46022</v>
      </c>
      <c r="J285" s="135">
        <f t="shared" si="95"/>
        <v>46387</v>
      </c>
      <c r="K285" s="135">
        <f t="shared" si="95"/>
        <v>46752</v>
      </c>
      <c r="L285" s="135">
        <f t="shared" si="95"/>
        <v>47118</v>
      </c>
      <c r="M285" s="135">
        <f t="shared" si="95"/>
        <v>47483</v>
      </c>
      <c r="N285" s="135">
        <f t="shared" si="95"/>
        <v>47848</v>
      </c>
      <c r="O285" s="135">
        <f t="shared" si="95"/>
        <v>48213</v>
      </c>
      <c r="P285" s="135">
        <f t="shared" si="95"/>
        <v>48579</v>
      </c>
      <c r="Q285" s="135">
        <f t="shared" si="95"/>
        <v>48944</v>
      </c>
      <c r="R285" s="135">
        <f t="shared" si="95"/>
        <v>49309</v>
      </c>
      <c r="S285" s="135">
        <f t="shared" si="95"/>
        <v>49674</v>
      </c>
      <c r="T285" s="135">
        <f t="shared" si="95"/>
        <v>50040</v>
      </c>
      <c r="U285" s="135">
        <f t="shared" si="95"/>
        <v>50405</v>
      </c>
      <c r="V285" s="135">
        <f t="shared" si="95"/>
        <v>50770</v>
      </c>
      <c r="W285" s="135">
        <f t="shared" si="95"/>
        <v>51135</v>
      </c>
      <c r="X285" s="135">
        <f t="shared" si="95"/>
        <v>51501</v>
      </c>
      <c r="Y285" s="135">
        <f t="shared" si="95"/>
        <v>51866</v>
      </c>
      <c r="Z285" s="135">
        <f t="shared" si="95"/>
        <v>52231</v>
      </c>
    </row>
    <row r="286" spans="2:26" hidden="1" x14ac:dyDescent="0.2"/>
    <row r="287" spans="2:26" x14ac:dyDescent="0.2">
      <c r="B287" s="147" t="s">
        <v>345</v>
      </c>
      <c r="C287" s="148"/>
      <c r="D287" s="148"/>
      <c r="E287" s="148"/>
      <c r="F287" s="776">
        <f>+F165</f>
        <v>44926</v>
      </c>
      <c r="G287" s="776">
        <f t="shared" ref="G287:Z287" si="96">+G165</f>
        <v>45291</v>
      </c>
      <c r="H287" s="776">
        <f t="shared" si="96"/>
        <v>45657</v>
      </c>
      <c r="I287" s="776">
        <f t="shared" si="96"/>
        <v>46022</v>
      </c>
      <c r="J287" s="776">
        <f t="shared" si="96"/>
        <v>46387</v>
      </c>
      <c r="K287" s="776">
        <f t="shared" si="96"/>
        <v>46752</v>
      </c>
      <c r="L287" s="776">
        <f t="shared" si="96"/>
        <v>47118</v>
      </c>
      <c r="M287" s="776">
        <f t="shared" si="96"/>
        <v>47483</v>
      </c>
      <c r="N287" s="776">
        <f t="shared" si="96"/>
        <v>47848</v>
      </c>
      <c r="O287" s="776">
        <f t="shared" si="96"/>
        <v>48213</v>
      </c>
      <c r="P287" s="776">
        <f t="shared" si="96"/>
        <v>48579</v>
      </c>
      <c r="Q287" s="776">
        <f t="shared" si="96"/>
        <v>48944</v>
      </c>
      <c r="R287" s="776">
        <f t="shared" si="96"/>
        <v>49309</v>
      </c>
      <c r="S287" s="776">
        <f t="shared" si="96"/>
        <v>49674</v>
      </c>
      <c r="T287" s="776">
        <f t="shared" si="96"/>
        <v>50040</v>
      </c>
      <c r="U287" s="776">
        <f t="shared" si="96"/>
        <v>50405</v>
      </c>
      <c r="V287" s="776">
        <f t="shared" si="96"/>
        <v>50770</v>
      </c>
      <c r="W287" s="776">
        <f t="shared" si="96"/>
        <v>51135</v>
      </c>
      <c r="X287" s="776">
        <f t="shared" si="96"/>
        <v>51501</v>
      </c>
      <c r="Y287" s="776">
        <f t="shared" si="96"/>
        <v>51866</v>
      </c>
      <c r="Z287" s="776">
        <f t="shared" si="96"/>
        <v>52231</v>
      </c>
    </row>
    <row r="288" spans="2:26" x14ac:dyDescent="0.2">
      <c r="B288" s="32" t="s">
        <v>61</v>
      </c>
      <c r="D288" s="47">
        <f>+SUM(F288:Z288)</f>
        <v>0.8189731071428572</v>
      </c>
      <c r="E288" s="47"/>
      <c r="F288" s="48">
        <f>+'Phase II Pro Forma'!F285/1000000</f>
        <v>0.8189731071428572</v>
      </c>
      <c r="G288" s="48">
        <f>+'Phase II Pro Forma'!G285/1000000</f>
        <v>0</v>
      </c>
      <c r="H288" s="48">
        <f>+'Phase II Pro Forma'!H285/1000000</f>
        <v>0</v>
      </c>
      <c r="I288" s="48">
        <f>+'Phase II Pro Forma'!I285/1000000</f>
        <v>0</v>
      </c>
      <c r="J288" s="48">
        <f>+'Phase II Pro Forma'!J285/1000000</f>
        <v>0</v>
      </c>
      <c r="K288" s="48">
        <f>+'Phase II Pro Forma'!K285/1000000</f>
        <v>0</v>
      </c>
      <c r="L288" s="48">
        <f>+'Phase II Pro Forma'!L285/1000000</f>
        <v>0</v>
      </c>
      <c r="M288" s="48">
        <f>+'Phase II Pro Forma'!M285/1000000</f>
        <v>0</v>
      </c>
      <c r="N288" s="48">
        <f>+'Phase II Pro Forma'!N285/1000000</f>
        <v>0</v>
      </c>
      <c r="O288" s="48">
        <f>+'Phase II Pro Forma'!O285/1000000</f>
        <v>0</v>
      </c>
      <c r="P288" s="48">
        <f>+'Phase II Pro Forma'!P285/1000000</f>
        <v>0</v>
      </c>
      <c r="Q288" s="48">
        <f>+'Phase II Pro Forma'!Q285/1000000</f>
        <v>0</v>
      </c>
      <c r="R288" s="48">
        <f>+'Phase II Pro Forma'!R285/1000000</f>
        <v>0</v>
      </c>
      <c r="S288" s="48">
        <f>+'Phase II Pro Forma'!S285/1000000</f>
        <v>0</v>
      </c>
      <c r="T288" s="48">
        <f>+'Phase II Pro Forma'!T285/1000000</f>
        <v>0</v>
      </c>
      <c r="U288" s="48">
        <f>+'Phase II Pro Forma'!U285/1000000</f>
        <v>0</v>
      </c>
      <c r="V288" s="48">
        <f>+'Phase II Pro Forma'!V285/1000000</f>
        <v>0</v>
      </c>
      <c r="W288" s="48">
        <f>+'Phase II Pro Forma'!W285/1000000</f>
        <v>0</v>
      </c>
      <c r="X288" s="48">
        <f>+'Phase II Pro Forma'!X285/1000000</f>
        <v>0</v>
      </c>
      <c r="Y288" s="48">
        <f>+'Phase II Pro Forma'!Y285/1000000</f>
        <v>0</v>
      </c>
      <c r="Z288" s="48">
        <f>+'Phase II Pro Forma'!Z285/1000000</f>
        <v>0</v>
      </c>
    </row>
    <row r="289" spans="1:26" x14ac:dyDescent="0.2">
      <c r="B289" s="32" t="s">
        <v>8</v>
      </c>
      <c r="D289" s="47">
        <f t="shared" ref="D289:D294" si="97">+SUM(F289:Z289)</f>
        <v>10.4611</v>
      </c>
      <c r="E289" s="47"/>
      <c r="F289" s="772">
        <f>+'Phase II Pro Forma'!F286/1000000</f>
        <v>10.4611</v>
      </c>
      <c r="G289" s="772">
        <f>+'Phase II Pro Forma'!G286/1000000</f>
        <v>0</v>
      </c>
      <c r="H289" s="772">
        <f>+'Phase II Pro Forma'!H286/1000000</f>
        <v>0</v>
      </c>
      <c r="I289" s="772">
        <f>+'Phase II Pro Forma'!I286/1000000</f>
        <v>0</v>
      </c>
      <c r="J289" s="772">
        <f>+'Phase II Pro Forma'!J286/1000000</f>
        <v>0</v>
      </c>
      <c r="K289" s="772">
        <f>+'Phase II Pro Forma'!K286/1000000</f>
        <v>0</v>
      </c>
      <c r="L289" s="772">
        <f>+'Phase II Pro Forma'!L286/1000000</f>
        <v>0</v>
      </c>
      <c r="M289" s="772">
        <f>+'Phase II Pro Forma'!M286/1000000</f>
        <v>0</v>
      </c>
      <c r="N289" s="772">
        <f>+'Phase II Pro Forma'!N286/1000000</f>
        <v>0</v>
      </c>
      <c r="O289" s="772">
        <f>+'Phase II Pro Forma'!O286/1000000</f>
        <v>0</v>
      </c>
      <c r="P289" s="772">
        <f>+'Phase II Pro Forma'!P286/1000000</f>
        <v>0</v>
      </c>
      <c r="Q289" s="772">
        <f>+'Phase II Pro Forma'!Q286/1000000</f>
        <v>0</v>
      </c>
      <c r="R289" s="772">
        <f>+'Phase II Pro Forma'!R286/1000000</f>
        <v>0</v>
      </c>
      <c r="S289" s="772">
        <f>+'Phase II Pro Forma'!S286/1000000</f>
        <v>0</v>
      </c>
      <c r="T289" s="772">
        <f>+'Phase II Pro Forma'!T286/1000000</f>
        <v>0</v>
      </c>
      <c r="U289" s="772">
        <f>+'Phase II Pro Forma'!U286/1000000</f>
        <v>0</v>
      </c>
      <c r="V289" s="772">
        <f>+'Phase II Pro Forma'!V286/1000000</f>
        <v>0</v>
      </c>
      <c r="W289" s="772">
        <f>+'Phase II Pro Forma'!W286/1000000</f>
        <v>0</v>
      </c>
      <c r="X289" s="772">
        <f>+'Phase II Pro Forma'!X286/1000000</f>
        <v>0</v>
      </c>
      <c r="Y289" s="772">
        <f>+'Phase II Pro Forma'!Y286/1000000</f>
        <v>0</v>
      </c>
      <c r="Z289" s="772">
        <f>+'Phase II Pro Forma'!Z286/1000000</f>
        <v>0</v>
      </c>
    </row>
    <row r="290" spans="1:26" x14ac:dyDescent="0.2">
      <c r="B290" s="32" t="s">
        <v>57</v>
      </c>
      <c r="D290" s="47">
        <f t="shared" ca="1" si="97"/>
        <v>174.15552998339999</v>
      </c>
      <c r="E290" s="47"/>
      <c r="F290" s="772">
        <f>+'Phase II Pro Forma'!F287/1000000</f>
        <v>0</v>
      </c>
      <c r="G290" s="772">
        <f ca="1">+'Phase II Pro Forma'!G287/1000000</f>
        <v>87.077764991699993</v>
      </c>
      <c r="H290" s="772">
        <f ca="1">+'Phase II Pro Forma'!H287/1000000</f>
        <v>87.077764991699993</v>
      </c>
      <c r="I290" s="772">
        <f>+'Phase II Pro Forma'!I287/1000000</f>
        <v>0</v>
      </c>
      <c r="J290" s="772">
        <f>+'Phase II Pro Forma'!J287/1000000</f>
        <v>0</v>
      </c>
      <c r="K290" s="772">
        <f>+'Phase II Pro Forma'!K287/1000000</f>
        <v>0</v>
      </c>
      <c r="L290" s="772">
        <f>+'Phase II Pro Forma'!L287/1000000</f>
        <v>0</v>
      </c>
      <c r="M290" s="772">
        <f>+'Phase II Pro Forma'!M287/1000000</f>
        <v>0</v>
      </c>
      <c r="N290" s="772">
        <f>+'Phase II Pro Forma'!N287/1000000</f>
        <v>0</v>
      </c>
      <c r="O290" s="772">
        <f>+'Phase II Pro Forma'!O287/1000000</f>
        <v>0</v>
      </c>
      <c r="P290" s="772">
        <f>+'Phase II Pro Forma'!P287/1000000</f>
        <v>0</v>
      </c>
      <c r="Q290" s="772">
        <f>+'Phase II Pro Forma'!Q287/1000000</f>
        <v>0</v>
      </c>
      <c r="R290" s="772">
        <f>+'Phase II Pro Forma'!R287/1000000</f>
        <v>0</v>
      </c>
      <c r="S290" s="772">
        <f>+'Phase II Pro Forma'!S287/1000000</f>
        <v>0</v>
      </c>
      <c r="T290" s="772">
        <f>+'Phase II Pro Forma'!T287/1000000</f>
        <v>0</v>
      </c>
      <c r="U290" s="772">
        <f>+'Phase II Pro Forma'!U287/1000000</f>
        <v>0</v>
      </c>
      <c r="V290" s="772">
        <f>+'Phase II Pro Forma'!V287/1000000</f>
        <v>0</v>
      </c>
      <c r="W290" s="772">
        <f>+'Phase II Pro Forma'!W287/1000000</f>
        <v>0</v>
      </c>
      <c r="X290" s="772">
        <f>+'Phase II Pro Forma'!X287/1000000</f>
        <v>0</v>
      </c>
      <c r="Y290" s="772">
        <f>+'Phase II Pro Forma'!Y287/1000000</f>
        <v>0</v>
      </c>
      <c r="Z290" s="772">
        <f>+'Phase II Pro Forma'!Z287/1000000</f>
        <v>0</v>
      </c>
    </row>
    <row r="291" spans="1:26" x14ac:dyDescent="0.2">
      <c r="B291" s="32" t="s">
        <v>58</v>
      </c>
      <c r="D291" s="47">
        <f t="shared" ca="1" si="97"/>
        <v>13.380466778895908</v>
      </c>
      <c r="E291" s="47"/>
      <c r="F291" s="772">
        <f ca="1">+'Phase II Pro Forma'!F288/1000000</f>
        <v>7.5937069536881667</v>
      </c>
      <c r="G291" s="772">
        <f ca="1">+'Phase II Pro Forma'!G288/1000000</f>
        <v>2.8933799126038702</v>
      </c>
      <c r="H291" s="772">
        <f ca="1">+'Phase II Pro Forma'!H288/1000000</f>
        <v>2.8933799126038702</v>
      </c>
      <c r="I291" s="772">
        <f>+'Phase II Pro Forma'!I288/1000000</f>
        <v>0</v>
      </c>
      <c r="J291" s="772">
        <f>+'Phase II Pro Forma'!J288/1000000</f>
        <v>0</v>
      </c>
      <c r="K291" s="772">
        <f>+'Phase II Pro Forma'!K288/1000000</f>
        <v>0</v>
      </c>
      <c r="L291" s="772">
        <f>+'Phase II Pro Forma'!L288/1000000</f>
        <v>0</v>
      </c>
      <c r="M291" s="772">
        <f>+'Phase II Pro Forma'!M288/1000000</f>
        <v>0</v>
      </c>
      <c r="N291" s="772">
        <f>+'Phase II Pro Forma'!N288/1000000</f>
        <v>0</v>
      </c>
      <c r="O291" s="772">
        <f>+'Phase II Pro Forma'!O288/1000000</f>
        <v>0</v>
      </c>
      <c r="P291" s="772">
        <f>+'Phase II Pro Forma'!P288/1000000</f>
        <v>0</v>
      </c>
      <c r="Q291" s="772">
        <f>+'Phase II Pro Forma'!Q288/1000000</f>
        <v>0</v>
      </c>
      <c r="R291" s="772">
        <f>+'Phase II Pro Forma'!R288/1000000</f>
        <v>0</v>
      </c>
      <c r="S291" s="772">
        <f>+'Phase II Pro Forma'!S288/1000000</f>
        <v>0</v>
      </c>
      <c r="T291" s="772">
        <f>+'Phase II Pro Forma'!T288/1000000</f>
        <v>0</v>
      </c>
      <c r="U291" s="772">
        <f>+'Phase II Pro Forma'!U288/1000000</f>
        <v>0</v>
      </c>
      <c r="V291" s="772">
        <f>+'Phase II Pro Forma'!V288/1000000</f>
        <v>0</v>
      </c>
      <c r="W291" s="772">
        <f>+'Phase II Pro Forma'!W288/1000000</f>
        <v>0</v>
      </c>
      <c r="X291" s="772">
        <f>+'Phase II Pro Forma'!X288/1000000</f>
        <v>0</v>
      </c>
      <c r="Y291" s="772">
        <f>+'Phase II Pro Forma'!Y288/1000000</f>
        <v>0</v>
      </c>
      <c r="Z291" s="772">
        <f>+'Phase II Pro Forma'!Z288/1000000</f>
        <v>0</v>
      </c>
    </row>
    <row r="292" spans="1:26" x14ac:dyDescent="0.2">
      <c r="B292" s="32" t="s">
        <v>80</v>
      </c>
      <c r="D292" s="47">
        <f t="shared" ca="1" si="97"/>
        <v>16.056719140378966</v>
      </c>
      <c r="E292" s="47"/>
      <c r="F292" s="772">
        <f>+'Phase II Pro Forma'!F289/1000000</f>
        <v>0</v>
      </c>
      <c r="G292" s="772">
        <f ca="1">+'Phase II Pro Forma'!G289/1000000</f>
        <v>8.0283595701894832</v>
      </c>
      <c r="H292" s="772">
        <f ca="1">+'Phase II Pro Forma'!H289/1000000</f>
        <v>8.0283595701894832</v>
      </c>
      <c r="I292" s="772">
        <f>+'Phase II Pro Forma'!I289/1000000</f>
        <v>0</v>
      </c>
      <c r="J292" s="772">
        <f>+'Phase II Pro Forma'!J289/1000000</f>
        <v>0</v>
      </c>
      <c r="K292" s="772">
        <f>+'Phase II Pro Forma'!K289/1000000</f>
        <v>0</v>
      </c>
      <c r="L292" s="772">
        <f>+'Phase II Pro Forma'!L289/1000000</f>
        <v>0</v>
      </c>
      <c r="M292" s="772">
        <f>+'Phase II Pro Forma'!M289/1000000</f>
        <v>0</v>
      </c>
      <c r="N292" s="772">
        <f>+'Phase II Pro Forma'!N289/1000000</f>
        <v>0</v>
      </c>
      <c r="O292" s="772">
        <f>+'Phase II Pro Forma'!O289/1000000</f>
        <v>0</v>
      </c>
      <c r="P292" s="772">
        <f>+'Phase II Pro Forma'!P289/1000000</f>
        <v>0</v>
      </c>
      <c r="Q292" s="772">
        <f>+'Phase II Pro Forma'!Q289/1000000</f>
        <v>0</v>
      </c>
      <c r="R292" s="772">
        <f>+'Phase II Pro Forma'!R289/1000000</f>
        <v>0</v>
      </c>
      <c r="S292" s="772">
        <f>+'Phase II Pro Forma'!S289/1000000</f>
        <v>0</v>
      </c>
      <c r="T292" s="772">
        <f>+'Phase II Pro Forma'!T289/1000000</f>
        <v>0</v>
      </c>
      <c r="U292" s="772">
        <f>+'Phase II Pro Forma'!U289/1000000</f>
        <v>0</v>
      </c>
      <c r="V292" s="772">
        <f>+'Phase II Pro Forma'!V289/1000000</f>
        <v>0</v>
      </c>
      <c r="W292" s="772">
        <f>+'Phase II Pro Forma'!W289/1000000</f>
        <v>0</v>
      </c>
      <c r="X292" s="772">
        <f>+'Phase II Pro Forma'!X289/1000000</f>
        <v>0</v>
      </c>
      <c r="Y292" s="772">
        <f>+'Phase II Pro Forma'!Y289/1000000</f>
        <v>0</v>
      </c>
      <c r="Z292" s="772">
        <f>+'Phase II Pro Forma'!Z289/1000000</f>
        <v>0</v>
      </c>
    </row>
    <row r="293" spans="1:26" x14ac:dyDescent="0.2">
      <c r="B293" s="32" t="s">
        <v>83</v>
      </c>
      <c r="D293" s="47">
        <f t="shared" ca="1" si="97"/>
        <v>0.44460763224393113</v>
      </c>
      <c r="E293" s="47"/>
      <c r="F293" s="772">
        <f>+'Phase II Pro Forma'!F290/1000000</f>
        <v>0</v>
      </c>
      <c r="G293" s="772">
        <f ca="1">+'Phase II Pro Forma'!G290/1000000</f>
        <v>0.22230381612196556</v>
      </c>
      <c r="H293" s="772">
        <f ca="1">+'Phase II Pro Forma'!H290/1000000</f>
        <v>0.22230381612196556</v>
      </c>
      <c r="I293" s="772">
        <f>+'Phase II Pro Forma'!I290/1000000</f>
        <v>0</v>
      </c>
      <c r="J293" s="772">
        <f>+'Phase II Pro Forma'!J290/1000000</f>
        <v>0</v>
      </c>
      <c r="K293" s="772">
        <f>+'Phase II Pro Forma'!K290/1000000</f>
        <v>0</v>
      </c>
      <c r="L293" s="772">
        <f>+'Phase II Pro Forma'!L290/1000000</f>
        <v>0</v>
      </c>
      <c r="M293" s="772">
        <f>+'Phase II Pro Forma'!M290/1000000</f>
        <v>0</v>
      </c>
      <c r="N293" s="772">
        <f>+'Phase II Pro Forma'!N290/1000000</f>
        <v>0</v>
      </c>
      <c r="O293" s="772">
        <f>+'Phase II Pro Forma'!O290/1000000</f>
        <v>0</v>
      </c>
      <c r="P293" s="772">
        <f>+'Phase II Pro Forma'!P290/1000000</f>
        <v>0</v>
      </c>
      <c r="Q293" s="772">
        <f>+'Phase II Pro Forma'!Q290/1000000</f>
        <v>0</v>
      </c>
      <c r="R293" s="772">
        <f>+'Phase II Pro Forma'!R290/1000000</f>
        <v>0</v>
      </c>
      <c r="S293" s="772">
        <f>+'Phase II Pro Forma'!S290/1000000</f>
        <v>0</v>
      </c>
      <c r="T293" s="772">
        <f>+'Phase II Pro Forma'!T290/1000000</f>
        <v>0</v>
      </c>
      <c r="U293" s="772">
        <f>+'Phase II Pro Forma'!U290/1000000</f>
        <v>0</v>
      </c>
      <c r="V293" s="772">
        <f>+'Phase II Pro Forma'!V290/1000000</f>
        <v>0</v>
      </c>
      <c r="W293" s="772">
        <f>+'Phase II Pro Forma'!W290/1000000</f>
        <v>0</v>
      </c>
      <c r="X293" s="772">
        <f>+'Phase II Pro Forma'!X290/1000000</f>
        <v>0</v>
      </c>
      <c r="Y293" s="772">
        <f>+'Phase II Pro Forma'!Y290/1000000</f>
        <v>0</v>
      </c>
      <c r="Z293" s="772">
        <f>+'Phase II Pro Forma'!Z290/1000000</f>
        <v>0</v>
      </c>
    </row>
    <row r="294" spans="1:26" x14ac:dyDescent="0.2">
      <c r="B294" s="32" t="s">
        <v>60</v>
      </c>
      <c r="D294" s="47">
        <f t="shared" ca="1" si="97"/>
        <v>6.4349527060475626</v>
      </c>
      <c r="E294" s="47"/>
      <c r="F294" s="772">
        <f ca="1">+'Phase II Pro Forma'!F291/1000000</f>
        <v>0</v>
      </c>
      <c r="G294" s="772">
        <f ca="1">+'Phase II Pro Forma'!G291/1000000</f>
        <v>1.6087381765118907</v>
      </c>
      <c r="H294" s="772">
        <f ca="1">+'Phase II Pro Forma'!H291/1000000</f>
        <v>1.6087381765118907</v>
      </c>
      <c r="I294" s="772">
        <f ca="1">+'Phase II Pro Forma'!I291/1000000</f>
        <v>1.6087381765118907</v>
      </c>
      <c r="J294" s="772">
        <f ca="1">+'Phase II Pro Forma'!J291/1000000</f>
        <v>1.6087381765118907</v>
      </c>
      <c r="K294" s="772">
        <f>+'Phase II Pro Forma'!K291/1000000</f>
        <v>0</v>
      </c>
      <c r="L294" s="772">
        <f>+'Phase II Pro Forma'!L291/1000000</f>
        <v>0</v>
      </c>
      <c r="M294" s="772">
        <f>+'Phase II Pro Forma'!M291/1000000</f>
        <v>0</v>
      </c>
      <c r="N294" s="772">
        <f>+'Phase II Pro Forma'!N291/1000000</f>
        <v>0</v>
      </c>
      <c r="O294" s="772">
        <f>+'Phase II Pro Forma'!O291/1000000</f>
        <v>0</v>
      </c>
      <c r="P294" s="772">
        <f>+'Phase II Pro Forma'!P291/1000000</f>
        <v>0</v>
      </c>
      <c r="Q294" s="772">
        <f>+'Phase II Pro Forma'!Q291/1000000</f>
        <v>0</v>
      </c>
      <c r="R294" s="772">
        <f>+'Phase II Pro Forma'!R291/1000000</f>
        <v>0</v>
      </c>
      <c r="S294" s="772">
        <f>+'Phase II Pro Forma'!S291/1000000</f>
        <v>0</v>
      </c>
      <c r="T294" s="772">
        <f>+'Phase II Pro Forma'!T291/1000000</f>
        <v>0</v>
      </c>
      <c r="U294" s="772">
        <f>+'Phase II Pro Forma'!U291/1000000</f>
        <v>0</v>
      </c>
      <c r="V294" s="772">
        <f>+'Phase II Pro Forma'!V291/1000000</f>
        <v>0</v>
      </c>
      <c r="W294" s="772">
        <f>+'Phase II Pro Forma'!W291/1000000</f>
        <v>0</v>
      </c>
      <c r="X294" s="772">
        <f>+'Phase II Pro Forma'!X291/1000000</f>
        <v>0</v>
      </c>
      <c r="Y294" s="772">
        <f>+'Phase II Pro Forma'!Y291/1000000</f>
        <v>0</v>
      </c>
      <c r="Z294" s="772">
        <f>+'Phase II Pro Forma'!Z291/1000000</f>
        <v>0</v>
      </c>
    </row>
    <row r="295" spans="1:26" x14ac:dyDescent="0.2">
      <c r="B295" s="137" t="s">
        <v>20</v>
      </c>
      <c r="C295" s="137"/>
      <c r="D295" s="138">
        <f ca="1">+SUM(F295:Z295)</f>
        <v>221.75234934810919</v>
      </c>
      <c r="E295" s="138"/>
      <c r="F295" s="774">
        <f ca="1">+SUM(F288:F294)</f>
        <v>18.873780060831024</v>
      </c>
      <c r="G295" s="774">
        <f t="shared" ref="G295:Z295" ca="1" si="98">+SUM(G288:G294)</f>
        <v>99.830546467127206</v>
      </c>
      <c r="H295" s="774">
        <f t="shared" ca="1" si="98"/>
        <v>99.830546467127206</v>
      </c>
      <c r="I295" s="774">
        <f t="shared" ca="1" si="98"/>
        <v>1.6087381765118907</v>
      </c>
      <c r="J295" s="774">
        <f t="shared" ca="1" si="98"/>
        <v>1.6087381765118907</v>
      </c>
      <c r="K295" s="774">
        <f t="shared" si="98"/>
        <v>0</v>
      </c>
      <c r="L295" s="774">
        <f t="shared" si="98"/>
        <v>0</v>
      </c>
      <c r="M295" s="774">
        <f t="shared" si="98"/>
        <v>0</v>
      </c>
      <c r="N295" s="774">
        <f t="shared" si="98"/>
        <v>0</v>
      </c>
      <c r="O295" s="774">
        <f t="shared" si="98"/>
        <v>0</v>
      </c>
      <c r="P295" s="774">
        <f t="shared" si="98"/>
        <v>0</v>
      </c>
      <c r="Q295" s="774">
        <f t="shared" si="98"/>
        <v>0</v>
      </c>
      <c r="R295" s="774">
        <f t="shared" si="98"/>
        <v>0</v>
      </c>
      <c r="S295" s="774">
        <f t="shared" si="98"/>
        <v>0</v>
      </c>
      <c r="T295" s="774">
        <f t="shared" si="98"/>
        <v>0</v>
      </c>
      <c r="U295" s="774">
        <f t="shared" si="98"/>
        <v>0</v>
      </c>
      <c r="V295" s="774">
        <f t="shared" si="98"/>
        <v>0</v>
      </c>
      <c r="W295" s="774">
        <f t="shared" si="98"/>
        <v>0</v>
      </c>
      <c r="X295" s="774">
        <f t="shared" si="98"/>
        <v>0</v>
      </c>
      <c r="Y295" s="774">
        <f t="shared" si="98"/>
        <v>0</v>
      </c>
      <c r="Z295" s="774">
        <f t="shared" si="98"/>
        <v>0</v>
      </c>
    </row>
    <row r="296" spans="1:26" ht="5" customHeight="1" x14ac:dyDescent="0.2"/>
    <row r="297" spans="1:26" x14ac:dyDescent="0.2">
      <c r="B297" s="147" t="s">
        <v>347</v>
      </c>
      <c r="F297" s="776">
        <f>+F285</f>
        <v>44926</v>
      </c>
      <c r="G297" s="776">
        <f t="shared" ref="G297:Z297" si="99">+G285</f>
        <v>45291</v>
      </c>
      <c r="H297" s="776">
        <f t="shared" si="99"/>
        <v>45657</v>
      </c>
      <c r="I297" s="776">
        <f t="shared" si="99"/>
        <v>46022</v>
      </c>
      <c r="J297" s="776">
        <f t="shared" si="99"/>
        <v>46387</v>
      </c>
      <c r="K297" s="776">
        <f t="shared" si="99"/>
        <v>46752</v>
      </c>
      <c r="L297" s="776">
        <f t="shared" si="99"/>
        <v>47118</v>
      </c>
      <c r="M297" s="776">
        <f t="shared" si="99"/>
        <v>47483</v>
      </c>
      <c r="N297" s="776">
        <f t="shared" si="99"/>
        <v>47848</v>
      </c>
      <c r="O297" s="776">
        <f t="shared" si="99"/>
        <v>48213</v>
      </c>
      <c r="P297" s="776">
        <f t="shared" si="99"/>
        <v>48579</v>
      </c>
      <c r="Q297" s="776">
        <f t="shared" si="99"/>
        <v>48944</v>
      </c>
      <c r="R297" s="776">
        <f t="shared" si="99"/>
        <v>49309</v>
      </c>
      <c r="S297" s="776">
        <f t="shared" si="99"/>
        <v>49674</v>
      </c>
      <c r="T297" s="776">
        <f t="shared" si="99"/>
        <v>50040</v>
      </c>
      <c r="U297" s="776">
        <f t="shared" si="99"/>
        <v>50405</v>
      </c>
      <c r="V297" s="776">
        <f t="shared" si="99"/>
        <v>50770</v>
      </c>
      <c r="W297" s="776">
        <f t="shared" si="99"/>
        <v>51135</v>
      </c>
      <c r="X297" s="776">
        <f t="shared" si="99"/>
        <v>51501</v>
      </c>
      <c r="Y297" s="776">
        <f t="shared" si="99"/>
        <v>51866</v>
      </c>
      <c r="Z297" s="776">
        <f t="shared" si="99"/>
        <v>52231</v>
      </c>
    </row>
    <row r="298" spans="1:26" x14ac:dyDescent="0.2">
      <c r="A298" s="107"/>
      <c r="B298" s="32" t="s">
        <v>29</v>
      </c>
      <c r="D298" s="47">
        <f t="shared" ref="D298:D307" ca="1" si="100">+SUM(F298:Z298)</f>
        <v>36.283687849978747</v>
      </c>
      <c r="E298" s="47"/>
      <c r="F298" s="48">
        <f ca="1">+'Phase II Pro Forma'!F295/1000000</f>
        <v>18.873780060831024</v>
      </c>
      <c r="G298" s="48">
        <f ca="1">+'Phase II Pro Forma'!G295/1000000</f>
        <v>17.40990778914772</v>
      </c>
      <c r="H298" s="48">
        <f ca="1">+'Phase II Pro Forma'!H295/1000000</f>
        <v>0</v>
      </c>
      <c r="I298" s="48">
        <f ca="1">+'Phase II Pro Forma'!I295/1000000</f>
        <v>0</v>
      </c>
      <c r="J298" s="48">
        <f ca="1">+'Phase II Pro Forma'!J295/1000000</f>
        <v>0</v>
      </c>
      <c r="K298" s="48">
        <f ca="1">+'Phase II Pro Forma'!K295/1000000</f>
        <v>0</v>
      </c>
      <c r="L298" s="48">
        <f ca="1">+'Phase II Pro Forma'!L295/1000000</f>
        <v>0</v>
      </c>
      <c r="M298" s="48">
        <f ca="1">+'Phase II Pro Forma'!M295/1000000</f>
        <v>0</v>
      </c>
      <c r="N298" s="48">
        <f ca="1">+'Phase II Pro Forma'!N295/1000000</f>
        <v>0</v>
      </c>
      <c r="O298" s="48">
        <f ca="1">+'Phase II Pro Forma'!O295/1000000</f>
        <v>0</v>
      </c>
      <c r="P298" s="48">
        <f ca="1">+'Phase II Pro Forma'!P295/1000000</f>
        <v>0</v>
      </c>
      <c r="Q298" s="48">
        <f ca="1">+'Phase II Pro Forma'!Q295/1000000</f>
        <v>0</v>
      </c>
      <c r="R298" s="48">
        <f ca="1">+'Phase II Pro Forma'!R295/1000000</f>
        <v>0</v>
      </c>
      <c r="S298" s="48">
        <f ca="1">+'Phase II Pro Forma'!S295/1000000</f>
        <v>0</v>
      </c>
      <c r="T298" s="48">
        <f ca="1">+'Phase II Pro Forma'!T295/1000000</f>
        <v>0</v>
      </c>
      <c r="U298" s="48">
        <f ca="1">+'Phase II Pro Forma'!U295/1000000</f>
        <v>0</v>
      </c>
      <c r="V298" s="48">
        <f ca="1">+'Phase II Pro Forma'!V295/1000000</f>
        <v>0</v>
      </c>
      <c r="W298" s="48">
        <f ca="1">+'Phase II Pro Forma'!W295/1000000</f>
        <v>0</v>
      </c>
      <c r="X298" s="48">
        <f ca="1">+'Phase II Pro Forma'!X295/1000000</f>
        <v>0</v>
      </c>
      <c r="Y298" s="48">
        <f ca="1">+'Phase II Pro Forma'!Y295/1000000</f>
        <v>0</v>
      </c>
      <c r="Z298" s="48">
        <f ca="1">+'Phase II Pro Forma'!Z295/1000000</f>
        <v>0</v>
      </c>
    </row>
    <row r="299" spans="1:26" hidden="1" x14ac:dyDescent="0.2">
      <c r="B299" s="32" t="s">
        <v>326</v>
      </c>
      <c r="D299" s="47">
        <f t="shared" ca="1" si="100"/>
        <v>0</v>
      </c>
      <c r="E299" s="47"/>
      <c r="F299" s="772">
        <f ca="1">+'Phase II Pro Forma'!F296/1000000</f>
        <v>0</v>
      </c>
      <c r="G299" s="772">
        <f ca="1">+'Phase II Pro Forma'!G296/1000000</f>
        <v>0</v>
      </c>
      <c r="H299" s="772">
        <f ca="1">+'Phase II Pro Forma'!H296/1000000</f>
        <v>0</v>
      </c>
      <c r="I299" s="772">
        <f ca="1">+'Phase II Pro Forma'!I296/1000000</f>
        <v>0</v>
      </c>
      <c r="J299" s="772">
        <f ca="1">+'Phase II Pro Forma'!J296/1000000</f>
        <v>0</v>
      </c>
      <c r="K299" s="772">
        <f ca="1">+'Phase II Pro Forma'!K296/1000000</f>
        <v>0</v>
      </c>
      <c r="L299" s="772">
        <f ca="1">+'Phase II Pro Forma'!L296/1000000</f>
        <v>0</v>
      </c>
      <c r="M299" s="772">
        <f ca="1">+'Phase II Pro Forma'!M296/1000000</f>
        <v>0</v>
      </c>
      <c r="N299" s="772">
        <f ca="1">+'Phase II Pro Forma'!N296/1000000</f>
        <v>0</v>
      </c>
      <c r="O299" s="772">
        <f ca="1">+'Phase II Pro Forma'!O296/1000000</f>
        <v>0</v>
      </c>
      <c r="P299" s="772">
        <f ca="1">+'Phase II Pro Forma'!P296/1000000</f>
        <v>0</v>
      </c>
      <c r="Q299" s="772">
        <f ca="1">+'Phase II Pro Forma'!Q296/1000000</f>
        <v>0</v>
      </c>
      <c r="R299" s="772">
        <f ca="1">+'Phase II Pro Forma'!R296/1000000</f>
        <v>0</v>
      </c>
      <c r="S299" s="772">
        <f ca="1">+'Phase II Pro Forma'!S296/1000000</f>
        <v>0</v>
      </c>
      <c r="T299" s="772">
        <f ca="1">+'Phase II Pro Forma'!T296/1000000</f>
        <v>0</v>
      </c>
      <c r="U299" s="772">
        <f ca="1">+'Phase II Pro Forma'!U296/1000000</f>
        <v>0</v>
      </c>
      <c r="V299" s="772">
        <f ca="1">+'Phase II Pro Forma'!V296/1000000</f>
        <v>0</v>
      </c>
      <c r="W299" s="772">
        <f ca="1">+'Phase II Pro Forma'!W296/1000000</f>
        <v>0</v>
      </c>
      <c r="X299" s="772">
        <f ca="1">+'Phase II Pro Forma'!X296/1000000</f>
        <v>0</v>
      </c>
      <c r="Y299" s="772">
        <f ca="1">+'Phase II Pro Forma'!Y296/1000000</f>
        <v>0</v>
      </c>
      <c r="Z299" s="772">
        <f ca="1">+'Phase II Pro Forma'!Z296/1000000</f>
        <v>0</v>
      </c>
    </row>
    <row r="300" spans="1:26" x14ac:dyDescent="0.2">
      <c r="B300" s="32" t="s">
        <v>99</v>
      </c>
      <c r="D300" s="47">
        <f t="shared" ca="1" si="100"/>
        <v>8.8323397304545477</v>
      </c>
      <c r="E300" s="47"/>
      <c r="F300" s="772">
        <f ca="1">+'Phase II Pro Forma'!F297/1000000</f>
        <v>0</v>
      </c>
      <c r="G300" s="772">
        <f ca="1">+'Phase II Pro Forma'!G297/1000000</f>
        <v>8.8323397304545477</v>
      </c>
      <c r="H300" s="772">
        <f ca="1">+'Phase II Pro Forma'!H297/1000000</f>
        <v>0</v>
      </c>
      <c r="I300" s="772">
        <f ca="1">+'Phase II Pro Forma'!I297/1000000</f>
        <v>0</v>
      </c>
      <c r="J300" s="772">
        <f ca="1">+'Phase II Pro Forma'!J297/1000000</f>
        <v>0</v>
      </c>
      <c r="K300" s="772">
        <f ca="1">+'Phase II Pro Forma'!K297/1000000</f>
        <v>0</v>
      </c>
      <c r="L300" s="772">
        <f ca="1">+'Phase II Pro Forma'!L297/1000000</f>
        <v>0</v>
      </c>
      <c r="M300" s="772">
        <f ca="1">+'Phase II Pro Forma'!M297/1000000</f>
        <v>0</v>
      </c>
      <c r="N300" s="772">
        <f ca="1">+'Phase II Pro Forma'!N297/1000000</f>
        <v>0</v>
      </c>
      <c r="O300" s="772">
        <f ca="1">+'Phase II Pro Forma'!O297/1000000</f>
        <v>0</v>
      </c>
      <c r="P300" s="772">
        <f ca="1">+'Phase II Pro Forma'!P297/1000000</f>
        <v>0</v>
      </c>
      <c r="Q300" s="772">
        <f ca="1">+'Phase II Pro Forma'!Q297/1000000</f>
        <v>0</v>
      </c>
      <c r="R300" s="772">
        <f ca="1">+'Phase II Pro Forma'!R297/1000000</f>
        <v>0</v>
      </c>
      <c r="S300" s="772">
        <f ca="1">+'Phase II Pro Forma'!S297/1000000</f>
        <v>0</v>
      </c>
      <c r="T300" s="772">
        <f ca="1">+'Phase II Pro Forma'!T297/1000000</f>
        <v>0</v>
      </c>
      <c r="U300" s="772">
        <f ca="1">+'Phase II Pro Forma'!U297/1000000</f>
        <v>0</v>
      </c>
      <c r="V300" s="772">
        <f ca="1">+'Phase II Pro Forma'!V297/1000000</f>
        <v>0</v>
      </c>
      <c r="W300" s="772">
        <f ca="1">+'Phase II Pro Forma'!W297/1000000</f>
        <v>0</v>
      </c>
      <c r="X300" s="772">
        <f ca="1">+'Phase II Pro Forma'!X297/1000000</f>
        <v>0</v>
      </c>
      <c r="Y300" s="772">
        <f ca="1">+'Phase II Pro Forma'!Y297/1000000</f>
        <v>0</v>
      </c>
      <c r="Z300" s="772">
        <f ca="1">+'Phase II Pro Forma'!Z297/1000000</f>
        <v>0</v>
      </c>
    </row>
    <row r="301" spans="1:26" x14ac:dyDescent="0.2">
      <c r="B301" s="32" t="s">
        <v>100</v>
      </c>
      <c r="D301" s="47">
        <f t="shared" ca="1" si="100"/>
        <v>6.2400000000000012E-11</v>
      </c>
      <c r="E301" s="47"/>
      <c r="F301" s="772">
        <f ca="1">+'Phase II Pro Forma'!F298/1000000</f>
        <v>0</v>
      </c>
      <c r="G301" s="772">
        <f ca="1">+'Phase II Pro Forma'!G298/1000000</f>
        <v>6.2400000000000012E-11</v>
      </c>
      <c r="H301" s="772">
        <f ca="1">+'Phase II Pro Forma'!H298/1000000</f>
        <v>0</v>
      </c>
      <c r="I301" s="772">
        <f ca="1">+'Phase II Pro Forma'!I298/1000000</f>
        <v>0</v>
      </c>
      <c r="J301" s="772">
        <f ca="1">+'Phase II Pro Forma'!J298/1000000</f>
        <v>0</v>
      </c>
      <c r="K301" s="772">
        <f ca="1">+'Phase II Pro Forma'!K298/1000000</f>
        <v>0</v>
      </c>
      <c r="L301" s="772">
        <f ca="1">+'Phase II Pro Forma'!L298/1000000</f>
        <v>0</v>
      </c>
      <c r="M301" s="772">
        <f ca="1">+'Phase II Pro Forma'!M298/1000000</f>
        <v>0</v>
      </c>
      <c r="N301" s="772">
        <f ca="1">+'Phase II Pro Forma'!N298/1000000</f>
        <v>0</v>
      </c>
      <c r="O301" s="772">
        <f ca="1">+'Phase II Pro Forma'!O298/1000000</f>
        <v>0</v>
      </c>
      <c r="P301" s="772">
        <f ca="1">+'Phase II Pro Forma'!P298/1000000</f>
        <v>0</v>
      </c>
      <c r="Q301" s="772">
        <f ca="1">+'Phase II Pro Forma'!Q298/1000000</f>
        <v>0</v>
      </c>
      <c r="R301" s="772">
        <f ca="1">+'Phase II Pro Forma'!R298/1000000</f>
        <v>0</v>
      </c>
      <c r="S301" s="772">
        <f ca="1">+'Phase II Pro Forma'!S298/1000000</f>
        <v>0</v>
      </c>
      <c r="T301" s="772">
        <f ca="1">+'Phase II Pro Forma'!T298/1000000</f>
        <v>0</v>
      </c>
      <c r="U301" s="772">
        <f ca="1">+'Phase II Pro Forma'!U298/1000000</f>
        <v>0</v>
      </c>
      <c r="V301" s="772">
        <f ca="1">+'Phase II Pro Forma'!V298/1000000</f>
        <v>0</v>
      </c>
      <c r="W301" s="772">
        <f ca="1">+'Phase II Pro Forma'!W298/1000000</f>
        <v>0</v>
      </c>
      <c r="X301" s="772">
        <f ca="1">+'Phase II Pro Forma'!X298/1000000</f>
        <v>0</v>
      </c>
      <c r="Y301" s="772">
        <f ca="1">+'Phase II Pro Forma'!Y298/1000000</f>
        <v>0</v>
      </c>
      <c r="Z301" s="772">
        <f ca="1">+'Phase II Pro Forma'!Z298/1000000</f>
        <v>0</v>
      </c>
    </row>
    <row r="302" spans="1:26" x14ac:dyDescent="0.2">
      <c r="B302" s="32" t="s">
        <v>613</v>
      </c>
      <c r="D302" s="47">
        <f t="shared" ca="1" si="100"/>
        <v>0</v>
      </c>
      <c r="E302" s="47"/>
      <c r="F302" s="772">
        <f ca="1">+'Phase II Pro Forma'!F299/1000000</f>
        <v>0</v>
      </c>
      <c r="G302" s="772">
        <f ca="1">+'Phase II Pro Forma'!G299/1000000</f>
        <v>0</v>
      </c>
      <c r="H302" s="772">
        <f ca="1">+'Phase II Pro Forma'!H299/1000000</f>
        <v>0</v>
      </c>
      <c r="I302" s="772">
        <f ca="1">+'Phase II Pro Forma'!I299/1000000</f>
        <v>0</v>
      </c>
      <c r="J302" s="772">
        <f ca="1">+'Phase II Pro Forma'!J299/1000000</f>
        <v>0</v>
      </c>
      <c r="K302" s="772">
        <f ca="1">+'Phase II Pro Forma'!K299/1000000</f>
        <v>0</v>
      </c>
      <c r="L302" s="772">
        <f ca="1">+'Phase II Pro Forma'!L299/1000000</f>
        <v>0</v>
      </c>
      <c r="M302" s="772">
        <f ca="1">+'Phase II Pro Forma'!M299/1000000</f>
        <v>0</v>
      </c>
      <c r="N302" s="772">
        <f ca="1">+'Phase II Pro Forma'!N299/1000000</f>
        <v>0</v>
      </c>
      <c r="O302" s="772">
        <f ca="1">+'Phase II Pro Forma'!O299/1000000</f>
        <v>0</v>
      </c>
      <c r="P302" s="772">
        <f ca="1">+'Phase II Pro Forma'!P299/1000000</f>
        <v>0</v>
      </c>
      <c r="Q302" s="772">
        <f ca="1">+'Phase II Pro Forma'!Q299/1000000</f>
        <v>0</v>
      </c>
      <c r="R302" s="772">
        <f ca="1">+'Phase II Pro Forma'!R299/1000000</f>
        <v>0</v>
      </c>
      <c r="S302" s="772">
        <f ca="1">+'Phase II Pro Forma'!S299/1000000</f>
        <v>0</v>
      </c>
      <c r="T302" s="772">
        <f ca="1">+'Phase II Pro Forma'!T299/1000000</f>
        <v>0</v>
      </c>
      <c r="U302" s="772">
        <f ca="1">+'Phase II Pro Forma'!U299/1000000</f>
        <v>0</v>
      </c>
      <c r="V302" s="772">
        <f ca="1">+'Phase II Pro Forma'!V299/1000000</f>
        <v>0</v>
      </c>
      <c r="W302" s="772">
        <f ca="1">+'Phase II Pro Forma'!W299/1000000</f>
        <v>0</v>
      </c>
      <c r="X302" s="772">
        <f ca="1">+'Phase II Pro Forma'!X299/1000000</f>
        <v>0</v>
      </c>
      <c r="Y302" s="772">
        <f ca="1">+'Phase II Pro Forma'!Y299/1000000</f>
        <v>0</v>
      </c>
      <c r="Z302" s="772">
        <f ca="1">+'Phase II Pro Forma'!Z299/1000000</f>
        <v>0</v>
      </c>
    </row>
    <row r="303" spans="1:26" x14ac:dyDescent="0.2">
      <c r="A303" s="107"/>
      <c r="B303" s="32" t="s">
        <v>330</v>
      </c>
      <c r="D303" s="47">
        <f t="shared" ca="1" si="100"/>
        <v>133.05140960886553</v>
      </c>
      <c r="E303" s="47"/>
      <c r="F303" s="772">
        <f ca="1">+'Phase II Pro Forma'!F300/1000000</f>
        <v>0</v>
      </c>
      <c r="G303" s="772">
        <f ca="1">+'Phase II Pro Forma'!G300/1000000</f>
        <v>73.588298947462533</v>
      </c>
      <c r="H303" s="772">
        <f ca="1">+'Phase II Pro Forma'!H300/1000000</f>
        <v>59.463110661403</v>
      </c>
      <c r="I303" s="772">
        <f ca="1">+'Phase II Pro Forma'!I300/1000000</f>
        <v>0</v>
      </c>
      <c r="J303" s="772">
        <f ca="1">+'Phase II Pro Forma'!J300/1000000</f>
        <v>0</v>
      </c>
      <c r="K303" s="772">
        <f ca="1">+'Phase II Pro Forma'!K300/1000000</f>
        <v>0</v>
      </c>
      <c r="L303" s="772">
        <f ca="1">+'Phase II Pro Forma'!L300/1000000</f>
        <v>0</v>
      </c>
      <c r="M303" s="772">
        <f ca="1">+'Phase II Pro Forma'!M300/1000000</f>
        <v>0</v>
      </c>
      <c r="N303" s="772">
        <f ca="1">+'Phase II Pro Forma'!N300/1000000</f>
        <v>0</v>
      </c>
      <c r="O303" s="772">
        <f ca="1">+'Phase II Pro Forma'!O300/1000000</f>
        <v>0</v>
      </c>
      <c r="P303" s="772">
        <f ca="1">+'Phase II Pro Forma'!P300/1000000</f>
        <v>0</v>
      </c>
      <c r="Q303" s="772">
        <f ca="1">+'Phase II Pro Forma'!Q300/1000000</f>
        <v>0</v>
      </c>
      <c r="R303" s="772">
        <f ca="1">+'Phase II Pro Forma'!R300/1000000</f>
        <v>0</v>
      </c>
      <c r="S303" s="772">
        <f ca="1">+'Phase II Pro Forma'!S300/1000000</f>
        <v>0</v>
      </c>
      <c r="T303" s="772">
        <f ca="1">+'Phase II Pro Forma'!T300/1000000</f>
        <v>0</v>
      </c>
      <c r="U303" s="772">
        <f ca="1">+'Phase II Pro Forma'!U300/1000000</f>
        <v>0</v>
      </c>
      <c r="V303" s="772">
        <f ca="1">+'Phase II Pro Forma'!V300/1000000</f>
        <v>0</v>
      </c>
      <c r="W303" s="772">
        <f ca="1">+'Phase II Pro Forma'!W300/1000000</f>
        <v>0</v>
      </c>
      <c r="X303" s="772">
        <f ca="1">+'Phase II Pro Forma'!X300/1000000</f>
        <v>0</v>
      </c>
      <c r="Y303" s="772">
        <f ca="1">+'Phase II Pro Forma'!Y300/1000000</f>
        <v>0</v>
      </c>
      <c r="Z303" s="772">
        <f ca="1">+'Phase II Pro Forma'!Z300/1000000</f>
        <v>0</v>
      </c>
    </row>
    <row r="304" spans="1:26" x14ac:dyDescent="0.2">
      <c r="A304" s="107"/>
      <c r="B304" s="32" t="s">
        <v>98</v>
      </c>
      <c r="D304" s="47">
        <f t="shared" ca="1" si="100"/>
        <v>43.58491215874799</v>
      </c>
      <c r="E304" s="47"/>
      <c r="F304" s="772">
        <f ca="1">+'Phase II Pro Forma'!F301/1000000</f>
        <v>0</v>
      </c>
      <c r="G304" s="772">
        <f ca="1">+'Phase II Pro Forma'!G301/1000000</f>
        <v>0</v>
      </c>
      <c r="H304" s="772">
        <f ca="1">+'Phase II Pro Forma'!H301/1000000</f>
        <v>40.367435805724206</v>
      </c>
      <c r="I304" s="772">
        <f ca="1">+'Phase II Pro Forma'!I301/1000000</f>
        <v>1.6087381765118907</v>
      </c>
      <c r="J304" s="772">
        <f ca="1">+'Phase II Pro Forma'!J301/1000000</f>
        <v>1.6087381765118907</v>
      </c>
      <c r="K304" s="772">
        <f ca="1">+'Phase II Pro Forma'!K301/1000000</f>
        <v>0</v>
      </c>
      <c r="L304" s="772">
        <f ca="1">+'Phase II Pro Forma'!L301/1000000</f>
        <v>0</v>
      </c>
      <c r="M304" s="772">
        <f ca="1">+'Phase II Pro Forma'!M301/1000000</f>
        <v>0</v>
      </c>
      <c r="N304" s="772">
        <f ca="1">+'Phase II Pro Forma'!N301/1000000</f>
        <v>0</v>
      </c>
      <c r="O304" s="772">
        <f ca="1">+'Phase II Pro Forma'!O301/1000000</f>
        <v>0</v>
      </c>
      <c r="P304" s="772">
        <f ca="1">+'Phase II Pro Forma'!P301/1000000</f>
        <v>0</v>
      </c>
      <c r="Q304" s="772">
        <f ca="1">+'Phase II Pro Forma'!Q301/1000000</f>
        <v>0</v>
      </c>
      <c r="R304" s="772">
        <f ca="1">+'Phase II Pro Forma'!R301/1000000</f>
        <v>0</v>
      </c>
      <c r="S304" s="772">
        <f ca="1">+'Phase II Pro Forma'!S301/1000000</f>
        <v>0</v>
      </c>
      <c r="T304" s="772">
        <f ca="1">+'Phase II Pro Forma'!T301/1000000</f>
        <v>0</v>
      </c>
      <c r="U304" s="772">
        <f ca="1">+'Phase II Pro Forma'!U301/1000000</f>
        <v>0</v>
      </c>
      <c r="V304" s="772">
        <f ca="1">+'Phase II Pro Forma'!V301/1000000</f>
        <v>0</v>
      </c>
      <c r="W304" s="772">
        <f ca="1">+'Phase II Pro Forma'!W301/1000000</f>
        <v>0</v>
      </c>
      <c r="X304" s="772">
        <f ca="1">+'Phase II Pro Forma'!X301/1000000</f>
        <v>0</v>
      </c>
      <c r="Y304" s="772">
        <f ca="1">+'Phase II Pro Forma'!Y301/1000000</f>
        <v>0</v>
      </c>
      <c r="Z304" s="772">
        <f ca="1">+'Phase II Pro Forma'!Z301/1000000</f>
        <v>0</v>
      </c>
    </row>
    <row r="305" spans="2:26" x14ac:dyDescent="0.2">
      <c r="B305" s="137" t="s">
        <v>377</v>
      </c>
      <c r="C305" s="137"/>
      <c r="D305" s="138">
        <f t="shared" ca="1" si="100"/>
        <v>221.75234934810919</v>
      </c>
      <c r="E305" s="138"/>
      <c r="F305" s="774">
        <f t="shared" ref="F305:Z305" ca="1" si="101">+SUM(F298:F304)</f>
        <v>18.873780060831024</v>
      </c>
      <c r="G305" s="774">
        <f t="shared" ca="1" si="101"/>
        <v>99.830546467127192</v>
      </c>
      <c r="H305" s="774">
        <f t="shared" ca="1" si="101"/>
        <v>99.830546467127206</v>
      </c>
      <c r="I305" s="774">
        <f t="shared" ca="1" si="101"/>
        <v>1.6087381765118907</v>
      </c>
      <c r="J305" s="774">
        <f t="shared" ca="1" si="101"/>
        <v>1.6087381765118907</v>
      </c>
      <c r="K305" s="774">
        <f t="shared" ca="1" si="101"/>
        <v>0</v>
      </c>
      <c r="L305" s="774">
        <f t="shared" ca="1" si="101"/>
        <v>0</v>
      </c>
      <c r="M305" s="774">
        <f t="shared" ca="1" si="101"/>
        <v>0</v>
      </c>
      <c r="N305" s="774">
        <f t="shared" ca="1" si="101"/>
        <v>0</v>
      </c>
      <c r="O305" s="774">
        <f t="shared" ca="1" si="101"/>
        <v>0</v>
      </c>
      <c r="P305" s="774">
        <f t="shared" ca="1" si="101"/>
        <v>0</v>
      </c>
      <c r="Q305" s="774">
        <f t="shared" ca="1" si="101"/>
        <v>0</v>
      </c>
      <c r="R305" s="774">
        <f t="shared" ca="1" si="101"/>
        <v>0</v>
      </c>
      <c r="S305" s="774">
        <f t="shared" ca="1" si="101"/>
        <v>0</v>
      </c>
      <c r="T305" s="774">
        <f t="shared" ca="1" si="101"/>
        <v>0</v>
      </c>
      <c r="U305" s="774">
        <f t="shared" ca="1" si="101"/>
        <v>0</v>
      </c>
      <c r="V305" s="774">
        <f t="shared" ca="1" si="101"/>
        <v>0</v>
      </c>
      <c r="W305" s="774">
        <f t="shared" ca="1" si="101"/>
        <v>0</v>
      </c>
      <c r="X305" s="774">
        <f t="shared" ca="1" si="101"/>
        <v>0</v>
      </c>
      <c r="Y305" s="774">
        <f t="shared" ca="1" si="101"/>
        <v>0</v>
      </c>
      <c r="Z305" s="774">
        <f t="shared" ca="1" si="101"/>
        <v>0</v>
      </c>
    </row>
    <row r="306" spans="2:26" ht="5" customHeight="1" x14ac:dyDescent="0.2"/>
    <row r="307" spans="2:26" hidden="1" outlineLevel="1" x14ac:dyDescent="0.2">
      <c r="B307" s="788" t="s">
        <v>437</v>
      </c>
      <c r="C307" s="793"/>
      <c r="D307" s="803">
        <f t="shared" ca="1" si="100"/>
        <v>52.417251889264939</v>
      </c>
      <c r="E307" s="793"/>
      <c r="F307" s="789">
        <f ca="1">+SUM(F299:F302,F304)</f>
        <v>0</v>
      </c>
      <c r="G307" s="789">
        <f t="shared" ref="G307:Z307" ca="1" si="102">+SUM(G299:G302,G304)</f>
        <v>8.8323397305169475</v>
      </c>
      <c r="H307" s="789">
        <f t="shared" ca="1" si="102"/>
        <v>40.367435805724206</v>
      </c>
      <c r="I307" s="789">
        <f t="shared" ca="1" si="102"/>
        <v>1.6087381765118907</v>
      </c>
      <c r="J307" s="789">
        <f t="shared" ca="1" si="102"/>
        <v>1.6087381765118907</v>
      </c>
      <c r="K307" s="789">
        <f t="shared" ca="1" si="102"/>
        <v>0</v>
      </c>
      <c r="L307" s="789">
        <f t="shared" ca="1" si="102"/>
        <v>0</v>
      </c>
      <c r="M307" s="789">
        <f t="shared" ca="1" si="102"/>
        <v>0</v>
      </c>
      <c r="N307" s="789">
        <f t="shared" ca="1" si="102"/>
        <v>0</v>
      </c>
      <c r="O307" s="789">
        <f t="shared" ca="1" si="102"/>
        <v>0</v>
      </c>
      <c r="P307" s="789">
        <f t="shared" ca="1" si="102"/>
        <v>0</v>
      </c>
      <c r="Q307" s="789">
        <f t="shared" ca="1" si="102"/>
        <v>0</v>
      </c>
      <c r="R307" s="789">
        <f t="shared" ca="1" si="102"/>
        <v>0</v>
      </c>
      <c r="S307" s="789">
        <f t="shared" ca="1" si="102"/>
        <v>0</v>
      </c>
      <c r="T307" s="789">
        <f t="shared" ca="1" si="102"/>
        <v>0</v>
      </c>
      <c r="U307" s="789">
        <f t="shared" ca="1" si="102"/>
        <v>0</v>
      </c>
      <c r="V307" s="789">
        <f t="shared" ca="1" si="102"/>
        <v>0</v>
      </c>
      <c r="W307" s="789">
        <f t="shared" ca="1" si="102"/>
        <v>0</v>
      </c>
      <c r="X307" s="789">
        <f t="shared" ca="1" si="102"/>
        <v>0</v>
      </c>
      <c r="Y307" s="789">
        <f t="shared" ca="1" si="102"/>
        <v>0</v>
      </c>
      <c r="Z307" s="789">
        <f t="shared" ca="1" si="102"/>
        <v>0</v>
      </c>
    </row>
    <row r="308" spans="2:26" hidden="1" outlineLevel="1" x14ac:dyDescent="0.2">
      <c r="B308" s="793"/>
      <c r="C308" s="793"/>
      <c r="D308" s="793"/>
      <c r="E308" s="793"/>
      <c r="F308" s="793"/>
      <c r="G308" s="793"/>
      <c r="H308" s="793"/>
      <c r="I308" s="793"/>
      <c r="J308" s="793"/>
      <c r="K308" s="793"/>
      <c r="L308" s="793"/>
      <c r="M308" s="793"/>
      <c r="N308" s="793"/>
      <c r="O308" s="793"/>
      <c r="P308" s="793"/>
      <c r="Q308" s="793"/>
      <c r="R308" s="793"/>
      <c r="S308" s="793"/>
      <c r="T308" s="793"/>
      <c r="U308" s="793"/>
      <c r="V308" s="793"/>
      <c r="W308" s="793"/>
      <c r="X308" s="793"/>
      <c r="Y308" s="793"/>
      <c r="Z308" s="793"/>
    </row>
    <row r="309" spans="2:26" collapsed="1" x14ac:dyDescent="0.2">
      <c r="B309" s="147" t="s">
        <v>348</v>
      </c>
    </row>
    <row r="310" spans="2:26" x14ac:dyDescent="0.2">
      <c r="B310" s="32" t="s">
        <v>349</v>
      </c>
      <c r="D310" s="47">
        <f ca="1">+SUM(F310:Z310)</f>
        <v>-36.283687849978747</v>
      </c>
      <c r="E310" s="47"/>
      <c r="F310" s="48">
        <f t="shared" ref="F310:Z310" ca="1" si="103">-F298</f>
        <v>-18.873780060831024</v>
      </c>
      <c r="G310" s="48">
        <f t="shared" ca="1" si="103"/>
        <v>-17.40990778914772</v>
      </c>
      <c r="H310" s="48">
        <f t="shared" ca="1" si="103"/>
        <v>0</v>
      </c>
      <c r="I310" s="48">
        <f t="shared" ca="1" si="103"/>
        <v>0</v>
      </c>
      <c r="J310" s="48">
        <f t="shared" ca="1" si="103"/>
        <v>0</v>
      </c>
      <c r="K310" s="48">
        <f t="shared" ca="1" si="103"/>
        <v>0</v>
      </c>
      <c r="L310" s="48">
        <f t="shared" ca="1" si="103"/>
        <v>0</v>
      </c>
      <c r="M310" s="48">
        <f t="shared" ca="1" si="103"/>
        <v>0</v>
      </c>
      <c r="N310" s="48">
        <f t="shared" ca="1" si="103"/>
        <v>0</v>
      </c>
      <c r="O310" s="48">
        <f t="shared" ca="1" si="103"/>
        <v>0</v>
      </c>
      <c r="P310" s="48">
        <f t="shared" ca="1" si="103"/>
        <v>0</v>
      </c>
      <c r="Q310" s="48">
        <f t="shared" ca="1" si="103"/>
        <v>0</v>
      </c>
      <c r="R310" s="48">
        <f t="shared" ca="1" si="103"/>
        <v>0</v>
      </c>
      <c r="S310" s="48">
        <f t="shared" ca="1" si="103"/>
        <v>0</v>
      </c>
      <c r="T310" s="48">
        <f t="shared" ca="1" si="103"/>
        <v>0</v>
      </c>
      <c r="U310" s="48">
        <f t="shared" ca="1" si="103"/>
        <v>0</v>
      </c>
      <c r="V310" s="48">
        <f t="shared" ca="1" si="103"/>
        <v>0</v>
      </c>
      <c r="W310" s="48">
        <f t="shared" ca="1" si="103"/>
        <v>0</v>
      </c>
      <c r="X310" s="48">
        <f t="shared" ca="1" si="103"/>
        <v>0</v>
      </c>
      <c r="Y310" s="48">
        <f t="shared" ca="1" si="103"/>
        <v>0</v>
      </c>
      <c r="Z310" s="48">
        <f t="shared" ca="1" si="103"/>
        <v>0</v>
      </c>
    </row>
    <row r="311" spans="2:26" x14ac:dyDescent="0.2">
      <c r="B311" s="32" t="s">
        <v>350</v>
      </c>
      <c r="D311" s="47">
        <f t="shared" ref="D311" ca="1" si="104">+SUM(F311:Z311)</f>
        <v>148.94726978481418</v>
      </c>
      <c r="E311" s="47"/>
      <c r="F311" s="772">
        <f ca="1">+F280</f>
        <v>0</v>
      </c>
      <c r="G311" s="772">
        <f t="shared" ref="G311:Z311" ca="1" si="105">+G280</f>
        <v>0</v>
      </c>
      <c r="H311" s="772">
        <f t="shared" ca="1" si="105"/>
        <v>0</v>
      </c>
      <c r="I311" s="772">
        <f t="shared" ca="1" si="105"/>
        <v>18.901765613567786</v>
      </c>
      <c r="J311" s="772">
        <f t="shared" ca="1" si="105"/>
        <v>3.0471949531564033</v>
      </c>
      <c r="K311" s="772">
        <f t="shared" ca="1" si="105"/>
        <v>3.4807736680041819</v>
      </c>
      <c r="L311" s="772">
        <f t="shared" ca="1" si="105"/>
        <v>4.3857327590233828</v>
      </c>
      <c r="M311" s="772">
        <f t="shared" ca="1" si="105"/>
        <v>4.6249668406341433</v>
      </c>
      <c r="N311" s="772">
        <f t="shared" ca="1" si="105"/>
        <v>114.50683595042824</v>
      </c>
      <c r="O311" s="772">
        <f t="shared" si="105"/>
        <v>0</v>
      </c>
      <c r="P311" s="772">
        <f t="shared" si="105"/>
        <v>0</v>
      </c>
      <c r="Q311" s="772">
        <f t="shared" si="105"/>
        <v>0</v>
      </c>
      <c r="R311" s="772">
        <f t="shared" si="105"/>
        <v>0</v>
      </c>
      <c r="S311" s="772">
        <f t="shared" si="105"/>
        <v>0</v>
      </c>
      <c r="T311" s="772">
        <f t="shared" si="105"/>
        <v>0</v>
      </c>
      <c r="U311" s="772">
        <f t="shared" si="105"/>
        <v>0</v>
      </c>
      <c r="V311" s="772">
        <f t="shared" si="105"/>
        <v>0</v>
      </c>
      <c r="W311" s="772">
        <f t="shared" si="105"/>
        <v>0</v>
      </c>
      <c r="X311" s="772">
        <f t="shared" si="105"/>
        <v>0</v>
      </c>
      <c r="Y311" s="772">
        <f t="shared" si="105"/>
        <v>0</v>
      </c>
      <c r="Z311" s="772">
        <f t="shared" si="105"/>
        <v>0</v>
      </c>
    </row>
    <row r="312" spans="2:26" x14ac:dyDescent="0.2">
      <c r="B312" s="137" t="s">
        <v>351</v>
      </c>
      <c r="C312" s="137"/>
      <c r="D312" s="138">
        <f ca="1">+SUM(F312:Z312)</f>
        <v>112.66358193483545</v>
      </c>
      <c r="E312" s="138"/>
      <c r="F312" s="774">
        <f ca="1">+SUM(F310:F311)</f>
        <v>-18.873780060831024</v>
      </c>
      <c r="G312" s="774">
        <f t="shared" ref="G312:Z312" ca="1" si="106">+SUM(G310:G311)</f>
        <v>-17.40990778914772</v>
      </c>
      <c r="H312" s="774">
        <f t="shared" ca="1" si="106"/>
        <v>0</v>
      </c>
      <c r="I312" s="774">
        <f t="shared" ca="1" si="106"/>
        <v>18.901765613567786</v>
      </c>
      <c r="J312" s="774">
        <f t="shared" ca="1" si="106"/>
        <v>3.0471949531564033</v>
      </c>
      <c r="K312" s="774">
        <f t="shared" ca="1" si="106"/>
        <v>3.4807736680041819</v>
      </c>
      <c r="L312" s="774">
        <f t="shared" ca="1" si="106"/>
        <v>4.3857327590233828</v>
      </c>
      <c r="M312" s="774">
        <f t="shared" ca="1" si="106"/>
        <v>4.6249668406341433</v>
      </c>
      <c r="N312" s="774">
        <f t="shared" ca="1" si="106"/>
        <v>114.50683595042824</v>
      </c>
      <c r="O312" s="774">
        <f t="shared" ca="1" si="106"/>
        <v>0</v>
      </c>
      <c r="P312" s="774">
        <f t="shared" ca="1" si="106"/>
        <v>0</v>
      </c>
      <c r="Q312" s="774">
        <f t="shared" ca="1" si="106"/>
        <v>0</v>
      </c>
      <c r="R312" s="774">
        <f t="shared" ca="1" si="106"/>
        <v>0</v>
      </c>
      <c r="S312" s="774">
        <f t="shared" ca="1" si="106"/>
        <v>0</v>
      </c>
      <c r="T312" s="774">
        <f t="shared" ca="1" si="106"/>
        <v>0</v>
      </c>
      <c r="U312" s="774">
        <f t="shared" ca="1" si="106"/>
        <v>0</v>
      </c>
      <c r="V312" s="774">
        <f t="shared" ca="1" si="106"/>
        <v>0</v>
      </c>
      <c r="W312" s="774">
        <f t="shared" ca="1" si="106"/>
        <v>0</v>
      </c>
      <c r="X312" s="774">
        <f t="shared" ca="1" si="106"/>
        <v>0</v>
      </c>
      <c r="Y312" s="774">
        <f t="shared" ca="1" si="106"/>
        <v>0</v>
      </c>
      <c r="Z312" s="774">
        <f t="shared" ca="1" si="106"/>
        <v>0</v>
      </c>
    </row>
    <row r="314" spans="2:26" x14ac:dyDescent="0.2">
      <c r="B314" s="188" t="s">
        <v>355</v>
      </c>
      <c r="C314" s="189">
        <f ca="1">+IRR(F312:Z312)</f>
        <v>0.25390363378108205</v>
      </c>
      <c r="I314" s="41"/>
    </row>
    <row r="315" spans="2:26" x14ac:dyDescent="0.2">
      <c r="B315" s="140" t="s">
        <v>353</v>
      </c>
      <c r="C315" s="775">
        <f ca="1">+SUM(F312:Z312)</f>
        <v>112.66358193483539</v>
      </c>
    </row>
    <row r="316" spans="2:26" x14ac:dyDescent="0.2">
      <c r="B316" s="192" t="s">
        <v>354</v>
      </c>
      <c r="C316" s="193">
        <f ca="1">+D311/-D310</f>
        <v>4.105075272410641</v>
      </c>
    </row>
    <row r="318" spans="2:26" x14ac:dyDescent="0.2">
      <c r="B318" s="36" t="s">
        <v>391</v>
      </c>
      <c r="C318" s="37"/>
      <c r="D318" s="37"/>
      <c r="E318" s="37"/>
      <c r="F318" s="135">
        <f>+F285</f>
        <v>44926</v>
      </c>
      <c r="G318" s="135">
        <f t="shared" ref="G318:Z318" si="107">+G285</f>
        <v>45291</v>
      </c>
      <c r="H318" s="135">
        <f t="shared" si="107"/>
        <v>45657</v>
      </c>
      <c r="I318" s="135">
        <f t="shared" si="107"/>
        <v>46022</v>
      </c>
      <c r="J318" s="135">
        <f t="shared" si="107"/>
        <v>46387</v>
      </c>
      <c r="K318" s="135">
        <f t="shared" si="107"/>
        <v>46752</v>
      </c>
      <c r="L318" s="135">
        <f t="shared" si="107"/>
        <v>47118</v>
      </c>
      <c r="M318" s="135">
        <f t="shared" si="107"/>
        <v>47483</v>
      </c>
      <c r="N318" s="135">
        <f t="shared" si="107"/>
        <v>47848</v>
      </c>
      <c r="O318" s="135">
        <f t="shared" si="107"/>
        <v>48213</v>
      </c>
      <c r="P318" s="135">
        <f t="shared" si="107"/>
        <v>48579</v>
      </c>
      <c r="Q318" s="135">
        <f t="shared" si="107"/>
        <v>48944</v>
      </c>
      <c r="R318" s="135">
        <f t="shared" si="107"/>
        <v>49309</v>
      </c>
      <c r="S318" s="135">
        <f t="shared" si="107"/>
        <v>49674</v>
      </c>
      <c r="T318" s="135">
        <f t="shared" si="107"/>
        <v>50040</v>
      </c>
      <c r="U318" s="135">
        <f t="shared" si="107"/>
        <v>50405</v>
      </c>
      <c r="V318" s="135">
        <f t="shared" si="107"/>
        <v>50770</v>
      </c>
      <c r="W318" s="135">
        <f t="shared" si="107"/>
        <v>51135</v>
      </c>
      <c r="X318" s="135">
        <f t="shared" si="107"/>
        <v>51501</v>
      </c>
      <c r="Y318" s="135">
        <f t="shared" si="107"/>
        <v>51866</v>
      </c>
      <c r="Z318" s="135">
        <f t="shared" si="107"/>
        <v>52231</v>
      </c>
    </row>
    <row r="319" spans="2:26" hidden="1" x14ac:dyDescent="0.2"/>
    <row r="320" spans="2:26" hidden="1" x14ac:dyDescent="0.2">
      <c r="B320" s="147" t="s">
        <v>248</v>
      </c>
      <c r="F320" s="776">
        <f>+F$297</f>
        <v>44926</v>
      </c>
      <c r="G320" s="776">
        <f t="shared" ref="G320:Z320" si="108">+G$297</f>
        <v>45291</v>
      </c>
      <c r="H320" s="776">
        <f t="shared" si="108"/>
        <v>45657</v>
      </c>
      <c r="I320" s="776">
        <f t="shared" si="108"/>
        <v>46022</v>
      </c>
      <c r="J320" s="776">
        <f t="shared" si="108"/>
        <v>46387</v>
      </c>
      <c r="K320" s="776">
        <f t="shared" si="108"/>
        <v>46752</v>
      </c>
      <c r="L320" s="776">
        <f t="shared" si="108"/>
        <v>47118</v>
      </c>
      <c r="M320" s="776">
        <f t="shared" si="108"/>
        <v>47483</v>
      </c>
      <c r="N320" s="776">
        <f t="shared" si="108"/>
        <v>47848</v>
      </c>
      <c r="O320" s="776">
        <f t="shared" si="108"/>
        <v>48213</v>
      </c>
      <c r="P320" s="776">
        <f t="shared" si="108"/>
        <v>48579</v>
      </c>
      <c r="Q320" s="776">
        <f t="shared" si="108"/>
        <v>48944</v>
      </c>
      <c r="R320" s="776">
        <f t="shared" si="108"/>
        <v>49309</v>
      </c>
      <c r="S320" s="776">
        <f t="shared" si="108"/>
        <v>49674</v>
      </c>
      <c r="T320" s="776">
        <f t="shared" si="108"/>
        <v>50040</v>
      </c>
      <c r="U320" s="776">
        <f t="shared" si="108"/>
        <v>50405</v>
      </c>
      <c r="V320" s="776">
        <f t="shared" si="108"/>
        <v>50770</v>
      </c>
      <c r="W320" s="776">
        <f t="shared" si="108"/>
        <v>51135</v>
      </c>
      <c r="X320" s="776">
        <f t="shared" si="108"/>
        <v>51501</v>
      </c>
      <c r="Y320" s="776">
        <f t="shared" si="108"/>
        <v>51866</v>
      </c>
      <c r="Z320" s="776">
        <f t="shared" si="108"/>
        <v>52231</v>
      </c>
    </row>
    <row r="321" spans="2:26" hidden="1" x14ac:dyDescent="0.2">
      <c r="B321" s="32" t="s">
        <v>767</v>
      </c>
      <c r="C321"/>
      <c r="D321"/>
      <c r="E321"/>
      <c r="F321" s="48">
        <f ca="1">+'Phase II Pro Forma'!F318/1000000</f>
        <v>0</v>
      </c>
      <c r="G321" s="48">
        <f ca="1">+'Phase II Pro Forma'!G318/1000000</f>
        <v>0</v>
      </c>
      <c r="H321" s="48">
        <f ca="1">+'Phase II Pro Forma'!H318/1000000</f>
        <v>0</v>
      </c>
      <c r="I321" s="48">
        <f ca="1">+'Phase II Pro Forma'!I318/1000000</f>
        <v>5.5255446244101583</v>
      </c>
      <c r="J321" s="48">
        <f ca="1">+'Phase II Pro Forma'!J318/1000000</f>
        <v>11.201767311985201</v>
      </c>
      <c r="K321" s="48">
        <f ca="1">+'Phase II Pro Forma'!K318/1000000</f>
        <v>11.403435464829812</v>
      </c>
      <c r="L321" s="48">
        <f ca="1">+'Phase II Pro Forma'!L318/1000000</f>
        <v>12.212578757939669</v>
      </c>
      <c r="M321" s="48">
        <f ca="1">+'Phase II Pro Forma'!M318/1000000</f>
        <v>12.379583089409325</v>
      </c>
      <c r="N321" s="48">
        <f ca="1">+'Phase II Pro Forma'!N318/1000000</f>
        <v>12.598984298541032</v>
      </c>
      <c r="O321" s="48">
        <f ca="1">+'Phase II Pro Forma'!O318/1000000</f>
        <v>12.824641957385866</v>
      </c>
      <c r="P321" s="48">
        <f ca="1">+'Phase II Pro Forma'!P318/1000000</f>
        <v>13.009494462040752</v>
      </c>
      <c r="Q321" s="48">
        <f ca="1">+'Phase II Pro Forma'!Q318/1000000</f>
        <v>13.910118964295345</v>
      </c>
      <c r="R321" s="48">
        <f ca="1">+'Phase II Pro Forma'!R318/1000000</f>
        <v>14.155654440265193</v>
      </c>
      <c r="S321" s="48">
        <f ca="1">+'Phase II Pro Forma'!S318/1000000</f>
        <v>14.360015913773319</v>
      </c>
      <c r="T321" s="48">
        <f ca="1">+'Phase II Pro Forma'!T318/1000000</f>
        <v>14.619782028232915</v>
      </c>
      <c r="U321" s="48">
        <f ca="1">+'Phase II Pro Forma'!U318/1000000</f>
        <v>14.886974462777273</v>
      </c>
      <c r="V321" s="48">
        <f ca="1">+'Phase II Pro Forma'!V318/1000000</f>
        <v>15.840752882371198</v>
      </c>
      <c r="W321" s="48">
        <f ca="1">+'Phase II Pro Forma'!W318/1000000</f>
        <v>16.123450643116509</v>
      </c>
      <c r="X321" s="48">
        <f ca="1">+'Phase II Pro Forma'!X318/1000000</f>
        <v>16.414240230604893</v>
      </c>
      <c r="Y321" s="48">
        <f ca="1">+'Phase II Pro Forma'!Y318/1000000</f>
        <v>16.663222195428929</v>
      </c>
      <c r="Z321" s="48">
        <f ca="1">+'Phase II Pro Forma'!Z318/1000000</f>
        <v>16.970907247983565</v>
      </c>
    </row>
    <row r="322" spans="2:26" hidden="1" x14ac:dyDescent="0.2">
      <c r="B322" s="32" t="s">
        <v>768</v>
      </c>
      <c r="C322"/>
      <c r="D322"/>
      <c r="E322"/>
      <c r="F322" s="772">
        <f ca="1">+'Phase II Pro Forma'!F319/1000000</f>
        <v>0</v>
      </c>
      <c r="G322" s="772">
        <f ca="1">+'Phase II Pro Forma'!G319/1000000</f>
        <v>0</v>
      </c>
      <c r="H322" s="772">
        <f ca="1">+'Phase II Pro Forma'!H319/1000000</f>
        <v>0</v>
      </c>
      <c r="I322" s="772">
        <f ca="1">+'Phase II Pro Forma'!I319/1000000</f>
        <v>1.4212776385162857</v>
      </c>
      <c r="J322" s="772">
        <f ca="1">+'Phase II Pro Forma'!J319/1000000</f>
        <v>3.2837611471437769</v>
      </c>
      <c r="K322" s="772">
        <f ca="1">+'Phase II Pro Forma'!K319/1000000</f>
        <v>3.515671709146944</v>
      </c>
      <c r="L322" s="772">
        <f ca="1">+'Phase II Pro Forma'!L319/1000000</f>
        <v>3.6114875070551147</v>
      </c>
      <c r="M322" s="772">
        <f ca="1">+'Phase II Pro Forma'!M319/1000000</f>
        <v>3.6837172571962182</v>
      </c>
      <c r="N322" s="772">
        <f ca="1">+'Phase II Pro Forma'!N319/1000000</f>
        <v>3.7834040133398794</v>
      </c>
      <c r="O322" s="772">
        <f ca="1">+'Phase II Pro Forma'!O319/1000000</f>
        <v>3.885084504606414</v>
      </c>
      <c r="P322" s="772">
        <f ca="1">+'Phase II Pro Forma'!P319/1000000</f>
        <v>3.9627861946985381</v>
      </c>
      <c r="Q322" s="772">
        <f ca="1">+'Phase II Pro Forma'!Q319/1000000</f>
        <v>4.0685745778122415</v>
      </c>
      <c r="R322" s="772">
        <f ca="1">+'Phase II Pro Forma'!R319/1000000</f>
        <v>4.1764787285882168</v>
      </c>
      <c r="S322" s="772">
        <f ca="1">+'Phase II Pro Forma'!S319/1000000</f>
        <v>4.2600083031599807</v>
      </c>
      <c r="T322" s="772">
        <f ca="1">+'Phase II Pro Forma'!T319/1000000</f>
        <v>4.3722717816273047</v>
      </c>
      <c r="U322" s="772">
        <f ca="1">+'Phase II Pro Forma'!U319/1000000</f>
        <v>4.4867805296639762</v>
      </c>
      <c r="V322" s="772">
        <f ca="1">+'Phase II Pro Forma'!V319/1000000</f>
        <v>4.5765161402572581</v>
      </c>
      <c r="W322" s="772">
        <f ca="1">+'Phase II Pro Forma'!W319/1000000</f>
        <v>4.695651041714612</v>
      </c>
      <c r="X322" s="772">
        <f ca="1">+'Phase II Pro Forma'!X319/1000000</f>
        <v>4.8171686412011088</v>
      </c>
      <c r="Y322" s="772">
        <f ca="1">+'Phase II Pro Forma'!Y319/1000000</f>
        <v>4.9135120140251347</v>
      </c>
      <c r="Z322" s="772">
        <f ca="1">+'Phase II Pro Forma'!Z319/1000000</f>
        <v>5.0399389245308885</v>
      </c>
    </row>
    <row r="323" spans="2:26" hidden="1" x14ac:dyDescent="0.2">
      <c r="B323" s="32" t="s">
        <v>769</v>
      </c>
      <c r="C323"/>
      <c r="D323"/>
      <c r="E323"/>
      <c r="F323" s="772">
        <f ca="1">+'Phase II Pro Forma'!F320/1000000</f>
        <v>0</v>
      </c>
      <c r="G323" s="772">
        <f ca="1">+'Phase II Pro Forma'!G320/1000000</f>
        <v>0</v>
      </c>
      <c r="H323" s="772">
        <f ca="1">+'Phase II Pro Forma'!H320/1000000</f>
        <v>0</v>
      </c>
      <c r="I323" s="772">
        <f ca="1">+'Phase II Pro Forma'!I320/1000000</f>
        <v>5.8678559999999997E-12</v>
      </c>
      <c r="J323" s="772">
        <f ca="1">+'Phase II Pro Forma'!J320/1000000</f>
        <v>1.1735711999999999E-11</v>
      </c>
      <c r="K323" s="772">
        <f ca="1">+'Phase II Pro Forma'!K320/1000000</f>
        <v>1.1735711999999999E-11</v>
      </c>
      <c r="L323" s="772">
        <f ca="1">+'Phase II Pro Forma'!L320/1000000</f>
        <v>1.2909283200000002E-11</v>
      </c>
      <c r="M323" s="772">
        <f ca="1">+'Phase II Pro Forma'!M320/1000000</f>
        <v>1.29092832E-11</v>
      </c>
      <c r="N323" s="772">
        <f ca="1">+'Phase II Pro Forma'!N320/1000000</f>
        <v>1.2909283200000002E-11</v>
      </c>
      <c r="O323" s="772">
        <f ca="1">+'Phase II Pro Forma'!O320/1000000</f>
        <v>1.2909283200000002E-11</v>
      </c>
      <c r="P323" s="772">
        <f ca="1">+'Phase II Pro Forma'!P320/1000000</f>
        <v>1.29092832E-11</v>
      </c>
      <c r="Q323" s="772">
        <f ca="1">+'Phase II Pro Forma'!Q320/1000000</f>
        <v>1.4200211520000004E-11</v>
      </c>
      <c r="R323" s="772">
        <f ca="1">+'Phase II Pro Forma'!R320/1000000</f>
        <v>1.420021152E-11</v>
      </c>
      <c r="S323" s="772">
        <f ca="1">+'Phase II Pro Forma'!S320/1000000</f>
        <v>1.4200211520000004E-11</v>
      </c>
      <c r="T323" s="772">
        <f ca="1">+'Phase II Pro Forma'!T320/1000000</f>
        <v>1.4200211520000005E-11</v>
      </c>
      <c r="U323" s="772">
        <f ca="1">+'Phase II Pro Forma'!U320/1000000</f>
        <v>1.420021152E-11</v>
      </c>
      <c r="V323" s="772">
        <f ca="1">+'Phase II Pro Forma'!V320/1000000</f>
        <v>1.5620232672000003E-11</v>
      </c>
      <c r="W323" s="772">
        <f ca="1">+'Phase II Pro Forma'!W320/1000000</f>
        <v>1.5620232672000003E-11</v>
      </c>
      <c r="X323" s="772">
        <f ca="1">+'Phase II Pro Forma'!X320/1000000</f>
        <v>1.5620232672000003E-11</v>
      </c>
      <c r="Y323" s="772">
        <f ca="1">+'Phase II Pro Forma'!Y320/1000000</f>
        <v>1.5620232672000003E-11</v>
      </c>
      <c r="Z323" s="772">
        <f ca="1">+'Phase II Pro Forma'!Z320/1000000</f>
        <v>1.5620232672000003E-11</v>
      </c>
    </row>
    <row r="324" spans="2:26" hidden="1" x14ac:dyDescent="0.2">
      <c r="B324" s="137" t="s">
        <v>248</v>
      </c>
      <c r="C324" s="137"/>
      <c r="D324" s="138"/>
      <c r="E324" s="138"/>
      <c r="F324" s="774">
        <f t="shared" ref="F324:Z324" ca="1" si="109">+SUM(F321:F323)</f>
        <v>0</v>
      </c>
      <c r="G324" s="774">
        <f t="shared" ca="1" si="109"/>
        <v>0</v>
      </c>
      <c r="H324" s="774">
        <f t="shared" ca="1" si="109"/>
        <v>0</v>
      </c>
      <c r="I324" s="774">
        <f t="shared" ca="1" si="109"/>
        <v>6.9468222629323124</v>
      </c>
      <c r="J324" s="774">
        <f t="shared" ca="1" si="109"/>
        <v>14.485528459140713</v>
      </c>
      <c r="K324" s="774">
        <f t="shared" ca="1" si="109"/>
        <v>14.919107173988492</v>
      </c>
      <c r="L324" s="774">
        <f t="shared" ca="1" si="109"/>
        <v>15.824066265007692</v>
      </c>
      <c r="M324" s="774">
        <f t="shared" ca="1" si="109"/>
        <v>16.063300346618455</v>
      </c>
      <c r="N324" s="774">
        <f t="shared" ca="1" si="109"/>
        <v>16.38238831189382</v>
      </c>
      <c r="O324" s="774">
        <f t="shared" ca="1" si="109"/>
        <v>16.70972646200519</v>
      </c>
      <c r="P324" s="774">
        <f t="shared" ca="1" si="109"/>
        <v>16.972280656752201</v>
      </c>
      <c r="Q324" s="774">
        <f t="shared" ca="1" si="109"/>
        <v>17.978693542121785</v>
      </c>
      <c r="R324" s="774">
        <f t="shared" ca="1" si="109"/>
        <v>18.33213316886761</v>
      </c>
      <c r="S324" s="774">
        <f t="shared" ca="1" si="109"/>
        <v>18.620024216947499</v>
      </c>
      <c r="T324" s="774">
        <f t="shared" ca="1" si="109"/>
        <v>18.99205380987442</v>
      </c>
      <c r="U324" s="774">
        <f t="shared" ca="1" si="109"/>
        <v>19.373754992455449</v>
      </c>
      <c r="V324" s="774">
        <f t="shared" ca="1" si="109"/>
        <v>20.417269022644078</v>
      </c>
      <c r="W324" s="774">
        <f t="shared" ca="1" si="109"/>
        <v>20.819101684846743</v>
      </c>
      <c r="X324" s="774">
        <f t="shared" ca="1" si="109"/>
        <v>21.231408871821625</v>
      </c>
      <c r="Y324" s="774">
        <f t="shared" ca="1" si="109"/>
        <v>21.576734209469684</v>
      </c>
      <c r="Z324" s="774">
        <f t="shared" ca="1" si="109"/>
        <v>22.010846172530076</v>
      </c>
    </row>
    <row r="325" spans="2:26" ht="5" hidden="1" customHeight="1" x14ac:dyDescent="0.2"/>
    <row r="326" spans="2:26" hidden="1" x14ac:dyDescent="0.2">
      <c r="B326" s="147" t="s">
        <v>149</v>
      </c>
      <c r="F326" s="776">
        <f>+F$297</f>
        <v>44926</v>
      </c>
      <c r="G326" s="776">
        <f t="shared" ref="G326:Z326" si="110">+G$297</f>
        <v>45291</v>
      </c>
      <c r="H326" s="776">
        <f t="shared" si="110"/>
        <v>45657</v>
      </c>
      <c r="I326" s="776">
        <f t="shared" si="110"/>
        <v>46022</v>
      </c>
      <c r="J326" s="776">
        <f t="shared" si="110"/>
        <v>46387</v>
      </c>
      <c r="K326" s="776">
        <f t="shared" si="110"/>
        <v>46752</v>
      </c>
      <c r="L326" s="776">
        <f t="shared" si="110"/>
        <v>47118</v>
      </c>
      <c r="M326" s="776">
        <f t="shared" si="110"/>
        <v>47483</v>
      </c>
      <c r="N326" s="776">
        <f t="shared" si="110"/>
        <v>47848</v>
      </c>
      <c r="O326" s="776">
        <f t="shared" si="110"/>
        <v>48213</v>
      </c>
      <c r="P326" s="776">
        <f t="shared" si="110"/>
        <v>48579</v>
      </c>
      <c r="Q326" s="776">
        <f t="shared" si="110"/>
        <v>48944</v>
      </c>
      <c r="R326" s="776">
        <f t="shared" si="110"/>
        <v>49309</v>
      </c>
      <c r="S326" s="776">
        <f t="shared" si="110"/>
        <v>49674</v>
      </c>
      <c r="T326" s="776">
        <f t="shared" si="110"/>
        <v>50040</v>
      </c>
      <c r="U326" s="776">
        <f t="shared" si="110"/>
        <v>50405</v>
      </c>
      <c r="V326" s="776">
        <f t="shared" si="110"/>
        <v>50770</v>
      </c>
      <c r="W326" s="776">
        <f t="shared" si="110"/>
        <v>51135</v>
      </c>
      <c r="X326" s="776">
        <f t="shared" si="110"/>
        <v>51501</v>
      </c>
      <c r="Y326" s="776">
        <f t="shared" si="110"/>
        <v>51866</v>
      </c>
      <c r="Z326" s="776">
        <f t="shared" si="110"/>
        <v>52231</v>
      </c>
    </row>
    <row r="327" spans="2:26" hidden="1" x14ac:dyDescent="0.2">
      <c r="B327" s="32" t="s">
        <v>336</v>
      </c>
      <c r="C327"/>
      <c r="D327"/>
      <c r="E327"/>
      <c r="F327" s="48">
        <f>+'Phase II Pro Forma'!F324/1000000</f>
        <v>0</v>
      </c>
      <c r="G327" s="48">
        <f>+'Phase II Pro Forma'!G324/1000000</f>
        <v>0</v>
      </c>
      <c r="H327" s="48">
        <f>+'Phase II Pro Forma'!H324/1000000</f>
        <v>0</v>
      </c>
      <c r="I327" s="48">
        <f>+'Phase II Pro Forma'!I324/1000000</f>
        <v>0</v>
      </c>
      <c r="J327" s="48">
        <f>+'Phase II Pro Forma'!J324/1000000</f>
        <v>0</v>
      </c>
      <c r="K327" s="48">
        <f>+'Phase II Pro Forma'!K324/1000000</f>
        <v>0</v>
      </c>
      <c r="L327" s="48">
        <f>+'Phase II Pro Forma'!L324/1000000</f>
        <v>0</v>
      </c>
      <c r="M327" s="48">
        <f>+'Phase II Pro Forma'!M324/1000000</f>
        <v>0</v>
      </c>
      <c r="N327" s="48">
        <f ca="1">+'Phase II Pro Forma'!N324/1000000</f>
        <v>262.80036609922303</v>
      </c>
      <c r="O327" s="48">
        <f>+'Phase II Pro Forma'!O324/1000000</f>
        <v>0</v>
      </c>
      <c r="P327" s="48">
        <f>+'Phase II Pro Forma'!P324/1000000</f>
        <v>0</v>
      </c>
      <c r="Q327" s="48">
        <f>+'Phase II Pro Forma'!Q324/1000000</f>
        <v>0</v>
      </c>
      <c r="R327" s="48">
        <f>+'Phase II Pro Forma'!R324/1000000</f>
        <v>0</v>
      </c>
      <c r="S327" s="48">
        <f>+'Phase II Pro Forma'!S324/1000000</f>
        <v>0</v>
      </c>
      <c r="T327" s="48">
        <f>+'Phase II Pro Forma'!T324/1000000</f>
        <v>0</v>
      </c>
      <c r="U327" s="48">
        <f>+'Phase II Pro Forma'!U324/1000000</f>
        <v>0</v>
      </c>
      <c r="V327" s="48">
        <f>+'Phase II Pro Forma'!V324/1000000</f>
        <v>0</v>
      </c>
      <c r="W327" s="48">
        <f>+'Phase II Pro Forma'!W324/1000000</f>
        <v>0</v>
      </c>
      <c r="X327" s="48">
        <f>+'Phase II Pro Forma'!X324/1000000</f>
        <v>0</v>
      </c>
      <c r="Y327" s="48">
        <f>+'Phase II Pro Forma'!Y324/1000000</f>
        <v>0</v>
      </c>
      <c r="Z327" s="48">
        <f>+'Phase II Pro Forma'!Z324/1000000</f>
        <v>0</v>
      </c>
    </row>
    <row r="328" spans="2:26" hidden="1" x14ac:dyDescent="0.2">
      <c r="B328" s="32" t="s">
        <v>337</v>
      </c>
      <c r="F328" s="772">
        <f>+'Phase II Pro Forma'!F325/1000000</f>
        <v>0</v>
      </c>
      <c r="G328" s="772">
        <f>+'Phase II Pro Forma'!G325/1000000</f>
        <v>0</v>
      </c>
      <c r="H328" s="772">
        <f>+'Phase II Pro Forma'!H325/1000000</f>
        <v>0</v>
      </c>
      <c r="I328" s="772">
        <f>+'Phase II Pro Forma'!I325/1000000</f>
        <v>0</v>
      </c>
      <c r="J328" s="772">
        <f>+'Phase II Pro Forma'!J325/1000000</f>
        <v>0</v>
      </c>
      <c r="K328" s="772">
        <f>+'Phase II Pro Forma'!K325/1000000</f>
        <v>0</v>
      </c>
      <c r="L328" s="772">
        <f>+'Phase II Pro Forma'!L325/1000000</f>
        <v>0</v>
      </c>
      <c r="M328" s="772">
        <f>+'Phase II Pro Forma'!M325/1000000</f>
        <v>0</v>
      </c>
      <c r="N328" s="772">
        <f ca="1">+'Phase II Pro Forma'!N325/1000000</f>
        <v>-5.2560073219844607</v>
      </c>
      <c r="O328" s="772">
        <f>+'Phase II Pro Forma'!O325/1000000</f>
        <v>0</v>
      </c>
      <c r="P328" s="772">
        <f>+'Phase II Pro Forma'!P325/1000000</f>
        <v>0</v>
      </c>
      <c r="Q328" s="772">
        <f>+'Phase II Pro Forma'!Q325/1000000</f>
        <v>0</v>
      </c>
      <c r="R328" s="772">
        <f>+'Phase II Pro Forma'!R325/1000000</f>
        <v>0</v>
      </c>
      <c r="S328" s="772">
        <f>+'Phase II Pro Forma'!S325/1000000</f>
        <v>0</v>
      </c>
      <c r="T328" s="772">
        <f>+'Phase II Pro Forma'!T325/1000000</f>
        <v>0</v>
      </c>
      <c r="U328" s="772">
        <f>+'Phase II Pro Forma'!U325/1000000</f>
        <v>0</v>
      </c>
      <c r="V328" s="772">
        <f>+'Phase II Pro Forma'!V325/1000000</f>
        <v>0</v>
      </c>
      <c r="W328" s="772">
        <f>+'Phase II Pro Forma'!W325/1000000</f>
        <v>0</v>
      </c>
      <c r="X328" s="772">
        <f>+'Phase II Pro Forma'!X325/1000000</f>
        <v>0</v>
      </c>
      <c r="Y328" s="772">
        <f>+'Phase II Pro Forma'!Y325/1000000</f>
        <v>0</v>
      </c>
      <c r="Z328" s="772">
        <f>+'Phase II Pro Forma'!Z325/1000000</f>
        <v>0</v>
      </c>
    </row>
    <row r="329" spans="2:26" hidden="1" x14ac:dyDescent="0.2">
      <c r="B329" s="137" t="s">
        <v>339</v>
      </c>
      <c r="C329" s="137"/>
      <c r="D329" s="138"/>
      <c r="E329" s="138"/>
      <c r="F329" s="774">
        <f>+SUM(F327:F328)</f>
        <v>0</v>
      </c>
      <c r="G329" s="774">
        <f t="shared" ref="G329:Z329" si="111">+SUM(G327:G328)</f>
        <v>0</v>
      </c>
      <c r="H329" s="774">
        <f t="shared" si="111"/>
        <v>0</v>
      </c>
      <c r="I329" s="774">
        <f t="shared" si="111"/>
        <v>0</v>
      </c>
      <c r="J329" s="774">
        <f t="shared" si="111"/>
        <v>0</v>
      </c>
      <c r="K329" s="774">
        <f t="shared" si="111"/>
        <v>0</v>
      </c>
      <c r="L329" s="774">
        <f t="shared" si="111"/>
        <v>0</v>
      </c>
      <c r="M329" s="774">
        <f t="shared" si="111"/>
        <v>0</v>
      </c>
      <c r="N329" s="774">
        <f t="shared" ca="1" si="111"/>
        <v>257.54435877723859</v>
      </c>
      <c r="O329" s="774">
        <f t="shared" si="111"/>
        <v>0</v>
      </c>
      <c r="P329" s="774">
        <f t="shared" si="111"/>
        <v>0</v>
      </c>
      <c r="Q329" s="774">
        <f t="shared" si="111"/>
        <v>0</v>
      </c>
      <c r="R329" s="774">
        <f t="shared" si="111"/>
        <v>0</v>
      </c>
      <c r="S329" s="774">
        <f t="shared" si="111"/>
        <v>0</v>
      </c>
      <c r="T329" s="774">
        <f t="shared" si="111"/>
        <v>0</v>
      </c>
      <c r="U329" s="774">
        <f t="shared" si="111"/>
        <v>0</v>
      </c>
      <c r="V329" s="774">
        <f t="shared" si="111"/>
        <v>0</v>
      </c>
      <c r="W329" s="774">
        <f t="shared" si="111"/>
        <v>0</v>
      </c>
      <c r="X329" s="774">
        <f t="shared" si="111"/>
        <v>0</v>
      </c>
      <c r="Y329" s="774">
        <f t="shared" si="111"/>
        <v>0</v>
      </c>
      <c r="Z329" s="774">
        <f t="shared" si="111"/>
        <v>0</v>
      </c>
    </row>
    <row r="330" spans="2:26" ht="5" hidden="1" customHeight="1" x14ac:dyDescent="0.2"/>
    <row r="331" spans="2:26" x14ac:dyDescent="0.2">
      <c r="B331" s="147" t="s">
        <v>392</v>
      </c>
      <c r="F331" s="776">
        <f t="shared" ref="F331:Z331" si="112">+F$297</f>
        <v>44926</v>
      </c>
      <c r="G331" s="776">
        <f t="shared" si="112"/>
        <v>45291</v>
      </c>
      <c r="H331" s="776">
        <f t="shared" si="112"/>
        <v>45657</v>
      </c>
      <c r="I331" s="776">
        <f t="shared" si="112"/>
        <v>46022</v>
      </c>
      <c r="J331" s="776">
        <f t="shared" si="112"/>
        <v>46387</v>
      </c>
      <c r="K331" s="776">
        <f t="shared" si="112"/>
        <v>46752</v>
      </c>
      <c r="L331" s="776">
        <f t="shared" si="112"/>
        <v>47118</v>
      </c>
      <c r="M331" s="776">
        <f t="shared" si="112"/>
        <v>47483</v>
      </c>
      <c r="N331" s="776">
        <f t="shared" si="112"/>
        <v>47848</v>
      </c>
      <c r="O331" s="776">
        <f t="shared" si="112"/>
        <v>48213</v>
      </c>
      <c r="P331" s="776">
        <f t="shared" si="112"/>
        <v>48579</v>
      </c>
      <c r="Q331" s="776">
        <f t="shared" si="112"/>
        <v>48944</v>
      </c>
      <c r="R331" s="776">
        <f t="shared" si="112"/>
        <v>49309</v>
      </c>
      <c r="S331" s="776">
        <f t="shared" si="112"/>
        <v>49674</v>
      </c>
      <c r="T331" s="776">
        <f t="shared" si="112"/>
        <v>50040</v>
      </c>
      <c r="U331" s="776">
        <f t="shared" si="112"/>
        <v>50405</v>
      </c>
      <c r="V331" s="776">
        <f t="shared" si="112"/>
        <v>50770</v>
      </c>
      <c r="W331" s="776">
        <f t="shared" si="112"/>
        <v>51135</v>
      </c>
      <c r="X331" s="776">
        <f t="shared" si="112"/>
        <v>51501</v>
      </c>
      <c r="Y331" s="776">
        <f t="shared" si="112"/>
        <v>51866</v>
      </c>
      <c r="Z331" s="776">
        <f t="shared" si="112"/>
        <v>52231</v>
      </c>
    </row>
    <row r="332" spans="2:26" x14ac:dyDescent="0.2">
      <c r="B332" s="32" t="s">
        <v>61</v>
      </c>
      <c r="D332" s="47">
        <f>+SUM(F332:Z332)</f>
        <v>0.8189731071428572</v>
      </c>
      <c r="E332" s="47"/>
      <c r="F332" s="48">
        <f>+'Phase II Pro Forma'!F329/1000000</f>
        <v>0.8189731071428572</v>
      </c>
      <c r="G332" s="48">
        <f>+'Phase II Pro Forma'!G329/1000000</f>
        <v>0</v>
      </c>
      <c r="H332" s="48">
        <f>+'Phase II Pro Forma'!H329/1000000</f>
        <v>0</v>
      </c>
      <c r="I332" s="48">
        <f>+'Phase II Pro Forma'!I329/1000000</f>
        <v>0</v>
      </c>
      <c r="J332" s="48">
        <f>+'Phase II Pro Forma'!J329/1000000</f>
        <v>0</v>
      </c>
      <c r="K332" s="48">
        <f>+'Phase II Pro Forma'!K329/1000000</f>
        <v>0</v>
      </c>
      <c r="L332" s="48">
        <f>+'Phase II Pro Forma'!L329/1000000</f>
        <v>0</v>
      </c>
      <c r="M332" s="48">
        <f>+'Phase II Pro Forma'!M329/1000000</f>
        <v>0</v>
      </c>
      <c r="N332" s="48">
        <f>+'Phase II Pro Forma'!N329/1000000</f>
        <v>0</v>
      </c>
      <c r="O332" s="48">
        <f>+'Phase II Pro Forma'!O329/1000000</f>
        <v>0</v>
      </c>
      <c r="P332" s="48">
        <f>+'Phase II Pro Forma'!P329/1000000</f>
        <v>0</v>
      </c>
      <c r="Q332" s="48">
        <f>+'Phase II Pro Forma'!Q329/1000000</f>
        <v>0</v>
      </c>
      <c r="R332" s="48">
        <f>+'Phase II Pro Forma'!R329/1000000</f>
        <v>0</v>
      </c>
      <c r="S332" s="48">
        <f>+'Phase II Pro Forma'!S329/1000000</f>
        <v>0</v>
      </c>
      <c r="T332" s="48">
        <f>+'Phase II Pro Forma'!T329/1000000</f>
        <v>0</v>
      </c>
      <c r="U332" s="48">
        <f>+'Phase II Pro Forma'!U329/1000000</f>
        <v>0</v>
      </c>
      <c r="V332" s="48">
        <f>+'Phase II Pro Forma'!V329/1000000</f>
        <v>0</v>
      </c>
      <c r="W332" s="48">
        <f>+'Phase II Pro Forma'!W329/1000000</f>
        <v>0</v>
      </c>
      <c r="X332" s="48">
        <f>+'Phase II Pro Forma'!X329/1000000</f>
        <v>0</v>
      </c>
      <c r="Y332" s="48">
        <f>+'Phase II Pro Forma'!Y329/1000000</f>
        <v>0</v>
      </c>
      <c r="Z332" s="48">
        <f>+'Phase II Pro Forma'!Z329/1000000</f>
        <v>0</v>
      </c>
    </row>
    <row r="333" spans="2:26" x14ac:dyDescent="0.2">
      <c r="B333" s="32" t="s">
        <v>8</v>
      </c>
      <c r="D333" s="47">
        <f t="shared" ref="D333:D338" si="113">+SUM(F333:Z333)</f>
        <v>10.4611</v>
      </c>
      <c r="E333" s="47"/>
      <c r="F333" s="772">
        <f>+'Phase II Pro Forma'!F330/1000000</f>
        <v>10.4611</v>
      </c>
      <c r="G333" s="772">
        <f>+'Phase II Pro Forma'!G330/1000000</f>
        <v>0</v>
      </c>
      <c r="H333" s="772">
        <f>+'Phase II Pro Forma'!H330/1000000</f>
        <v>0</v>
      </c>
      <c r="I333" s="772">
        <f>+'Phase II Pro Forma'!I330/1000000</f>
        <v>0</v>
      </c>
      <c r="J333" s="772">
        <f>+'Phase II Pro Forma'!J330/1000000</f>
        <v>0</v>
      </c>
      <c r="K333" s="772">
        <f>+'Phase II Pro Forma'!K330/1000000</f>
        <v>0</v>
      </c>
      <c r="L333" s="772">
        <f>+'Phase II Pro Forma'!L330/1000000</f>
        <v>0</v>
      </c>
      <c r="M333" s="772">
        <f>+'Phase II Pro Forma'!M330/1000000</f>
        <v>0</v>
      </c>
      <c r="N333" s="772">
        <f>+'Phase II Pro Forma'!N330/1000000</f>
        <v>0</v>
      </c>
      <c r="O333" s="772">
        <f>+'Phase II Pro Forma'!O330/1000000</f>
        <v>0</v>
      </c>
      <c r="P333" s="772">
        <f>+'Phase II Pro Forma'!P330/1000000</f>
        <v>0</v>
      </c>
      <c r="Q333" s="772">
        <f>+'Phase II Pro Forma'!Q330/1000000</f>
        <v>0</v>
      </c>
      <c r="R333" s="772">
        <f>+'Phase II Pro Forma'!R330/1000000</f>
        <v>0</v>
      </c>
      <c r="S333" s="772">
        <f>+'Phase II Pro Forma'!S330/1000000</f>
        <v>0</v>
      </c>
      <c r="T333" s="772">
        <f>+'Phase II Pro Forma'!T330/1000000</f>
        <v>0</v>
      </c>
      <c r="U333" s="772">
        <f>+'Phase II Pro Forma'!U330/1000000</f>
        <v>0</v>
      </c>
      <c r="V333" s="772">
        <f>+'Phase II Pro Forma'!V330/1000000</f>
        <v>0</v>
      </c>
      <c r="W333" s="772">
        <f>+'Phase II Pro Forma'!W330/1000000</f>
        <v>0</v>
      </c>
      <c r="X333" s="772">
        <f>+'Phase II Pro Forma'!X330/1000000</f>
        <v>0</v>
      </c>
      <c r="Y333" s="772">
        <f>+'Phase II Pro Forma'!Y330/1000000</f>
        <v>0</v>
      </c>
      <c r="Z333" s="772">
        <f>+'Phase II Pro Forma'!Z330/1000000</f>
        <v>0</v>
      </c>
    </row>
    <row r="334" spans="2:26" x14ac:dyDescent="0.2">
      <c r="B334" s="32" t="s">
        <v>57</v>
      </c>
      <c r="D334" s="47">
        <f t="shared" ca="1" si="113"/>
        <v>174.15552998339999</v>
      </c>
      <c r="E334" s="47"/>
      <c r="F334" s="772">
        <f>+'Phase II Pro Forma'!F331/1000000</f>
        <v>0</v>
      </c>
      <c r="G334" s="772">
        <f ca="1">+'Phase II Pro Forma'!G331/1000000</f>
        <v>87.077764991699993</v>
      </c>
      <c r="H334" s="772">
        <f ca="1">+'Phase II Pro Forma'!H331/1000000</f>
        <v>87.077764991699993</v>
      </c>
      <c r="I334" s="772">
        <f>+'Phase II Pro Forma'!I331/1000000</f>
        <v>0</v>
      </c>
      <c r="J334" s="772">
        <f>+'Phase II Pro Forma'!J331/1000000</f>
        <v>0</v>
      </c>
      <c r="K334" s="772">
        <f>+'Phase II Pro Forma'!K331/1000000</f>
        <v>0</v>
      </c>
      <c r="L334" s="772">
        <f>+'Phase II Pro Forma'!L331/1000000</f>
        <v>0</v>
      </c>
      <c r="M334" s="772">
        <f>+'Phase II Pro Forma'!M331/1000000</f>
        <v>0</v>
      </c>
      <c r="N334" s="772">
        <f>+'Phase II Pro Forma'!N331/1000000</f>
        <v>0</v>
      </c>
      <c r="O334" s="772">
        <f>+'Phase II Pro Forma'!O331/1000000</f>
        <v>0</v>
      </c>
      <c r="P334" s="772">
        <f>+'Phase II Pro Forma'!P331/1000000</f>
        <v>0</v>
      </c>
      <c r="Q334" s="772">
        <f>+'Phase II Pro Forma'!Q331/1000000</f>
        <v>0</v>
      </c>
      <c r="R334" s="772">
        <f>+'Phase II Pro Forma'!R331/1000000</f>
        <v>0</v>
      </c>
      <c r="S334" s="772">
        <f>+'Phase II Pro Forma'!S331/1000000</f>
        <v>0</v>
      </c>
      <c r="T334" s="772">
        <f>+'Phase II Pro Forma'!T331/1000000</f>
        <v>0</v>
      </c>
      <c r="U334" s="772">
        <f>+'Phase II Pro Forma'!U331/1000000</f>
        <v>0</v>
      </c>
      <c r="V334" s="772">
        <f>+'Phase II Pro Forma'!V331/1000000</f>
        <v>0</v>
      </c>
      <c r="W334" s="772">
        <f>+'Phase II Pro Forma'!W331/1000000</f>
        <v>0</v>
      </c>
      <c r="X334" s="772">
        <f>+'Phase II Pro Forma'!X331/1000000</f>
        <v>0</v>
      </c>
      <c r="Y334" s="772">
        <f>+'Phase II Pro Forma'!Y331/1000000</f>
        <v>0</v>
      </c>
      <c r="Z334" s="772">
        <f>+'Phase II Pro Forma'!Z331/1000000</f>
        <v>0</v>
      </c>
    </row>
    <row r="335" spans="2:26" x14ac:dyDescent="0.2">
      <c r="B335" s="32" t="s">
        <v>58</v>
      </c>
      <c r="D335" s="47">
        <f t="shared" ca="1" si="113"/>
        <v>13.380466778895908</v>
      </c>
      <c r="E335" s="47"/>
      <c r="F335" s="772">
        <f ca="1">+'Phase II Pro Forma'!F332/1000000</f>
        <v>7.5937069536881667</v>
      </c>
      <c r="G335" s="772">
        <f ca="1">+'Phase II Pro Forma'!G332/1000000</f>
        <v>2.8933799126038702</v>
      </c>
      <c r="H335" s="772">
        <f ca="1">+'Phase II Pro Forma'!H332/1000000</f>
        <v>2.8933799126038702</v>
      </c>
      <c r="I335" s="772">
        <f>+'Phase II Pro Forma'!I332/1000000</f>
        <v>0</v>
      </c>
      <c r="J335" s="772">
        <f>+'Phase II Pro Forma'!J332/1000000</f>
        <v>0</v>
      </c>
      <c r="K335" s="772">
        <f>+'Phase II Pro Forma'!K332/1000000</f>
        <v>0</v>
      </c>
      <c r="L335" s="772">
        <f>+'Phase II Pro Forma'!L332/1000000</f>
        <v>0</v>
      </c>
      <c r="M335" s="772">
        <f>+'Phase II Pro Forma'!M332/1000000</f>
        <v>0</v>
      </c>
      <c r="N335" s="772">
        <f>+'Phase II Pro Forma'!N332/1000000</f>
        <v>0</v>
      </c>
      <c r="O335" s="772">
        <f>+'Phase II Pro Forma'!O332/1000000</f>
        <v>0</v>
      </c>
      <c r="P335" s="772">
        <f>+'Phase II Pro Forma'!P332/1000000</f>
        <v>0</v>
      </c>
      <c r="Q335" s="772">
        <f>+'Phase II Pro Forma'!Q332/1000000</f>
        <v>0</v>
      </c>
      <c r="R335" s="772">
        <f>+'Phase II Pro Forma'!R332/1000000</f>
        <v>0</v>
      </c>
      <c r="S335" s="772">
        <f>+'Phase II Pro Forma'!S332/1000000</f>
        <v>0</v>
      </c>
      <c r="T335" s="772">
        <f>+'Phase II Pro Forma'!T332/1000000</f>
        <v>0</v>
      </c>
      <c r="U335" s="772">
        <f>+'Phase II Pro Forma'!U332/1000000</f>
        <v>0</v>
      </c>
      <c r="V335" s="772">
        <f>+'Phase II Pro Forma'!V332/1000000</f>
        <v>0</v>
      </c>
      <c r="W335" s="772">
        <f>+'Phase II Pro Forma'!W332/1000000</f>
        <v>0</v>
      </c>
      <c r="X335" s="772">
        <f>+'Phase II Pro Forma'!X332/1000000</f>
        <v>0</v>
      </c>
      <c r="Y335" s="772">
        <f>+'Phase II Pro Forma'!Y332/1000000</f>
        <v>0</v>
      </c>
      <c r="Z335" s="772">
        <f>+'Phase II Pro Forma'!Z332/1000000</f>
        <v>0</v>
      </c>
    </row>
    <row r="336" spans="2:26" hidden="1" x14ac:dyDescent="0.2">
      <c r="B336" s="32" t="s">
        <v>80</v>
      </c>
      <c r="D336" s="47">
        <f t="shared" si="113"/>
        <v>0</v>
      </c>
      <c r="E336" s="47"/>
      <c r="F336" s="772">
        <f>+'Phase II Pro Forma'!F333/1000000</f>
        <v>0</v>
      </c>
      <c r="G336" s="772">
        <f>+'Phase II Pro Forma'!G333/1000000</f>
        <v>0</v>
      </c>
      <c r="H336" s="772">
        <f>+'Phase II Pro Forma'!H333/1000000</f>
        <v>0</v>
      </c>
      <c r="I336" s="772">
        <f>+'Phase II Pro Forma'!I333/1000000</f>
        <v>0</v>
      </c>
      <c r="J336" s="772">
        <f>+'Phase II Pro Forma'!J333/1000000</f>
        <v>0</v>
      </c>
      <c r="K336" s="772">
        <f>+'Phase II Pro Forma'!K333/1000000</f>
        <v>0</v>
      </c>
      <c r="L336" s="772">
        <f>+'Phase II Pro Forma'!L333/1000000</f>
        <v>0</v>
      </c>
      <c r="M336" s="772">
        <f>+'Phase II Pro Forma'!M333/1000000</f>
        <v>0</v>
      </c>
      <c r="N336" s="772">
        <f>+'Phase II Pro Forma'!N333/1000000</f>
        <v>0</v>
      </c>
      <c r="O336" s="772">
        <f>+'Phase II Pro Forma'!O333/1000000</f>
        <v>0</v>
      </c>
      <c r="P336" s="772">
        <f>+'Phase II Pro Forma'!P333/1000000</f>
        <v>0</v>
      </c>
      <c r="Q336" s="772">
        <f>+'Phase II Pro Forma'!Q333/1000000</f>
        <v>0</v>
      </c>
      <c r="R336" s="772">
        <f>+'Phase II Pro Forma'!R333/1000000</f>
        <v>0</v>
      </c>
      <c r="S336" s="772">
        <f>+'Phase II Pro Forma'!S333/1000000</f>
        <v>0</v>
      </c>
      <c r="T336" s="772">
        <f>+'Phase II Pro Forma'!T333/1000000</f>
        <v>0</v>
      </c>
      <c r="U336" s="772">
        <f>+'Phase II Pro Forma'!U333/1000000</f>
        <v>0</v>
      </c>
      <c r="V336" s="772">
        <f>+'Phase II Pro Forma'!V333/1000000</f>
        <v>0</v>
      </c>
      <c r="W336" s="772">
        <f>+'Phase II Pro Forma'!W333/1000000</f>
        <v>0</v>
      </c>
      <c r="X336" s="772">
        <f>+'Phase II Pro Forma'!X333/1000000</f>
        <v>0</v>
      </c>
      <c r="Y336" s="772">
        <f>+'Phase II Pro Forma'!Y333/1000000</f>
        <v>0</v>
      </c>
      <c r="Z336" s="772">
        <f>+'Phase II Pro Forma'!Z333/1000000</f>
        <v>0</v>
      </c>
    </row>
    <row r="337" spans="2:26" x14ac:dyDescent="0.2">
      <c r="B337" s="32" t="s">
        <v>83</v>
      </c>
      <c r="D337" s="47">
        <f t="shared" ca="1" si="113"/>
        <v>0.44460763224393113</v>
      </c>
      <c r="E337" s="47"/>
      <c r="F337" s="772">
        <f>+'Phase II Pro Forma'!F334/1000000</f>
        <v>0</v>
      </c>
      <c r="G337" s="772">
        <f ca="1">+'Phase II Pro Forma'!G334/1000000</f>
        <v>0.22230381612196556</v>
      </c>
      <c r="H337" s="772">
        <f ca="1">+'Phase II Pro Forma'!H334/1000000</f>
        <v>0.22230381612196556</v>
      </c>
      <c r="I337" s="772">
        <f>+'Phase II Pro Forma'!I334/1000000</f>
        <v>0</v>
      </c>
      <c r="J337" s="772">
        <f>+'Phase II Pro Forma'!J334/1000000</f>
        <v>0</v>
      </c>
      <c r="K337" s="772">
        <f>+'Phase II Pro Forma'!K334/1000000</f>
        <v>0</v>
      </c>
      <c r="L337" s="772">
        <f>+'Phase II Pro Forma'!L334/1000000</f>
        <v>0</v>
      </c>
      <c r="M337" s="772">
        <f>+'Phase II Pro Forma'!M334/1000000</f>
        <v>0</v>
      </c>
      <c r="N337" s="772">
        <f>+'Phase II Pro Forma'!N334/1000000</f>
        <v>0</v>
      </c>
      <c r="O337" s="772">
        <f>+'Phase II Pro Forma'!O334/1000000</f>
        <v>0</v>
      </c>
      <c r="P337" s="772">
        <f>+'Phase II Pro Forma'!P334/1000000</f>
        <v>0</v>
      </c>
      <c r="Q337" s="772">
        <f>+'Phase II Pro Forma'!Q334/1000000</f>
        <v>0</v>
      </c>
      <c r="R337" s="772">
        <f>+'Phase II Pro Forma'!R334/1000000</f>
        <v>0</v>
      </c>
      <c r="S337" s="772">
        <f>+'Phase II Pro Forma'!S334/1000000</f>
        <v>0</v>
      </c>
      <c r="T337" s="772">
        <f>+'Phase II Pro Forma'!T334/1000000</f>
        <v>0</v>
      </c>
      <c r="U337" s="772">
        <f>+'Phase II Pro Forma'!U334/1000000</f>
        <v>0</v>
      </c>
      <c r="V337" s="772">
        <f>+'Phase II Pro Forma'!V334/1000000</f>
        <v>0</v>
      </c>
      <c r="W337" s="772">
        <f>+'Phase II Pro Forma'!W334/1000000</f>
        <v>0</v>
      </c>
      <c r="X337" s="772">
        <f>+'Phase II Pro Forma'!X334/1000000</f>
        <v>0</v>
      </c>
      <c r="Y337" s="772">
        <f>+'Phase II Pro Forma'!Y334/1000000</f>
        <v>0</v>
      </c>
      <c r="Z337" s="772">
        <f>+'Phase II Pro Forma'!Z334/1000000</f>
        <v>0</v>
      </c>
    </row>
    <row r="338" spans="2:26" x14ac:dyDescent="0.2">
      <c r="B338" s="32" t="s">
        <v>60</v>
      </c>
      <c r="D338" s="47">
        <f t="shared" ca="1" si="113"/>
        <v>6.4349527060475626</v>
      </c>
      <c r="E338" s="47"/>
      <c r="F338" s="772">
        <f ca="1">+'Phase II Pro Forma'!F335/1000000</f>
        <v>0</v>
      </c>
      <c r="G338" s="772">
        <f ca="1">+'Phase II Pro Forma'!G335/1000000</f>
        <v>1.6087381765118907</v>
      </c>
      <c r="H338" s="772">
        <f ca="1">+'Phase II Pro Forma'!H335/1000000</f>
        <v>1.6087381765118907</v>
      </c>
      <c r="I338" s="772">
        <f ca="1">+'Phase II Pro Forma'!I335/1000000</f>
        <v>1.6087381765118907</v>
      </c>
      <c r="J338" s="772">
        <f ca="1">+'Phase II Pro Forma'!J335/1000000</f>
        <v>1.6087381765118907</v>
      </c>
      <c r="K338" s="772">
        <f>+'Phase II Pro Forma'!K335/1000000</f>
        <v>0</v>
      </c>
      <c r="L338" s="772">
        <f>+'Phase II Pro Forma'!L335/1000000</f>
        <v>0</v>
      </c>
      <c r="M338" s="772">
        <f>+'Phase II Pro Forma'!M335/1000000</f>
        <v>0</v>
      </c>
      <c r="N338" s="772">
        <f>+'Phase II Pro Forma'!N335/1000000</f>
        <v>0</v>
      </c>
      <c r="O338" s="772">
        <f>+'Phase II Pro Forma'!O335/1000000</f>
        <v>0</v>
      </c>
      <c r="P338" s="772">
        <f>+'Phase II Pro Forma'!P335/1000000</f>
        <v>0</v>
      </c>
      <c r="Q338" s="772">
        <f>+'Phase II Pro Forma'!Q335/1000000</f>
        <v>0</v>
      </c>
      <c r="R338" s="772">
        <f>+'Phase II Pro Forma'!R335/1000000</f>
        <v>0</v>
      </c>
      <c r="S338" s="772">
        <f>+'Phase II Pro Forma'!S335/1000000</f>
        <v>0</v>
      </c>
      <c r="T338" s="772">
        <f>+'Phase II Pro Forma'!T335/1000000</f>
        <v>0</v>
      </c>
      <c r="U338" s="772">
        <f>+'Phase II Pro Forma'!U335/1000000</f>
        <v>0</v>
      </c>
      <c r="V338" s="772">
        <f>+'Phase II Pro Forma'!V335/1000000</f>
        <v>0</v>
      </c>
      <c r="W338" s="772">
        <f>+'Phase II Pro Forma'!W335/1000000</f>
        <v>0</v>
      </c>
      <c r="X338" s="772">
        <f>+'Phase II Pro Forma'!X335/1000000</f>
        <v>0</v>
      </c>
      <c r="Y338" s="772">
        <f>+'Phase II Pro Forma'!Y335/1000000</f>
        <v>0</v>
      </c>
      <c r="Z338" s="772">
        <f>+'Phase II Pro Forma'!Z335/1000000</f>
        <v>0</v>
      </c>
    </row>
    <row r="339" spans="2:26" x14ac:dyDescent="0.2">
      <c r="B339" s="137" t="s">
        <v>20</v>
      </c>
      <c r="C339" s="137"/>
      <c r="D339" s="138">
        <f ca="1">+SUM(F339:Z339)</f>
        <v>205.69563020773023</v>
      </c>
      <c r="E339" s="138"/>
      <c r="F339" s="774">
        <f ca="1">+SUM(F332:F338)</f>
        <v>18.873780060831024</v>
      </c>
      <c r="G339" s="774">
        <f t="shared" ref="G339:Z339" ca="1" si="114">+SUM(G332:G338)</f>
        <v>91.802186896937727</v>
      </c>
      <c r="H339" s="774">
        <f t="shared" ca="1" si="114"/>
        <v>91.802186896937727</v>
      </c>
      <c r="I339" s="774">
        <f t="shared" ca="1" si="114"/>
        <v>1.6087381765118907</v>
      </c>
      <c r="J339" s="774">
        <f t="shared" ca="1" si="114"/>
        <v>1.6087381765118907</v>
      </c>
      <c r="K339" s="774">
        <f t="shared" si="114"/>
        <v>0</v>
      </c>
      <c r="L339" s="774">
        <f t="shared" si="114"/>
        <v>0</v>
      </c>
      <c r="M339" s="774">
        <f t="shared" si="114"/>
        <v>0</v>
      </c>
      <c r="N339" s="774">
        <f t="shared" si="114"/>
        <v>0</v>
      </c>
      <c r="O339" s="774">
        <f t="shared" si="114"/>
        <v>0</v>
      </c>
      <c r="P339" s="774">
        <f t="shared" si="114"/>
        <v>0</v>
      </c>
      <c r="Q339" s="774">
        <f t="shared" si="114"/>
        <v>0</v>
      </c>
      <c r="R339" s="774">
        <f t="shared" si="114"/>
        <v>0</v>
      </c>
      <c r="S339" s="774">
        <f t="shared" si="114"/>
        <v>0</v>
      </c>
      <c r="T339" s="774">
        <f t="shared" si="114"/>
        <v>0</v>
      </c>
      <c r="U339" s="774">
        <f t="shared" si="114"/>
        <v>0</v>
      </c>
      <c r="V339" s="774">
        <f t="shared" si="114"/>
        <v>0</v>
      </c>
      <c r="W339" s="774">
        <f t="shared" si="114"/>
        <v>0</v>
      </c>
      <c r="X339" s="774">
        <f t="shared" si="114"/>
        <v>0</v>
      </c>
      <c r="Y339" s="774">
        <f t="shared" si="114"/>
        <v>0</v>
      </c>
      <c r="Z339" s="774">
        <f t="shared" si="114"/>
        <v>0</v>
      </c>
    </row>
    <row r="340" spans="2:26" ht="5" customHeight="1" x14ac:dyDescent="0.2"/>
    <row r="341" spans="2:26" x14ac:dyDescent="0.2">
      <c r="B341" s="147" t="s">
        <v>347</v>
      </c>
      <c r="F341" s="776">
        <f>+F318</f>
        <v>44926</v>
      </c>
      <c r="G341" s="776">
        <f t="shared" ref="G341:Z341" si="115">+G318</f>
        <v>45291</v>
      </c>
      <c r="H341" s="776">
        <f t="shared" si="115"/>
        <v>45657</v>
      </c>
      <c r="I341" s="776">
        <f t="shared" si="115"/>
        <v>46022</v>
      </c>
      <c r="J341" s="776">
        <f t="shared" si="115"/>
        <v>46387</v>
      </c>
      <c r="K341" s="776">
        <f t="shared" si="115"/>
        <v>46752</v>
      </c>
      <c r="L341" s="776">
        <f t="shared" si="115"/>
        <v>47118</v>
      </c>
      <c r="M341" s="776">
        <f t="shared" si="115"/>
        <v>47483</v>
      </c>
      <c r="N341" s="776">
        <f t="shared" si="115"/>
        <v>47848</v>
      </c>
      <c r="O341" s="776">
        <f t="shared" si="115"/>
        <v>48213</v>
      </c>
      <c r="P341" s="776">
        <f t="shared" si="115"/>
        <v>48579</v>
      </c>
      <c r="Q341" s="776">
        <f t="shared" si="115"/>
        <v>48944</v>
      </c>
      <c r="R341" s="776">
        <f t="shared" si="115"/>
        <v>49309</v>
      </c>
      <c r="S341" s="776">
        <f t="shared" si="115"/>
        <v>49674</v>
      </c>
      <c r="T341" s="776">
        <f t="shared" si="115"/>
        <v>50040</v>
      </c>
      <c r="U341" s="776">
        <f t="shared" si="115"/>
        <v>50405</v>
      </c>
      <c r="V341" s="776">
        <f t="shared" si="115"/>
        <v>50770</v>
      </c>
      <c r="W341" s="776">
        <f t="shared" si="115"/>
        <v>51135</v>
      </c>
      <c r="X341" s="776">
        <f t="shared" si="115"/>
        <v>51501</v>
      </c>
      <c r="Y341" s="776">
        <f t="shared" si="115"/>
        <v>51866</v>
      </c>
      <c r="Z341" s="776">
        <f t="shared" si="115"/>
        <v>52231</v>
      </c>
    </row>
    <row r="342" spans="2:26" x14ac:dyDescent="0.2">
      <c r="B342" s="32" t="s">
        <v>29</v>
      </c>
      <c r="D342" s="47">
        <f ca="1">+D339-SUM(D299:D302,D304)</f>
        <v>153.27837831846529</v>
      </c>
      <c r="E342" s="47"/>
      <c r="F342" s="48">
        <f ca="1">+'Phase II Pro Forma'!F339/1000000</f>
        <v>18.873780060831024</v>
      </c>
      <c r="G342" s="48">
        <f ca="1">+'Phase II Pro Forma'!G339/1000000</f>
        <v>91.802186896937712</v>
      </c>
      <c r="H342" s="48">
        <f ca="1">+'Phase II Pro Forma'!H339/1000000</f>
        <v>42.602411360696557</v>
      </c>
      <c r="I342" s="48">
        <f ca="1">+'Phase II Pro Forma'!I339/1000000</f>
        <v>0</v>
      </c>
      <c r="J342" s="48">
        <f ca="1">+'Phase II Pro Forma'!J339/1000000</f>
        <v>0</v>
      </c>
      <c r="K342" s="48">
        <f ca="1">+'Phase II Pro Forma'!K339/1000000</f>
        <v>0</v>
      </c>
      <c r="L342" s="48">
        <f ca="1">+'Phase II Pro Forma'!L339/1000000</f>
        <v>0</v>
      </c>
      <c r="M342" s="48">
        <f ca="1">+'Phase II Pro Forma'!M339/1000000</f>
        <v>0</v>
      </c>
      <c r="N342" s="48">
        <f ca="1">+'Phase II Pro Forma'!N339/1000000</f>
        <v>0</v>
      </c>
      <c r="O342" s="48">
        <f ca="1">+'Phase II Pro Forma'!O339/1000000</f>
        <v>0</v>
      </c>
      <c r="P342" s="48">
        <f ca="1">+'Phase II Pro Forma'!P339/1000000</f>
        <v>0</v>
      </c>
      <c r="Q342" s="48">
        <f ca="1">+'Phase II Pro Forma'!Q339/1000000</f>
        <v>0</v>
      </c>
      <c r="R342" s="48">
        <f ca="1">+'Phase II Pro Forma'!R339/1000000</f>
        <v>0</v>
      </c>
      <c r="S342" s="48">
        <f ca="1">+'Phase II Pro Forma'!S339/1000000</f>
        <v>0</v>
      </c>
      <c r="T342" s="48">
        <f ca="1">+'Phase II Pro Forma'!T339/1000000</f>
        <v>0</v>
      </c>
      <c r="U342" s="48">
        <f ca="1">+'Phase II Pro Forma'!U339/1000000</f>
        <v>0</v>
      </c>
      <c r="V342" s="48">
        <f ca="1">+'Phase II Pro Forma'!V339/1000000</f>
        <v>0</v>
      </c>
      <c r="W342" s="48">
        <f ca="1">+'Phase II Pro Forma'!W339/1000000</f>
        <v>0</v>
      </c>
      <c r="X342" s="48">
        <f ca="1">+'Phase II Pro Forma'!X339/1000000</f>
        <v>0</v>
      </c>
      <c r="Y342" s="48">
        <f ca="1">+'Phase II Pro Forma'!Y339/1000000</f>
        <v>0</v>
      </c>
      <c r="Z342" s="48">
        <f ca="1">+'Phase II Pro Forma'!Z339/1000000</f>
        <v>0</v>
      </c>
    </row>
    <row r="343" spans="2:26" hidden="1" x14ac:dyDescent="0.2">
      <c r="B343" s="32" t="s">
        <v>326</v>
      </c>
      <c r="D343" s="47">
        <f t="shared" ref="D343:D349" ca="1" si="116">+SUM(F343:Z343)</f>
        <v>0</v>
      </c>
      <c r="E343" s="47"/>
      <c r="F343" s="772">
        <f ca="1">+'Phase II Pro Forma'!F340/1000000</f>
        <v>0</v>
      </c>
      <c r="G343" s="772">
        <f ca="1">+'Phase II Pro Forma'!G340/1000000</f>
        <v>0</v>
      </c>
      <c r="H343" s="772">
        <f ca="1">+'Phase II Pro Forma'!H340/1000000</f>
        <v>0</v>
      </c>
      <c r="I343" s="772">
        <f ca="1">+'Phase II Pro Forma'!I340/1000000</f>
        <v>0</v>
      </c>
      <c r="J343" s="772">
        <f ca="1">+'Phase II Pro Forma'!J340/1000000</f>
        <v>0</v>
      </c>
      <c r="K343" s="772">
        <f ca="1">+'Phase II Pro Forma'!K340/1000000</f>
        <v>0</v>
      </c>
      <c r="L343" s="772">
        <f ca="1">+'Phase II Pro Forma'!L340/1000000</f>
        <v>0</v>
      </c>
      <c r="M343" s="772">
        <f ca="1">+'Phase II Pro Forma'!M340/1000000</f>
        <v>0</v>
      </c>
      <c r="N343" s="772">
        <f ca="1">+'Phase II Pro Forma'!N340/1000000</f>
        <v>0</v>
      </c>
      <c r="O343" s="772">
        <f ca="1">+'Phase II Pro Forma'!O340/1000000</f>
        <v>0</v>
      </c>
      <c r="P343" s="772">
        <f ca="1">+'Phase II Pro Forma'!P340/1000000</f>
        <v>0</v>
      </c>
      <c r="Q343" s="772">
        <f ca="1">+'Phase II Pro Forma'!Q340/1000000</f>
        <v>0</v>
      </c>
      <c r="R343" s="772">
        <f ca="1">+'Phase II Pro Forma'!R340/1000000</f>
        <v>0</v>
      </c>
      <c r="S343" s="772">
        <f ca="1">+'Phase II Pro Forma'!S340/1000000</f>
        <v>0</v>
      </c>
      <c r="T343" s="772">
        <f ca="1">+'Phase II Pro Forma'!T340/1000000</f>
        <v>0</v>
      </c>
      <c r="U343" s="772">
        <f ca="1">+'Phase II Pro Forma'!U340/1000000</f>
        <v>0</v>
      </c>
      <c r="V343" s="772">
        <f ca="1">+'Phase II Pro Forma'!V340/1000000</f>
        <v>0</v>
      </c>
      <c r="W343" s="772">
        <f ca="1">+'Phase II Pro Forma'!W340/1000000</f>
        <v>0</v>
      </c>
      <c r="X343" s="772">
        <f ca="1">+'Phase II Pro Forma'!X340/1000000</f>
        <v>0</v>
      </c>
      <c r="Y343" s="772">
        <f ca="1">+'Phase II Pro Forma'!Y340/1000000</f>
        <v>0</v>
      </c>
      <c r="Z343" s="772">
        <f ca="1">+'Phase II Pro Forma'!Z340/1000000</f>
        <v>0</v>
      </c>
    </row>
    <row r="344" spans="2:26" x14ac:dyDescent="0.2">
      <c r="B344" s="32" t="s">
        <v>99</v>
      </c>
      <c r="D344" s="47">
        <f t="shared" ca="1" si="116"/>
        <v>8.8323397304545477</v>
      </c>
      <c r="E344" s="47"/>
      <c r="F344" s="772">
        <f ca="1">+'Phase II Pro Forma'!F341/1000000</f>
        <v>0</v>
      </c>
      <c r="G344" s="772">
        <f ca="1">+'Phase II Pro Forma'!G341/1000000</f>
        <v>0</v>
      </c>
      <c r="H344" s="772">
        <f ca="1">+'Phase II Pro Forma'!H341/1000000</f>
        <v>8.8323397304545477</v>
      </c>
      <c r="I344" s="772">
        <f ca="1">+'Phase II Pro Forma'!I341/1000000</f>
        <v>0</v>
      </c>
      <c r="J344" s="772">
        <f ca="1">+'Phase II Pro Forma'!J341/1000000</f>
        <v>0</v>
      </c>
      <c r="K344" s="772">
        <f ca="1">+'Phase II Pro Forma'!K341/1000000</f>
        <v>0</v>
      </c>
      <c r="L344" s="772">
        <f ca="1">+'Phase II Pro Forma'!L341/1000000</f>
        <v>0</v>
      </c>
      <c r="M344" s="772">
        <f ca="1">+'Phase II Pro Forma'!M341/1000000</f>
        <v>0</v>
      </c>
      <c r="N344" s="772">
        <f ca="1">+'Phase II Pro Forma'!N341/1000000</f>
        <v>0</v>
      </c>
      <c r="O344" s="772">
        <f ca="1">+'Phase II Pro Forma'!O341/1000000</f>
        <v>0</v>
      </c>
      <c r="P344" s="772">
        <f ca="1">+'Phase II Pro Forma'!P341/1000000</f>
        <v>0</v>
      </c>
      <c r="Q344" s="772">
        <f ca="1">+'Phase II Pro Forma'!Q341/1000000</f>
        <v>0</v>
      </c>
      <c r="R344" s="772">
        <f ca="1">+'Phase II Pro Forma'!R341/1000000</f>
        <v>0</v>
      </c>
      <c r="S344" s="772">
        <f ca="1">+'Phase II Pro Forma'!S341/1000000</f>
        <v>0</v>
      </c>
      <c r="T344" s="772">
        <f ca="1">+'Phase II Pro Forma'!T341/1000000</f>
        <v>0</v>
      </c>
      <c r="U344" s="772">
        <f ca="1">+'Phase II Pro Forma'!U341/1000000</f>
        <v>0</v>
      </c>
      <c r="V344" s="772">
        <f ca="1">+'Phase II Pro Forma'!V341/1000000</f>
        <v>0</v>
      </c>
      <c r="W344" s="772">
        <f ca="1">+'Phase II Pro Forma'!W341/1000000</f>
        <v>0</v>
      </c>
      <c r="X344" s="772">
        <f ca="1">+'Phase II Pro Forma'!X341/1000000</f>
        <v>0</v>
      </c>
      <c r="Y344" s="772">
        <f ca="1">+'Phase II Pro Forma'!Y341/1000000</f>
        <v>0</v>
      </c>
      <c r="Z344" s="772">
        <f ca="1">+'Phase II Pro Forma'!Z341/1000000</f>
        <v>0</v>
      </c>
    </row>
    <row r="345" spans="2:26" x14ac:dyDescent="0.2">
      <c r="B345" s="32" t="s">
        <v>100</v>
      </c>
      <c r="D345" s="47">
        <f t="shared" ca="1" si="116"/>
        <v>6.2400000000000012E-11</v>
      </c>
      <c r="E345" s="47"/>
      <c r="F345" s="772">
        <f ca="1">+'Phase II Pro Forma'!F342/1000000</f>
        <v>0</v>
      </c>
      <c r="G345" s="772">
        <f ca="1">+'Phase II Pro Forma'!G342/1000000</f>
        <v>0</v>
      </c>
      <c r="H345" s="772">
        <f ca="1">+'Phase II Pro Forma'!H342/1000000</f>
        <v>6.2400000000000012E-11</v>
      </c>
      <c r="I345" s="772">
        <f ca="1">+'Phase II Pro Forma'!I342/1000000</f>
        <v>0</v>
      </c>
      <c r="J345" s="772">
        <f ca="1">+'Phase II Pro Forma'!J342/1000000</f>
        <v>0</v>
      </c>
      <c r="K345" s="772">
        <f ca="1">+'Phase II Pro Forma'!K342/1000000</f>
        <v>0</v>
      </c>
      <c r="L345" s="772">
        <f ca="1">+'Phase II Pro Forma'!L342/1000000</f>
        <v>0</v>
      </c>
      <c r="M345" s="772">
        <f ca="1">+'Phase II Pro Forma'!M342/1000000</f>
        <v>0</v>
      </c>
      <c r="N345" s="772">
        <f ca="1">+'Phase II Pro Forma'!N342/1000000</f>
        <v>0</v>
      </c>
      <c r="O345" s="772">
        <f ca="1">+'Phase II Pro Forma'!O342/1000000</f>
        <v>0</v>
      </c>
      <c r="P345" s="772">
        <f ca="1">+'Phase II Pro Forma'!P342/1000000</f>
        <v>0</v>
      </c>
      <c r="Q345" s="772">
        <f ca="1">+'Phase II Pro Forma'!Q342/1000000</f>
        <v>0</v>
      </c>
      <c r="R345" s="772">
        <f ca="1">+'Phase II Pro Forma'!R342/1000000</f>
        <v>0</v>
      </c>
      <c r="S345" s="772">
        <f ca="1">+'Phase II Pro Forma'!S342/1000000</f>
        <v>0</v>
      </c>
      <c r="T345" s="772">
        <f ca="1">+'Phase II Pro Forma'!T342/1000000</f>
        <v>0</v>
      </c>
      <c r="U345" s="772">
        <f ca="1">+'Phase II Pro Forma'!U342/1000000</f>
        <v>0</v>
      </c>
      <c r="V345" s="772">
        <f ca="1">+'Phase II Pro Forma'!V342/1000000</f>
        <v>0</v>
      </c>
      <c r="W345" s="772">
        <f ca="1">+'Phase II Pro Forma'!W342/1000000</f>
        <v>0</v>
      </c>
      <c r="X345" s="772">
        <f ca="1">+'Phase II Pro Forma'!X342/1000000</f>
        <v>0</v>
      </c>
      <c r="Y345" s="772">
        <f ca="1">+'Phase II Pro Forma'!Y342/1000000</f>
        <v>0</v>
      </c>
      <c r="Z345" s="772">
        <f ca="1">+'Phase II Pro Forma'!Z342/1000000</f>
        <v>0</v>
      </c>
    </row>
    <row r="346" spans="2:26" x14ac:dyDescent="0.2">
      <c r="B346" s="32" t="s">
        <v>613</v>
      </c>
      <c r="D346" s="47">
        <f t="shared" ca="1" si="116"/>
        <v>0</v>
      </c>
      <c r="E346" s="47"/>
      <c r="F346" s="772">
        <f ca="1">+'Phase II Pro Forma'!F343/1000000</f>
        <v>0</v>
      </c>
      <c r="G346" s="772">
        <f ca="1">+'Phase II Pro Forma'!G343/1000000</f>
        <v>0</v>
      </c>
      <c r="H346" s="772">
        <f ca="1">+'Phase II Pro Forma'!H343/1000000</f>
        <v>0</v>
      </c>
      <c r="I346" s="772">
        <f ca="1">+'Phase II Pro Forma'!I343/1000000</f>
        <v>0</v>
      </c>
      <c r="J346" s="772">
        <f ca="1">+'Phase II Pro Forma'!J343/1000000</f>
        <v>0</v>
      </c>
      <c r="K346" s="772">
        <f ca="1">+'Phase II Pro Forma'!K343/1000000</f>
        <v>0</v>
      </c>
      <c r="L346" s="772">
        <f ca="1">+'Phase II Pro Forma'!L343/1000000</f>
        <v>0</v>
      </c>
      <c r="M346" s="772">
        <f ca="1">+'Phase II Pro Forma'!M343/1000000</f>
        <v>0</v>
      </c>
      <c r="N346" s="772">
        <f ca="1">+'Phase II Pro Forma'!N343/1000000</f>
        <v>0</v>
      </c>
      <c r="O346" s="772">
        <f ca="1">+'Phase II Pro Forma'!O343/1000000</f>
        <v>0</v>
      </c>
      <c r="P346" s="772">
        <f ca="1">+'Phase II Pro Forma'!P343/1000000</f>
        <v>0</v>
      </c>
      <c r="Q346" s="772">
        <f ca="1">+'Phase II Pro Forma'!Q343/1000000</f>
        <v>0</v>
      </c>
      <c r="R346" s="772">
        <f ca="1">+'Phase II Pro Forma'!R343/1000000</f>
        <v>0</v>
      </c>
      <c r="S346" s="772">
        <f ca="1">+'Phase II Pro Forma'!S343/1000000</f>
        <v>0</v>
      </c>
      <c r="T346" s="772">
        <f ca="1">+'Phase II Pro Forma'!T343/1000000</f>
        <v>0</v>
      </c>
      <c r="U346" s="772">
        <f ca="1">+'Phase II Pro Forma'!U343/1000000</f>
        <v>0</v>
      </c>
      <c r="V346" s="772">
        <f ca="1">+'Phase II Pro Forma'!V343/1000000</f>
        <v>0</v>
      </c>
      <c r="W346" s="772">
        <f ca="1">+'Phase II Pro Forma'!W343/1000000</f>
        <v>0</v>
      </c>
      <c r="X346" s="772">
        <f ca="1">+'Phase II Pro Forma'!X343/1000000</f>
        <v>0</v>
      </c>
      <c r="Y346" s="772">
        <f ca="1">+'Phase II Pro Forma'!Y343/1000000</f>
        <v>0</v>
      </c>
      <c r="Z346" s="772">
        <f ca="1">+'Phase II Pro Forma'!Z343/1000000</f>
        <v>0</v>
      </c>
    </row>
    <row r="347" spans="2:26" hidden="1" x14ac:dyDescent="0.2">
      <c r="B347" s="32" t="s">
        <v>330</v>
      </c>
      <c r="D347" s="47">
        <f t="shared" si="116"/>
        <v>0</v>
      </c>
      <c r="E347" s="47"/>
      <c r="F347" s="772">
        <f>+'Phase II Pro Forma'!F344/1000000</f>
        <v>0</v>
      </c>
      <c r="G347" s="772">
        <f>+'Phase II Pro Forma'!G344/1000000</f>
        <v>0</v>
      </c>
      <c r="H347" s="772">
        <f>+'Phase II Pro Forma'!H344/1000000</f>
        <v>0</v>
      </c>
      <c r="I347" s="772">
        <f>+'Phase II Pro Forma'!I344/1000000</f>
        <v>0</v>
      </c>
      <c r="J347" s="772">
        <f>+'Phase II Pro Forma'!J344/1000000</f>
        <v>0</v>
      </c>
      <c r="K347" s="772">
        <f>+'Phase II Pro Forma'!K344/1000000</f>
        <v>0</v>
      </c>
      <c r="L347" s="772">
        <f>+'Phase II Pro Forma'!L344/1000000</f>
        <v>0</v>
      </c>
      <c r="M347" s="772">
        <f>+'Phase II Pro Forma'!M344/1000000</f>
        <v>0</v>
      </c>
      <c r="N347" s="772">
        <f>+'Phase II Pro Forma'!N344/1000000</f>
        <v>0</v>
      </c>
      <c r="O347" s="772">
        <f>+'Phase II Pro Forma'!O344/1000000</f>
        <v>0</v>
      </c>
      <c r="P347" s="772">
        <f>+'Phase II Pro Forma'!P344/1000000</f>
        <v>0</v>
      </c>
      <c r="Q347" s="772">
        <f>+'Phase II Pro Forma'!Q344/1000000</f>
        <v>0</v>
      </c>
      <c r="R347" s="772">
        <f>+'Phase II Pro Forma'!R344/1000000</f>
        <v>0</v>
      </c>
      <c r="S347" s="772">
        <f>+'Phase II Pro Forma'!S344/1000000</f>
        <v>0</v>
      </c>
      <c r="T347" s="772">
        <f>+'Phase II Pro Forma'!T344/1000000</f>
        <v>0</v>
      </c>
      <c r="U347" s="772">
        <f>+'Phase II Pro Forma'!U344/1000000</f>
        <v>0</v>
      </c>
      <c r="V347" s="772">
        <f>+'Phase II Pro Forma'!V344/1000000</f>
        <v>0</v>
      </c>
      <c r="W347" s="772">
        <f>+'Phase II Pro Forma'!W344/1000000</f>
        <v>0</v>
      </c>
      <c r="X347" s="772">
        <f>+'Phase II Pro Forma'!X344/1000000</f>
        <v>0</v>
      </c>
      <c r="Y347" s="772">
        <f>+'Phase II Pro Forma'!Y344/1000000</f>
        <v>0</v>
      </c>
      <c r="Z347" s="772">
        <f>+'Phase II Pro Forma'!Z344/1000000</f>
        <v>0</v>
      </c>
    </row>
    <row r="348" spans="2:26" x14ac:dyDescent="0.2">
      <c r="B348" s="32" t="s">
        <v>98</v>
      </c>
      <c r="D348" s="47">
        <f t="shared" ca="1" si="116"/>
        <v>43.584912158747997</v>
      </c>
      <c r="E348" s="47"/>
      <c r="F348" s="772">
        <f ca="1">+'Phase II Pro Forma'!F345/1000000</f>
        <v>0</v>
      </c>
      <c r="G348" s="772">
        <f ca="1">+'Phase II Pro Forma'!G345/1000000</f>
        <v>0</v>
      </c>
      <c r="H348" s="772">
        <f ca="1">+'Phase II Pro Forma'!H345/1000000</f>
        <v>40.367435805724213</v>
      </c>
      <c r="I348" s="772">
        <f ca="1">+'Phase II Pro Forma'!I345/1000000</f>
        <v>1.6087381765118907</v>
      </c>
      <c r="J348" s="772">
        <f ca="1">+'Phase II Pro Forma'!J345/1000000</f>
        <v>1.6087381765118907</v>
      </c>
      <c r="K348" s="772">
        <f ca="1">+'Phase II Pro Forma'!K345/1000000</f>
        <v>0</v>
      </c>
      <c r="L348" s="772">
        <f ca="1">+'Phase II Pro Forma'!L345/1000000</f>
        <v>0</v>
      </c>
      <c r="M348" s="772">
        <f ca="1">+'Phase II Pro Forma'!M345/1000000</f>
        <v>0</v>
      </c>
      <c r="N348" s="772">
        <f ca="1">+'Phase II Pro Forma'!N345/1000000</f>
        <v>0</v>
      </c>
      <c r="O348" s="772">
        <f ca="1">+'Phase II Pro Forma'!O345/1000000</f>
        <v>0</v>
      </c>
      <c r="P348" s="772">
        <f ca="1">+'Phase II Pro Forma'!P345/1000000</f>
        <v>0</v>
      </c>
      <c r="Q348" s="772">
        <f ca="1">+'Phase II Pro Forma'!Q345/1000000</f>
        <v>0</v>
      </c>
      <c r="R348" s="772">
        <f ca="1">+'Phase II Pro Forma'!R345/1000000</f>
        <v>0</v>
      </c>
      <c r="S348" s="772">
        <f ca="1">+'Phase II Pro Forma'!S345/1000000</f>
        <v>0</v>
      </c>
      <c r="T348" s="772">
        <f ca="1">+'Phase II Pro Forma'!T345/1000000</f>
        <v>0</v>
      </c>
      <c r="U348" s="772">
        <f ca="1">+'Phase II Pro Forma'!U345/1000000</f>
        <v>0</v>
      </c>
      <c r="V348" s="772">
        <f ca="1">+'Phase II Pro Forma'!V345/1000000</f>
        <v>0</v>
      </c>
      <c r="W348" s="772">
        <f ca="1">+'Phase II Pro Forma'!W345/1000000</f>
        <v>0</v>
      </c>
      <c r="X348" s="772">
        <f ca="1">+'Phase II Pro Forma'!X345/1000000</f>
        <v>0</v>
      </c>
      <c r="Y348" s="772">
        <f ca="1">+'Phase II Pro Forma'!Y345/1000000</f>
        <v>0</v>
      </c>
      <c r="Z348" s="772">
        <f ca="1">+'Phase II Pro Forma'!Z345/1000000</f>
        <v>0</v>
      </c>
    </row>
    <row r="349" spans="2:26" x14ac:dyDescent="0.2">
      <c r="B349" s="137" t="s">
        <v>377</v>
      </c>
      <c r="C349" s="137"/>
      <c r="D349" s="138">
        <f t="shared" ca="1" si="116"/>
        <v>205.6956302077302</v>
      </c>
      <c r="E349" s="138"/>
      <c r="F349" s="774">
        <f t="shared" ref="F349:Z349" ca="1" si="117">+SUM(F342:F348)</f>
        <v>18.873780060831024</v>
      </c>
      <c r="G349" s="774">
        <f t="shared" ca="1" si="117"/>
        <v>91.802186896937712</v>
      </c>
      <c r="H349" s="774">
        <f t="shared" ca="1" si="117"/>
        <v>91.802186896937712</v>
      </c>
      <c r="I349" s="774">
        <f t="shared" ca="1" si="117"/>
        <v>1.6087381765118907</v>
      </c>
      <c r="J349" s="774">
        <f t="shared" ca="1" si="117"/>
        <v>1.6087381765118907</v>
      </c>
      <c r="K349" s="774">
        <f t="shared" ca="1" si="117"/>
        <v>0</v>
      </c>
      <c r="L349" s="774">
        <f t="shared" ca="1" si="117"/>
        <v>0</v>
      </c>
      <c r="M349" s="774">
        <f t="shared" ca="1" si="117"/>
        <v>0</v>
      </c>
      <c r="N349" s="774">
        <f t="shared" ca="1" si="117"/>
        <v>0</v>
      </c>
      <c r="O349" s="774">
        <f t="shared" ca="1" si="117"/>
        <v>0</v>
      </c>
      <c r="P349" s="774">
        <f t="shared" ca="1" si="117"/>
        <v>0</v>
      </c>
      <c r="Q349" s="774">
        <f t="shared" ca="1" si="117"/>
        <v>0</v>
      </c>
      <c r="R349" s="774">
        <f t="shared" ca="1" si="117"/>
        <v>0</v>
      </c>
      <c r="S349" s="774">
        <f t="shared" ca="1" si="117"/>
        <v>0</v>
      </c>
      <c r="T349" s="774">
        <f t="shared" ca="1" si="117"/>
        <v>0</v>
      </c>
      <c r="U349" s="774">
        <f t="shared" ca="1" si="117"/>
        <v>0</v>
      </c>
      <c r="V349" s="774">
        <f t="shared" ca="1" si="117"/>
        <v>0</v>
      </c>
      <c r="W349" s="774">
        <f t="shared" ca="1" si="117"/>
        <v>0</v>
      </c>
      <c r="X349" s="774">
        <f t="shared" ca="1" si="117"/>
        <v>0</v>
      </c>
      <c r="Y349" s="774">
        <f t="shared" ca="1" si="117"/>
        <v>0</v>
      </c>
      <c r="Z349" s="774">
        <f t="shared" ca="1" si="117"/>
        <v>0</v>
      </c>
    </row>
    <row r="350" spans="2:26" ht="5" customHeight="1" x14ac:dyDescent="0.2"/>
    <row r="351" spans="2:26" x14ac:dyDescent="0.2">
      <c r="B351" s="147" t="s">
        <v>348</v>
      </c>
    </row>
    <row r="352" spans="2:26" x14ac:dyDescent="0.2">
      <c r="B352" s="32" t="s">
        <v>349</v>
      </c>
      <c r="D352" s="47">
        <f ca="1">+SUM(F352:Z352)</f>
        <v>-153.27837831846529</v>
      </c>
      <c r="E352" s="47"/>
      <c r="F352" s="48">
        <f ca="1">-F342</f>
        <v>-18.873780060831024</v>
      </c>
      <c r="G352" s="48">
        <f t="shared" ref="G352:Z352" ca="1" si="118">-G342</f>
        <v>-91.802186896937712</v>
      </c>
      <c r="H352" s="48">
        <f t="shared" ca="1" si="118"/>
        <v>-42.602411360696557</v>
      </c>
      <c r="I352" s="48">
        <f t="shared" ca="1" si="118"/>
        <v>0</v>
      </c>
      <c r="J352" s="48">
        <f t="shared" ca="1" si="118"/>
        <v>0</v>
      </c>
      <c r="K352" s="48">
        <f t="shared" ca="1" si="118"/>
        <v>0</v>
      </c>
      <c r="L352" s="48">
        <f t="shared" ca="1" si="118"/>
        <v>0</v>
      </c>
      <c r="M352" s="48">
        <f t="shared" ca="1" si="118"/>
        <v>0</v>
      </c>
      <c r="N352" s="48">
        <f t="shared" ca="1" si="118"/>
        <v>0</v>
      </c>
      <c r="O352" s="48">
        <f t="shared" ca="1" si="118"/>
        <v>0</v>
      </c>
      <c r="P352" s="48">
        <f t="shared" ca="1" si="118"/>
        <v>0</v>
      </c>
      <c r="Q352" s="48">
        <f t="shared" ca="1" si="118"/>
        <v>0</v>
      </c>
      <c r="R352" s="48">
        <f t="shared" ca="1" si="118"/>
        <v>0</v>
      </c>
      <c r="S352" s="48">
        <f t="shared" ca="1" si="118"/>
        <v>0</v>
      </c>
      <c r="T352" s="48">
        <f t="shared" ca="1" si="118"/>
        <v>0</v>
      </c>
      <c r="U352" s="48">
        <f t="shared" ca="1" si="118"/>
        <v>0</v>
      </c>
      <c r="V352" s="48">
        <f t="shared" ca="1" si="118"/>
        <v>0</v>
      </c>
      <c r="W352" s="48">
        <f t="shared" ca="1" si="118"/>
        <v>0</v>
      </c>
      <c r="X352" s="48">
        <f t="shared" ca="1" si="118"/>
        <v>0</v>
      </c>
      <c r="Y352" s="48">
        <f t="shared" ca="1" si="118"/>
        <v>0</v>
      </c>
      <c r="Z352" s="48">
        <f t="shared" ca="1" si="118"/>
        <v>0</v>
      </c>
    </row>
    <row r="353" spans="2:26" x14ac:dyDescent="0.2">
      <c r="B353" s="32" t="s">
        <v>350</v>
      </c>
      <c r="D353" s="47">
        <f t="shared" ref="D353" ca="1" si="119">+SUM(F353:Z353)</f>
        <v>342.16557159682009</v>
      </c>
      <c r="E353" s="47"/>
      <c r="F353" s="772">
        <f ca="1">+'Phase II Pro Forma'!F350/1000000</f>
        <v>0</v>
      </c>
      <c r="G353" s="772">
        <f ca="1">+'Phase II Pro Forma'!G350/1000000</f>
        <v>0</v>
      </c>
      <c r="H353" s="772">
        <f ca="1">+'Phase II Pro Forma'!H350/1000000</f>
        <v>0</v>
      </c>
      <c r="I353" s="772">
        <f ca="1">+'Phase II Pro Forma'!I350/1000000</f>
        <v>6.9468222629323115</v>
      </c>
      <c r="J353" s="772">
        <f ca="1">+'Phase II Pro Forma'!J350/1000000</f>
        <v>14.485528459140713</v>
      </c>
      <c r="K353" s="772">
        <f ca="1">+'Phase II Pro Forma'!K350/1000000</f>
        <v>14.919107173988493</v>
      </c>
      <c r="L353" s="772">
        <f ca="1">+'Phase II Pro Forma'!L350/1000000</f>
        <v>15.824066265007694</v>
      </c>
      <c r="M353" s="772">
        <f ca="1">+'Phase II Pro Forma'!M350/1000000</f>
        <v>16.063300346618455</v>
      </c>
      <c r="N353" s="772">
        <f ca="1">+'Phase II Pro Forma'!N350/1000000</f>
        <v>273.92674708913239</v>
      </c>
      <c r="O353" s="772">
        <f>+'Phase II Pro Forma'!O350/1000000</f>
        <v>0</v>
      </c>
      <c r="P353" s="772">
        <f>+'Phase II Pro Forma'!P350/1000000</f>
        <v>0</v>
      </c>
      <c r="Q353" s="772">
        <f>+'Phase II Pro Forma'!Q350/1000000</f>
        <v>0</v>
      </c>
      <c r="R353" s="772">
        <f>+'Phase II Pro Forma'!R350/1000000</f>
        <v>0</v>
      </c>
      <c r="S353" s="772">
        <f>+'Phase II Pro Forma'!S350/1000000</f>
        <v>0</v>
      </c>
      <c r="T353" s="772">
        <f>+'Phase II Pro Forma'!T350/1000000</f>
        <v>0</v>
      </c>
      <c r="U353" s="772">
        <f>+'Phase II Pro Forma'!U350/1000000</f>
        <v>0</v>
      </c>
      <c r="V353" s="772">
        <f>+'Phase II Pro Forma'!V350/1000000</f>
        <v>0</v>
      </c>
      <c r="W353" s="772">
        <f>+'Phase II Pro Forma'!W350/1000000</f>
        <v>0</v>
      </c>
      <c r="X353" s="772">
        <f>+'Phase II Pro Forma'!X350/1000000</f>
        <v>0</v>
      </c>
      <c r="Y353" s="772">
        <f>+'Phase II Pro Forma'!Y350/1000000</f>
        <v>0</v>
      </c>
      <c r="Z353" s="772">
        <f>+'Phase II Pro Forma'!Z350/1000000</f>
        <v>0</v>
      </c>
    </row>
    <row r="354" spans="2:26" x14ac:dyDescent="0.2">
      <c r="B354" s="137" t="s">
        <v>351</v>
      </c>
      <c r="C354" s="137"/>
      <c r="D354" s="138">
        <f ca="1">+SUM(F354:Z354)</f>
        <v>188.88719327835483</v>
      </c>
      <c r="E354" s="138"/>
      <c r="F354" s="774">
        <f ca="1">+SUM(F352:F353)</f>
        <v>-18.873780060831024</v>
      </c>
      <c r="G354" s="774">
        <f t="shared" ref="G354:Z354" ca="1" si="120">+SUM(G352:G353)</f>
        <v>-91.802186896937712</v>
      </c>
      <c r="H354" s="774">
        <f t="shared" ca="1" si="120"/>
        <v>-42.602411360696557</v>
      </c>
      <c r="I354" s="774">
        <f t="shared" ca="1" si="120"/>
        <v>6.9468222629323115</v>
      </c>
      <c r="J354" s="774">
        <f t="shared" ca="1" si="120"/>
        <v>14.485528459140713</v>
      </c>
      <c r="K354" s="774">
        <f t="shared" ca="1" si="120"/>
        <v>14.919107173988493</v>
      </c>
      <c r="L354" s="774">
        <f t="shared" ca="1" si="120"/>
        <v>15.824066265007694</v>
      </c>
      <c r="M354" s="774">
        <f t="shared" ca="1" si="120"/>
        <v>16.063300346618455</v>
      </c>
      <c r="N354" s="774">
        <f t="shared" ca="1" si="120"/>
        <v>273.92674708913239</v>
      </c>
      <c r="O354" s="774">
        <f t="shared" ca="1" si="120"/>
        <v>0</v>
      </c>
      <c r="P354" s="774">
        <f t="shared" ca="1" si="120"/>
        <v>0</v>
      </c>
      <c r="Q354" s="774">
        <f t="shared" ca="1" si="120"/>
        <v>0</v>
      </c>
      <c r="R354" s="774">
        <f t="shared" ca="1" si="120"/>
        <v>0</v>
      </c>
      <c r="S354" s="774">
        <f t="shared" ca="1" si="120"/>
        <v>0</v>
      </c>
      <c r="T354" s="774">
        <f t="shared" ca="1" si="120"/>
        <v>0</v>
      </c>
      <c r="U354" s="774">
        <f t="shared" ca="1" si="120"/>
        <v>0</v>
      </c>
      <c r="V354" s="774">
        <f t="shared" ca="1" si="120"/>
        <v>0</v>
      </c>
      <c r="W354" s="774">
        <f t="shared" ca="1" si="120"/>
        <v>0</v>
      </c>
      <c r="X354" s="774">
        <f t="shared" ca="1" si="120"/>
        <v>0</v>
      </c>
      <c r="Y354" s="774">
        <f t="shared" ca="1" si="120"/>
        <v>0</v>
      </c>
      <c r="Z354" s="774">
        <f t="shared" ca="1" si="120"/>
        <v>0</v>
      </c>
    </row>
    <row r="356" spans="2:26" x14ac:dyDescent="0.2">
      <c r="B356" s="188" t="s">
        <v>393</v>
      </c>
      <c r="C356" s="189">
        <f ca="1">+IRR(F354:Z354)</f>
        <v>0.13785665601180264</v>
      </c>
    </row>
    <row r="357" spans="2:26" x14ac:dyDescent="0.2">
      <c r="B357" s="140" t="s">
        <v>353</v>
      </c>
      <c r="C357" s="141">
        <f ca="1">+SUM(F354:Z354)</f>
        <v>188.88719327835477</v>
      </c>
    </row>
    <row r="358" spans="2:26" x14ac:dyDescent="0.2">
      <c r="B358" s="192" t="s">
        <v>354</v>
      </c>
      <c r="C358" s="193">
        <f ca="1">+D353/-D352</f>
        <v>2.2323146640154645</v>
      </c>
    </row>
    <row r="360" spans="2:26" s="793" customFormat="1" hidden="1" x14ac:dyDescent="0.2">
      <c r="B360" s="806" t="s">
        <v>411</v>
      </c>
      <c r="C360" s="807"/>
      <c r="D360" s="807"/>
      <c r="E360" s="807"/>
      <c r="F360" s="808">
        <f>+F341</f>
        <v>44926</v>
      </c>
      <c r="G360" s="808">
        <f t="shared" ref="G360:Z360" si="121">+G341</f>
        <v>45291</v>
      </c>
      <c r="H360" s="808">
        <f t="shared" si="121"/>
        <v>45657</v>
      </c>
      <c r="I360" s="808">
        <f t="shared" si="121"/>
        <v>46022</v>
      </c>
      <c r="J360" s="808">
        <f t="shared" si="121"/>
        <v>46387</v>
      </c>
      <c r="K360" s="808">
        <f t="shared" si="121"/>
        <v>46752</v>
      </c>
      <c r="L360" s="808">
        <f t="shared" si="121"/>
        <v>47118</v>
      </c>
      <c r="M360" s="808">
        <f t="shared" si="121"/>
        <v>47483</v>
      </c>
      <c r="N360" s="808">
        <f t="shared" si="121"/>
        <v>47848</v>
      </c>
      <c r="O360" s="808">
        <f t="shared" si="121"/>
        <v>48213</v>
      </c>
      <c r="P360" s="808">
        <f t="shared" si="121"/>
        <v>48579</v>
      </c>
      <c r="Q360" s="808">
        <f t="shared" si="121"/>
        <v>48944</v>
      </c>
      <c r="R360" s="808">
        <f t="shared" si="121"/>
        <v>49309</v>
      </c>
      <c r="S360" s="808">
        <f t="shared" si="121"/>
        <v>49674</v>
      </c>
      <c r="T360" s="808">
        <f t="shared" si="121"/>
        <v>50040</v>
      </c>
      <c r="U360" s="808">
        <f t="shared" si="121"/>
        <v>50405</v>
      </c>
      <c r="V360" s="808">
        <f t="shared" si="121"/>
        <v>50770</v>
      </c>
      <c r="W360" s="808">
        <f t="shared" si="121"/>
        <v>51135</v>
      </c>
      <c r="X360" s="808">
        <f t="shared" si="121"/>
        <v>51501</v>
      </c>
      <c r="Y360" s="808">
        <f t="shared" si="121"/>
        <v>51866</v>
      </c>
      <c r="Z360" s="808">
        <f t="shared" si="121"/>
        <v>52231</v>
      </c>
    </row>
    <row r="361" spans="2:26" s="793" customFormat="1" hidden="1" x14ac:dyDescent="0.2">
      <c r="B361" s="809"/>
    </row>
    <row r="362" spans="2:26" s="793" customFormat="1" hidden="1" x14ac:dyDescent="0.2">
      <c r="B362" s="810" t="s">
        <v>407</v>
      </c>
      <c r="F362" s="810">
        <v>0</v>
      </c>
      <c r="G362" s="810">
        <f>+F362+1</f>
        <v>1</v>
      </c>
      <c r="H362" s="810">
        <f t="shared" ref="H362:Z362" si="122">+G362+1</f>
        <v>2</v>
      </c>
      <c r="I362" s="810">
        <f t="shared" si="122"/>
        <v>3</v>
      </c>
      <c r="J362" s="810">
        <f t="shared" si="122"/>
        <v>4</v>
      </c>
      <c r="K362" s="810">
        <f t="shared" si="122"/>
        <v>5</v>
      </c>
      <c r="L362" s="810">
        <f t="shared" si="122"/>
        <v>6</v>
      </c>
      <c r="M362" s="810">
        <f t="shared" si="122"/>
        <v>7</v>
      </c>
      <c r="N362" s="810">
        <f t="shared" si="122"/>
        <v>8</v>
      </c>
      <c r="O362" s="810">
        <f t="shared" si="122"/>
        <v>9</v>
      </c>
      <c r="P362" s="810">
        <f t="shared" si="122"/>
        <v>10</v>
      </c>
      <c r="Q362" s="810">
        <f t="shared" si="122"/>
        <v>11</v>
      </c>
      <c r="R362" s="810">
        <f t="shared" si="122"/>
        <v>12</v>
      </c>
      <c r="S362" s="810">
        <f t="shared" si="122"/>
        <v>13</v>
      </c>
      <c r="T362" s="810">
        <f t="shared" si="122"/>
        <v>14</v>
      </c>
      <c r="U362" s="810">
        <f t="shared" si="122"/>
        <v>15</v>
      </c>
      <c r="V362" s="810">
        <f t="shared" si="122"/>
        <v>16</v>
      </c>
      <c r="W362" s="810">
        <f t="shared" si="122"/>
        <v>17</v>
      </c>
      <c r="X362" s="810">
        <f t="shared" si="122"/>
        <v>18</v>
      </c>
      <c r="Y362" s="810">
        <f t="shared" si="122"/>
        <v>19</v>
      </c>
      <c r="Z362" s="810">
        <f t="shared" si="122"/>
        <v>20</v>
      </c>
    </row>
    <row r="363" spans="2:26" s="793" customFormat="1" hidden="1" x14ac:dyDescent="0.2">
      <c r="B363" s="788" t="s">
        <v>398</v>
      </c>
      <c r="D363" s="803"/>
      <c r="E363" s="803"/>
      <c r="F363" s="792">
        <f ca="1">+'Phase II Pro Forma'!F360/1000000</f>
        <v>-18.873780060831024</v>
      </c>
      <c r="G363" s="792">
        <f ca="1">+'Phase II Pro Forma'!G360/1000000</f>
        <v>-91.802186896937712</v>
      </c>
      <c r="H363" s="792">
        <f ca="1">+'Phase II Pro Forma'!H360/1000000</f>
        <v>-42.602411360696557</v>
      </c>
      <c r="I363" s="792">
        <f ca="1">+'Phase II Pro Forma'!I360/1000000</f>
        <v>0</v>
      </c>
      <c r="J363" s="792">
        <f ca="1">+'Phase II Pro Forma'!J360/1000000</f>
        <v>0</v>
      </c>
      <c r="K363" s="792">
        <f ca="1">+'Phase II Pro Forma'!K360/1000000</f>
        <v>0</v>
      </c>
      <c r="L363" s="792">
        <f ca="1">+'Phase II Pro Forma'!L360/1000000</f>
        <v>0</v>
      </c>
      <c r="M363" s="792">
        <f ca="1">+'Phase II Pro Forma'!M360/1000000</f>
        <v>0</v>
      </c>
      <c r="N363" s="792">
        <f ca="1">+'Phase II Pro Forma'!N360/1000000</f>
        <v>0</v>
      </c>
      <c r="O363" s="792">
        <f ca="1">+'Phase II Pro Forma'!O360/1000000</f>
        <v>0</v>
      </c>
      <c r="P363" s="792">
        <f ca="1">+'Phase II Pro Forma'!P360/1000000</f>
        <v>0</v>
      </c>
      <c r="Q363" s="792">
        <f ca="1">+'Phase II Pro Forma'!Q360/1000000</f>
        <v>0</v>
      </c>
      <c r="R363" s="792">
        <f ca="1">+'Phase II Pro Forma'!R360/1000000</f>
        <v>0</v>
      </c>
      <c r="S363" s="792">
        <f ca="1">+'Phase II Pro Forma'!S360/1000000</f>
        <v>0</v>
      </c>
      <c r="T363" s="792">
        <f ca="1">+'Phase II Pro Forma'!T360/1000000</f>
        <v>0</v>
      </c>
      <c r="U363" s="792">
        <f ca="1">+'Phase II Pro Forma'!U360/1000000</f>
        <v>0</v>
      </c>
      <c r="V363" s="792">
        <f ca="1">+'Phase II Pro Forma'!V360/1000000</f>
        <v>0</v>
      </c>
      <c r="W363" s="792">
        <f ca="1">+'Phase II Pro Forma'!W360/1000000</f>
        <v>0</v>
      </c>
      <c r="X363" s="792">
        <f ca="1">+'Phase II Pro Forma'!X360/1000000</f>
        <v>0</v>
      </c>
      <c r="Y363" s="792">
        <f ca="1">+'Phase II Pro Forma'!Y360/1000000</f>
        <v>0</v>
      </c>
      <c r="Z363" s="792">
        <f ca="1">+'Phase II Pro Forma'!Z360/1000000</f>
        <v>0</v>
      </c>
    </row>
    <row r="364" spans="2:26" s="793" customFormat="1" hidden="1" x14ac:dyDescent="0.2">
      <c r="B364" s="788" t="s">
        <v>416</v>
      </c>
      <c r="D364" s="803"/>
      <c r="E364" s="803"/>
      <c r="F364" s="789">
        <f>+'Phase II Pro Forma'!F361/1000000</f>
        <v>0</v>
      </c>
      <c r="G364" s="789">
        <f>+'Phase II Pro Forma'!G361/1000000</f>
        <v>0</v>
      </c>
      <c r="H364" s="789">
        <f>+'Phase II Pro Forma'!H361/1000000</f>
        <v>0</v>
      </c>
      <c r="I364" s="789">
        <f>+'Phase II Pro Forma'!I361/1000000</f>
        <v>0</v>
      </c>
      <c r="J364" s="789">
        <f>+'Phase II Pro Forma'!J361/1000000</f>
        <v>0</v>
      </c>
      <c r="K364" s="789">
        <f>+'Phase II Pro Forma'!K361/1000000</f>
        <v>0</v>
      </c>
      <c r="L364" s="789">
        <f>+'Phase II Pro Forma'!L361/1000000</f>
        <v>0</v>
      </c>
      <c r="M364" s="789">
        <f>+'Phase II Pro Forma'!M361/1000000</f>
        <v>0</v>
      </c>
      <c r="N364" s="789">
        <f>+'Phase II Pro Forma'!N361/1000000</f>
        <v>0</v>
      </c>
      <c r="O364" s="789">
        <f>+'Phase II Pro Forma'!O361/1000000</f>
        <v>0</v>
      </c>
      <c r="P364" s="789">
        <f>+'Phase II Pro Forma'!P361/1000000</f>
        <v>0</v>
      </c>
      <c r="Q364" s="789">
        <f>+'Phase II Pro Forma'!Q361/1000000</f>
        <v>0</v>
      </c>
      <c r="R364" s="789">
        <f>+'Phase II Pro Forma'!R361/1000000</f>
        <v>0</v>
      </c>
      <c r="S364" s="789">
        <f>+'Phase II Pro Forma'!S361/1000000</f>
        <v>0</v>
      </c>
      <c r="T364" s="789">
        <f>+'Phase II Pro Forma'!T361/1000000</f>
        <v>0</v>
      </c>
      <c r="U364" s="789">
        <f>+'Phase II Pro Forma'!U361/1000000</f>
        <v>0</v>
      </c>
      <c r="V364" s="789">
        <f>+'Phase II Pro Forma'!V361/1000000</f>
        <v>0</v>
      </c>
      <c r="W364" s="789">
        <f>+'Phase II Pro Forma'!W361/1000000</f>
        <v>0</v>
      </c>
      <c r="X364" s="789">
        <f>+'Phase II Pro Forma'!X361/1000000</f>
        <v>0</v>
      </c>
      <c r="Y364" s="789">
        <f>+'Phase II Pro Forma'!Y361/1000000</f>
        <v>0</v>
      </c>
      <c r="Z364" s="789">
        <f>+'Phase II Pro Forma'!Z361/1000000</f>
        <v>0</v>
      </c>
    </row>
    <row r="365" spans="2:26" s="793" customFormat="1" hidden="1" x14ac:dyDescent="0.2">
      <c r="B365" s="788" t="s">
        <v>417</v>
      </c>
      <c r="D365" s="803"/>
      <c r="E365" s="803"/>
      <c r="F365" s="789">
        <f>+'Phase II Pro Forma'!F362/1000000</f>
        <v>0</v>
      </c>
      <c r="G365" s="789">
        <f>+'Phase II Pro Forma'!G362/1000000</f>
        <v>0</v>
      </c>
      <c r="H365" s="789">
        <f>+'Phase II Pro Forma'!H362/1000000</f>
        <v>0</v>
      </c>
      <c r="I365" s="789">
        <f>+'Phase II Pro Forma'!I362/1000000</f>
        <v>0</v>
      </c>
      <c r="J365" s="789">
        <f>+'Phase II Pro Forma'!J362/1000000</f>
        <v>0</v>
      </c>
      <c r="K365" s="789">
        <f>+'Phase II Pro Forma'!K362/1000000</f>
        <v>0</v>
      </c>
      <c r="L365" s="789">
        <f>+'Phase II Pro Forma'!L362/1000000</f>
        <v>0</v>
      </c>
      <c r="M365" s="789">
        <f>+'Phase II Pro Forma'!M362/1000000</f>
        <v>0</v>
      </c>
      <c r="N365" s="789">
        <f>+'Phase II Pro Forma'!N362/1000000</f>
        <v>0</v>
      </c>
      <c r="O365" s="789">
        <f>+'Phase II Pro Forma'!O362/1000000</f>
        <v>0</v>
      </c>
      <c r="P365" s="789">
        <f>+'Phase II Pro Forma'!P362/1000000</f>
        <v>0</v>
      </c>
      <c r="Q365" s="789">
        <f>+'Phase II Pro Forma'!Q362/1000000</f>
        <v>0</v>
      </c>
      <c r="R365" s="789">
        <f>+'Phase II Pro Forma'!R362/1000000</f>
        <v>0</v>
      </c>
      <c r="S365" s="789">
        <f>+'Phase II Pro Forma'!S362/1000000</f>
        <v>0</v>
      </c>
      <c r="T365" s="789">
        <f>+'Phase II Pro Forma'!T362/1000000</f>
        <v>0</v>
      </c>
      <c r="U365" s="789">
        <f>+'Phase II Pro Forma'!U362/1000000</f>
        <v>0</v>
      </c>
      <c r="V365" s="789">
        <f>+'Phase II Pro Forma'!V362/1000000</f>
        <v>0</v>
      </c>
      <c r="W365" s="789">
        <f>+'Phase II Pro Forma'!W362/1000000</f>
        <v>0</v>
      </c>
      <c r="X365" s="789">
        <f>+'Phase II Pro Forma'!X362/1000000</f>
        <v>0</v>
      </c>
      <c r="Y365" s="789">
        <f>+'Phase II Pro Forma'!Y362/1000000</f>
        <v>0</v>
      </c>
      <c r="Z365" s="789">
        <f>+'Phase II Pro Forma'!Z362/1000000</f>
        <v>0</v>
      </c>
    </row>
    <row r="366" spans="2:26" s="793" customFormat="1" hidden="1" x14ac:dyDescent="0.2">
      <c r="B366" s="788" t="s">
        <v>408</v>
      </c>
      <c r="D366" s="803"/>
      <c r="E366" s="803"/>
      <c r="F366" s="789">
        <f ca="1">+'Phase II Pro Forma'!F363/1000000</f>
        <v>0</v>
      </c>
      <c r="G366" s="789">
        <f ca="1">+'Phase II Pro Forma'!G363/1000000</f>
        <v>0</v>
      </c>
      <c r="H366" s="789">
        <f ca="1">+'Phase II Pro Forma'!H363/1000000</f>
        <v>0</v>
      </c>
      <c r="I366" s="789">
        <f ca="1">+'Phase II Pro Forma'!I363/1000000</f>
        <v>-1.4588326752157856</v>
      </c>
      <c r="J366" s="789">
        <f ca="1">+'Phase II Pro Forma'!J363/1000000</f>
        <v>-1.6872557149474641</v>
      </c>
      <c r="K366" s="789">
        <f ca="1">+'Phase II Pro Forma'!K363/1000000</f>
        <v>-1.7783072450654984</v>
      </c>
      <c r="L366" s="789">
        <f ca="1">+'Phase II Pro Forma'!L363/1000000</f>
        <v>-1.9683486541795301</v>
      </c>
      <c r="M366" s="789">
        <f ca="1">+'Phase II Pro Forma'!M363/1000000</f>
        <v>-2.01858781131779</v>
      </c>
      <c r="N366" s="789">
        <f ca="1">+'Phase II Pro Forma'!N363/1000000</f>
        <v>-2.0855962840256166</v>
      </c>
      <c r="O366" s="789">
        <f>+'Phase II Pro Forma'!O363/1000000</f>
        <v>0</v>
      </c>
      <c r="P366" s="789">
        <f>+'Phase II Pro Forma'!P363/1000000</f>
        <v>0</v>
      </c>
      <c r="Q366" s="789">
        <f>+'Phase II Pro Forma'!Q363/1000000</f>
        <v>0</v>
      </c>
      <c r="R366" s="789">
        <f>+'Phase II Pro Forma'!R363/1000000</f>
        <v>0</v>
      </c>
      <c r="S366" s="789">
        <f>+'Phase II Pro Forma'!S363/1000000</f>
        <v>0</v>
      </c>
      <c r="T366" s="789">
        <f>+'Phase II Pro Forma'!T363/1000000</f>
        <v>0</v>
      </c>
      <c r="U366" s="789">
        <f>+'Phase II Pro Forma'!U363/1000000</f>
        <v>0</v>
      </c>
      <c r="V366" s="789">
        <f>+'Phase II Pro Forma'!V363/1000000</f>
        <v>0</v>
      </c>
      <c r="W366" s="789">
        <f>+'Phase II Pro Forma'!W363/1000000</f>
        <v>0</v>
      </c>
      <c r="X366" s="789">
        <f>+'Phase II Pro Forma'!X363/1000000</f>
        <v>0</v>
      </c>
      <c r="Y366" s="789">
        <f>+'Phase II Pro Forma'!Y363/1000000</f>
        <v>0</v>
      </c>
      <c r="Z366" s="789">
        <f>+'Phase II Pro Forma'!Z363/1000000</f>
        <v>0</v>
      </c>
    </row>
    <row r="367" spans="2:26" s="793" customFormat="1" hidden="1" x14ac:dyDescent="0.2">
      <c r="B367" s="788" t="s">
        <v>409</v>
      </c>
      <c r="D367" s="803"/>
      <c r="E367" s="803"/>
      <c r="F367" s="789">
        <f ca="1">+'Phase II Pro Forma'!F364/1000000</f>
        <v>0</v>
      </c>
      <c r="G367" s="789">
        <f ca="1">+'Phase II Pro Forma'!G364/1000000</f>
        <v>0</v>
      </c>
      <c r="H367" s="789">
        <f ca="1">+'Phase II Pro Forma'!H364/1000000</f>
        <v>0</v>
      </c>
      <c r="I367" s="789">
        <f ca="1">+'Phase II Pro Forma'!I364/1000000</f>
        <v>6.9468222629323115</v>
      </c>
      <c r="J367" s="789">
        <f ca="1">+'Phase II Pro Forma'!J364/1000000</f>
        <v>14.485528459140713</v>
      </c>
      <c r="K367" s="789">
        <f ca="1">+'Phase II Pro Forma'!K364/1000000</f>
        <v>14.919107173988493</v>
      </c>
      <c r="L367" s="789">
        <f ca="1">+'Phase II Pro Forma'!L364/1000000</f>
        <v>15.824066265007694</v>
      </c>
      <c r="M367" s="789">
        <f ca="1">+'Phase II Pro Forma'!M364/1000000</f>
        <v>16.063300346618455</v>
      </c>
      <c r="N367" s="789">
        <f ca="1">+'Phase II Pro Forma'!N364/1000000</f>
        <v>16.38238831189382</v>
      </c>
      <c r="O367" s="789">
        <f>+'Phase II Pro Forma'!O364/1000000</f>
        <v>0</v>
      </c>
      <c r="P367" s="789">
        <f>+'Phase II Pro Forma'!P364/1000000</f>
        <v>0</v>
      </c>
      <c r="Q367" s="789">
        <f>+'Phase II Pro Forma'!Q364/1000000</f>
        <v>0</v>
      </c>
      <c r="R367" s="789">
        <f>+'Phase II Pro Forma'!R364/1000000</f>
        <v>0</v>
      </c>
      <c r="S367" s="789">
        <f>+'Phase II Pro Forma'!S364/1000000</f>
        <v>0</v>
      </c>
      <c r="T367" s="789">
        <f>+'Phase II Pro Forma'!T364/1000000</f>
        <v>0</v>
      </c>
      <c r="U367" s="789">
        <f>+'Phase II Pro Forma'!U364/1000000</f>
        <v>0</v>
      </c>
      <c r="V367" s="789">
        <f>+'Phase II Pro Forma'!V364/1000000</f>
        <v>0</v>
      </c>
      <c r="W367" s="789">
        <f>+'Phase II Pro Forma'!W364/1000000</f>
        <v>0</v>
      </c>
      <c r="X367" s="789">
        <f>+'Phase II Pro Forma'!X364/1000000</f>
        <v>0</v>
      </c>
      <c r="Y367" s="789">
        <f>+'Phase II Pro Forma'!Y364/1000000</f>
        <v>0</v>
      </c>
      <c r="Z367" s="789">
        <f>+'Phase II Pro Forma'!Z364/1000000</f>
        <v>0</v>
      </c>
    </row>
    <row r="368" spans="2:26" s="793" customFormat="1" hidden="1" x14ac:dyDescent="0.2">
      <c r="B368" s="788" t="s">
        <v>403</v>
      </c>
      <c r="D368" s="803"/>
      <c r="E368" s="803"/>
      <c r="F368" s="789">
        <f>+'Phase II Pro Forma'!F365/1000000</f>
        <v>0</v>
      </c>
      <c r="G368" s="789">
        <f>+'Phase II Pro Forma'!G365/1000000</f>
        <v>0</v>
      </c>
      <c r="H368" s="789">
        <f>+'Phase II Pro Forma'!H365/1000000</f>
        <v>0</v>
      </c>
      <c r="I368" s="789">
        <f>+'Phase II Pro Forma'!I365/1000000</f>
        <v>0</v>
      </c>
      <c r="J368" s="789">
        <f>+'Phase II Pro Forma'!J365/1000000</f>
        <v>0</v>
      </c>
      <c r="K368" s="789">
        <f>+'Phase II Pro Forma'!K365/1000000</f>
        <v>0</v>
      </c>
      <c r="L368" s="789">
        <f>+'Phase II Pro Forma'!L365/1000000</f>
        <v>0</v>
      </c>
      <c r="M368" s="789">
        <f>+'Phase II Pro Forma'!M365/1000000</f>
        <v>0</v>
      </c>
      <c r="N368" s="789">
        <f ca="1">+'Phase II Pro Forma'!N365/1000000</f>
        <v>257.54435877723853</v>
      </c>
      <c r="O368" s="789">
        <f>+'Phase II Pro Forma'!O365/1000000</f>
        <v>0</v>
      </c>
      <c r="P368" s="789">
        <f>+'Phase II Pro Forma'!P365/1000000</f>
        <v>0</v>
      </c>
      <c r="Q368" s="789">
        <f>+'Phase II Pro Forma'!Q365/1000000</f>
        <v>0</v>
      </c>
      <c r="R368" s="789">
        <f>+'Phase II Pro Forma'!R365/1000000</f>
        <v>0</v>
      </c>
      <c r="S368" s="789">
        <f>+'Phase II Pro Forma'!S365/1000000</f>
        <v>0</v>
      </c>
      <c r="T368" s="789">
        <f>+'Phase II Pro Forma'!T365/1000000</f>
        <v>0</v>
      </c>
      <c r="U368" s="789">
        <f>+'Phase II Pro Forma'!U365/1000000</f>
        <v>0</v>
      </c>
      <c r="V368" s="789">
        <f>+'Phase II Pro Forma'!V365/1000000</f>
        <v>0</v>
      </c>
      <c r="W368" s="789">
        <f>+'Phase II Pro Forma'!W365/1000000</f>
        <v>0</v>
      </c>
      <c r="X368" s="789">
        <f>+'Phase II Pro Forma'!X365/1000000</f>
        <v>0</v>
      </c>
      <c r="Y368" s="789">
        <f>+'Phase II Pro Forma'!Y365/1000000</f>
        <v>0</v>
      </c>
      <c r="Z368" s="789">
        <f>+'Phase II Pro Forma'!Z365/1000000</f>
        <v>0</v>
      </c>
    </row>
    <row r="369" spans="2:26" s="793" customFormat="1" hidden="1" x14ac:dyDescent="0.2">
      <c r="B369" s="788" t="s">
        <v>415</v>
      </c>
      <c r="D369" s="803"/>
      <c r="E369" s="803"/>
      <c r="F369" s="789">
        <f>+'Phase II Pro Forma'!F366/1000000</f>
        <v>0</v>
      </c>
      <c r="G369" s="789">
        <f>+'Phase II Pro Forma'!G366/1000000</f>
        <v>0</v>
      </c>
      <c r="H369" s="789">
        <f>+'Phase II Pro Forma'!H366/1000000</f>
        <v>0</v>
      </c>
      <c r="I369" s="789">
        <f>+'Phase II Pro Forma'!I366/1000000</f>
        <v>0</v>
      </c>
      <c r="J369" s="789">
        <f>+'Phase II Pro Forma'!J366/1000000</f>
        <v>0</v>
      </c>
      <c r="K369" s="789">
        <f>+'Phase II Pro Forma'!K366/1000000</f>
        <v>0</v>
      </c>
      <c r="L369" s="789">
        <f>+'Phase II Pro Forma'!L366/1000000</f>
        <v>0</v>
      </c>
      <c r="M369" s="789">
        <f>+'Phase II Pro Forma'!M366/1000000</f>
        <v>0</v>
      </c>
      <c r="N369" s="789">
        <f ca="1">+'Phase II Pro Forma'!N366/1000000</f>
        <v>-28.669382203702817</v>
      </c>
      <c r="O369" s="789">
        <f>+'Phase II Pro Forma'!O366/1000000</f>
        <v>0</v>
      </c>
      <c r="P369" s="789">
        <f>+'Phase II Pro Forma'!P366/1000000</f>
        <v>0</v>
      </c>
      <c r="Q369" s="789">
        <f>+'Phase II Pro Forma'!Q366/1000000</f>
        <v>0</v>
      </c>
      <c r="R369" s="789">
        <f>+'Phase II Pro Forma'!R366/1000000</f>
        <v>0</v>
      </c>
      <c r="S369" s="789">
        <f>+'Phase II Pro Forma'!S366/1000000</f>
        <v>0</v>
      </c>
      <c r="T369" s="789">
        <f>+'Phase II Pro Forma'!T366/1000000</f>
        <v>0</v>
      </c>
      <c r="U369" s="789">
        <f>+'Phase II Pro Forma'!U366/1000000</f>
        <v>0</v>
      </c>
      <c r="V369" s="789">
        <f>+'Phase II Pro Forma'!V366/1000000</f>
        <v>0</v>
      </c>
      <c r="W369" s="789">
        <f>+'Phase II Pro Forma'!W366/1000000</f>
        <v>0</v>
      </c>
      <c r="X369" s="789">
        <f>+'Phase II Pro Forma'!X366/1000000</f>
        <v>0</v>
      </c>
      <c r="Y369" s="789">
        <f>+'Phase II Pro Forma'!Y366/1000000</f>
        <v>0</v>
      </c>
      <c r="Z369" s="789">
        <f>+'Phase II Pro Forma'!Z366/1000000</f>
        <v>0</v>
      </c>
    </row>
    <row r="370" spans="2:26" s="793" customFormat="1" hidden="1" x14ac:dyDescent="0.2">
      <c r="B370" s="811" t="s">
        <v>407</v>
      </c>
      <c r="C370" s="811"/>
      <c r="D370" s="812">
        <f t="shared" ref="D370" ca="1" si="123">+SUM(F370:Z370)</f>
        <v>149.22088268990029</v>
      </c>
      <c r="E370" s="812"/>
      <c r="F370" s="812">
        <f t="shared" ref="F370:Z370" ca="1" si="124">+SUM(F363:F369)</f>
        <v>-18.873780060831024</v>
      </c>
      <c r="G370" s="812">
        <f t="shared" ca="1" si="124"/>
        <v>-91.802186896937712</v>
      </c>
      <c r="H370" s="812">
        <f t="shared" ca="1" si="124"/>
        <v>-42.602411360696557</v>
      </c>
      <c r="I370" s="812">
        <f t="shared" ca="1" si="124"/>
        <v>5.4879895877165259</v>
      </c>
      <c r="J370" s="812">
        <f t="shared" ca="1" si="124"/>
        <v>12.79827274419325</v>
      </c>
      <c r="K370" s="812">
        <f t="shared" ca="1" si="124"/>
        <v>13.140799928922995</v>
      </c>
      <c r="L370" s="812">
        <f t="shared" ca="1" si="124"/>
        <v>13.855717610828163</v>
      </c>
      <c r="M370" s="812">
        <f t="shared" ca="1" si="124"/>
        <v>14.044712535300665</v>
      </c>
      <c r="N370" s="812">
        <f t="shared" ca="1" si="124"/>
        <v>243.17176860140393</v>
      </c>
      <c r="O370" s="812">
        <f t="shared" ca="1" si="124"/>
        <v>0</v>
      </c>
      <c r="P370" s="812">
        <f t="shared" ca="1" si="124"/>
        <v>0</v>
      </c>
      <c r="Q370" s="812">
        <f t="shared" ca="1" si="124"/>
        <v>0</v>
      </c>
      <c r="R370" s="812">
        <f t="shared" ca="1" si="124"/>
        <v>0</v>
      </c>
      <c r="S370" s="812">
        <f t="shared" ca="1" si="124"/>
        <v>0</v>
      </c>
      <c r="T370" s="812">
        <f t="shared" ca="1" si="124"/>
        <v>0</v>
      </c>
      <c r="U370" s="812">
        <f t="shared" ca="1" si="124"/>
        <v>0</v>
      </c>
      <c r="V370" s="812">
        <f t="shared" ca="1" si="124"/>
        <v>0</v>
      </c>
      <c r="W370" s="812">
        <f t="shared" ca="1" si="124"/>
        <v>0</v>
      </c>
      <c r="X370" s="812">
        <f t="shared" ca="1" si="124"/>
        <v>0</v>
      </c>
      <c r="Y370" s="812">
        <f t="shared" ca="1" si="124"/>
        <v>0</v>
      </c>
      <c r="Z370" s="812">
        <f t="shared" ca="1" si="124"/>
        <v>0</v>
      </c>
    </row>
    <row r="371" spans="2:26" s="793" customFormat="1" hidden="1" x14ac:dyDescent="0.2">
      <c r="B371" s="809"/>
    </row>
    <row r="372" spans="2:26" s="793" customFormat="1" hidden="1" x14ac:dyDescent="0.2">
      <c r="B372" s="813" t="s">
        <v>420</v>
      </c>
      <c r="C372" s="813"/>
      <c r="D372" s="814">
        <f ca="1">+IRR(F370:Z370)</f>
        <v>0.1149299111872466</v>
      </c>
    </row>
    <row r="373" spans="2:26" s="793" customFormat="1" hidden="1" x14ac:dyDescent="0.2">
      <c r="B373" s="809"/>
      <c r="D373" s="790"/>
    </row>
    <row r="374" spans="2:26" s="793" customFormat="1" hidden="1" x14ac:dyDescent="0.2">
      <c r="B374" s="810" t="s">
        <v>406</v>
      </c>
      <c r="F374" s="810">
        <f>+F362</f>
        <v>0</v>
      </c>
      <c r="G374" s="810">
        <f t="shared" ref="G374:Z374" si="125">+G362</f>
        <v>1</v>
      </c>
      <c r="H374" s="810">
        <f t="shared" si="125"/>
        <v>2</v>
      </c>
      <c r="I374" s="810">
        <f t="shared" si="125"/>
        <v>3</v>
      </c>
      <c r="J374" s="810">
        <f t="shared" si="125"/>
        <v>4</v>
      </c>
      <c r="K374" s="810">
        <f t="shared" si="125"/>
        <v>5</v>
      </c>
      <c r="L374" s="810">
        <f t="shared" si="125"/>
        <v>6</v>
      </c>
      <c r="M374" s="810">
        <f t="shared" si="125"/>
        <v>7</v>
      </c>
      <c r="N374" s="810">
        <f t="shared" si="125"/>
        <v>8</v>
      </c>
      <c r="O374" s="810">
        <f t="shared" si="125"/>
        <v>9</v>
      </c>
      <c r="P374" s="810">
        <f t="shared" si="125"/>
        <v>10</v>
      </c>
      <c r="Q374" s="810">
        <f t="shared" si="125"/>
        <v>11</v>
      </c>
      <c r="R374" s="810">
        <f t="shared" si="125"/>
        <v>12</v>
      </c>
      <c r="S374" s="810">
        <f t="shared" si="125"/>
        <v>13</v>
      </c>
      <c r="T374" s="810">
        <f t="shared" si="125"/>
        <v>14</v>
      </c>
      <c r="U374" s="810">
        <f t="shared" si="125"/>
        <v>15</v>
      </c>
      <c r="V374" s="810">
        <f t="shared" si="125"/>
        <v>16</v>
      </c>
      <c r="W374" s="810">
        <f t="shared" si="125"/>
        <v>17</v>
      </c>
      <c r="X374" s="810">
        <f t="shared" si="125"/>
        <v>18</v>
      </c>
      <c r="Y374" s="810">
        <f t="shared" si="125"/>
        <v>19</v>
      </c>
      <c r="Z374" s="810">
        <f t="shared" si="125"/>
        <v>20</v>
      </c>
    </row>
    <row r="375" spans="2:26" s="793" customFormat="1" hidden="1" x14ac:dyDescent="0.2">
      <c r="B375" s="788" t="s">
        <v>398</v>
      </c>
      <c r="D375" s="803"/>
      <c r="E375" s="803"/>
      <c r="F375" s="792">
        <f ca="1">+'Phase II Pro Forma'!F372/1000000</f>
        <v>-18.873780060831024</v>
      </c>
      <c r="G375" s="792">
        <f ca="1">+'Phase II Pro Forma'!G372/1000000</f>
        <v>-91.802186896937712</v>
      </c>
      <c r="H375" s="792">
        <f ca="1">+'Phase II Pro Forma'!H372/1000000</f>
        <v>-42.602411360696557</v>
      </c>
      <c r="I375" s="792">
        <f ca="1">+'Phase II Pro Forma'!I372/1000000</f>
        <v>0</v>
      </c>
      <c r="J375" s="792">
        <f ca="1">+'Phase II Pro Forma'!J372/1000000</f>
        <v>0</v>
      </c>
      <c r="K375" s="792">
        <f ca="1">+'Phase II Pro Forma'!K372/1000000</f>
        <v>0</v>
      </c>
      <c r="L375" s="792">
        <f ca="1">+'Phase II Pro Forma'!L372/1000000</f>
        <v>0</v>
      </c>
      <c r="M375" s="792">
        <f ca="1">+'Phase II Pro Forma'!M372/1000000</f>
        <v>0</v>
      </c>
      <c r="N375" s="792">
        <f ca="1">+'Phase II Pro Forma'!N372/1000000</f>
        <v>0</v>
      </c>
      <c r="O375" s="792">
        <f ca="1">+'Phase II Pro Forma'!O372/1000000</f>
        <v>0</v>
      </c>
      <c r="P375" s="792">
        <f ca="1">+'Phase II Pro Forma'!P372/1000000</f>
        <v>0</v>
      </c>
      <c r="Q375" s="792">
        <f ca="1">+'Phase II Pro Forma'!Q372/1000000</f>
        <v>0</v>
      </c>
      <c r="R375" s="792">
        <f ca="1">+'Phase II Pro Forma'!R372/1000000</f>
        <v>0</v>
      </c>
      <c r="S375" s="792">
        <f ca="1">+'Phase II Pro Forma'!S372/1000000</f>
        <v>0</v>
      </c>
      <c r="T375" s="792">
        <f ca="1">+'Phase II Pro Forma'!T372/1000000</f>
        <v>0</v>
      </c>
      <c r="U375" s="792">
        <f ca="1">+'Phase II Pro Forma'!U372/1000000</f>
        <v>0</v>
      </c>
      <c r="V375" s="792">
        <f ca="1">+'Phase II Pro Forma'!V372/1000000</f>
        <v>0</v>
      </c>
      <c r="W375" s="792">
        <f ca="1">+'Phase II Pro Forma'!W372/1000000</f>
        <v>0</v>
      </c>
      <c r="X375" s="792">
        <f ca="1">+'Phase II Pro Forma'!X372/1000000</f>
        <v>0</v>
      </c>
      <c r="Y375" s="792">
        <f ca="1">+'Phase II Pro Forma'!Y372/1000000</f>
        <v>0</v>
      </c>
      <c r="Z375" s="792">
        <f ca="1">+'Phase II Pro Forma'!Z372/1000000</f>
        <v>0</v>
      </c>
    </row>
    <row r="376" spans="2:26" s="793" customFormat="1" hidden="1" x14ac:dyDescent="0.2">
      <c r="B376" s="788" t="s">
        <v>416</v>
      </c>
      <c r="D376" s="803"/>
      <c r="E376" s="803"/>
      <c r="F376" s="789">
        <f ca="1">+'Phase II Pro Forma'!F373/1000000</f>
        <v>3.9634938127745154</v>
      </c>
      <c r="G376" s="789">
        <f ca="1">+'Phase II Pro Forma'!G373/1000000</f>
        <v>19.278459248356921</v>
      </c>
      <c r="H376" s="789">
        <f ca="1">+'Phase II Pro Forma'!H373/1000000</f>
        <v>8.9465063857462752</v>
      </c>
      <c r="I376" s="789">
        <f ca="1">+'Phase II Pro Forma'!I373/1000000</f>
        <v>0</v>
      </c>
      <c r="J376" s="789">
        <f ca="1">+'Phase II Pro Forma'!J373/1000000</f>
        <v>0</v>
      </c>
      <c r="K376" s="789">
        <f ca="1">+'Phase II Pro Forma'!K373/1000000</f>
        <v>0</v>
      </c>
      <c r="L376" s="789">
        <f ca="1">+'Phase II Pro Forma'!L373/1000000</f>
        <v>0</v>
      </c>
      <c r="M376" s="789">
        <f ca="1">+'Phase II Pro Forma'!M373/1000000</f>
        <v>0</v>
      </c>
      <c r="N376" s="789">
        <f ca="1">+'Phase II Pro Forma'!N373/1000000</f>
        <v>0</v>
      </c>
      <c r="O376" s="789">
        <f ca="1">+'Phase II Pro Forma'!O373/1000000</f>
        <v>0</v>
      </c>
      <c r="P376" s="789">
        <f ca="1">+'Phase II Pro Forma'!P373/1000000</f>
        <v>0</v>
      </c>
      <c r="Q376" s="789">
        <f ca="1">+'Phase II Pro Forma'!Q373/1000000</f>
        <v>0</v>
      </c>
      <c r="R376" s="789">
        <f ca="1">+'Phase II Pro Forma'!R373/1000000</f>
        <v>0</v>
      </c>
      <c r="S376" s="789">
        <f ca="1">+'Phase II Pro Forma'!S373/1000000</f>
        <v>0</v>
      </c>
      <c r="T376" s="789">
        <f ca="1">+'Phase II Pro Forma'!T373/1000000</f>
        <v>0</v>
      </c>
      <c r="U376" s="789">
        <f ca="1">+'Phase II Pro Forma'!U373/1000000</f>
        <v>0</v>
      </c>
      <c r="V376" s="789">
        <f ca="1">+'Phase II Pro Forma'!V373/1000000</f>
        <v>0</v>
      </c>
      <c r="W376" s="789">
        <f ca="1">+'Phase II Pro Forma'!W373/1000000</f>
        <v>0</v>
      </c>
      <c r="X376" s="789">
        <f ca="1">+'Phase II Pro Forma'!X373/1000000</f>
        <v>0</v>
      </c>
      <c r="Y376" s="789">
        <f ca="1">+'Phase II Pro Forma'!Y373/1000000</f>
        <v>0</v>
      </c>
      <c r="Z376" s="789">
        <f ca="1">+'Phase II Pro Forma'!Z373/1000000</f>
        <v>0</v>
      </c>
    </row>
    <row r="377" spans="2:26" s="793" customFormat="1" hidden="1" x14ac:dyDescent="0.2">
      <c r="B377" s="788" t="s">
        <v>417</v>
      </c>
      <c r="D377" s="803"/>
      <c r="E377" s="803"/>
      <c r="F377" s="789">
        <f ca="1">+'Phase II Pro Forma'!F374/1000000</f>
        <v>0</v>
      </c>
      <c r="G377" s="789">
        <f ca="1">+'Phase II Pro Forma'!G374/1000000</f>
        <v>0</v>
      </c>
      <c r="H377" s="789">
        <f ca="1">+'Phase II Pro Forma'!H374/1000000</f>
        <v>0</v>
      </c>
      <c r="I377" s="789">
        <f ca="1">+'Phase II Pro Forma'!I374/1000000</f>
        <v>0</v>
      </c>
      <c r="J377" s="789">
        <f ca="1">+'Phase II Pro Forma'!J374/1000000</f>
        <v>-32.188459446877708</v>
      </c>
      <c r="K377" s="789">
        <f ca="1">+'Phase II Pro Forma'!K374/1000000</f>
        <v>0</v>
      </c>
      <c r="L377" s="789">
        <f ca="1">+'Phase II Pro Forma'!L374/1000000</f>
        <v>0</v>
      </c>
      <c r="M377" s="789">
        <f ca="1">+'Phase II Pro Forma'!M374/1000000</f>
        <v>0</v>
      </c>
      <c r="N377" s="789">
        <f ca="1">+'Phase II Pro Forma'!N374/1000000</f>
        <v>0</v>
      </c>
      <c r="O377" s="789">
        <f ca="1">+'Phase II Pro Forma'!O374/1000000</f>
        <v>0</v>
      </c>
      <c r="P377" s="789">
        <f ca="1">+'Phase II Pro Forma'!P374/1000000</f>
        <v>0</v>
      </c>
      <c r="Q377" s="789">
        <f ca="1">+'Phase II Pro Forma'!Q374/1000000</f>
        <v>0</v>
      </c>
      <c r="R377" s="789">
        <f ca="1">+'Phase II Pro Forma'!R374/1000000</f>
        <v>0</v>
      </c>
      <c r="S377" s="789">
        <f ca="1">+'Phase II Pro Forma'!S374/1000000</f>
        <v>0</v>
      </c>
      <c r="T377" s="789">
        <f ca="1">+'Phase II Pro Forma'!T374/1000000</f>
        <v>0</v>
      </c>
      <c r="U377" s="789">
        <f ca="1">+'Phase II Pro Forma'!U374/1000000</f>
        <v>0</v>
      </c>
      <c r="V377" s="789">
        <f ca="1">+'Phase II Pro Forma'!V374/1000000</f>
        <v>0</v>
      </c>
      <c r="W377" s="789">
        <f ca="1">+'Phase II Pro Forma'!W374/1000000</f>
        <v>0</v>
      </c>
      <c r="X377" s="789">
        <f ca="1">+'Phase II Pro Forma'!X374/1000000</f>
        <v>0</v>
      </c>
      <c r="Y377" s="789">
        <f ca="1">+'Phase II Pro Forma'!Y374/1000000</f>
        <v>0</v>
      </c>
      <c r="Z377" s="789">
        <f ca="1">+'Phase II Pro Forma'!Z374/1000000</f>
        <v>0</v>
      </c>
    </row>
    <row r="378" spans="2:26" s="793" customFormat="1" hidden="1" x14ac:dyDescent="0.2">
      <c r="B378" s="788" t="s">
        <v>418</v>
      </c>
      <c r="D378" s="803"/>
      <c r="E378" s="803"/>
      <c r="F378" s="789">
        <f>+'Phase II Pro Forma'!F375/1000000</f>
        <v>0</v>
      </c>
      <c r="G378" s="789">
        <f>+'Phase II Pro Forma'!G375/1000000</f>
        <v>0</v>
      </c>
      <c r="H378" s="789">
        <f>+'Phase II Pro Forma'!H375/1000000</f>
        <v>0</v>
      </c>
      <c r="I378" s="789">
        <f>+'Phase II Pro Forma'!I375/1000000</f>
        <v>0</v>
      </c>
      <c r="J378" s="789">
        <f ca="1">+'Phase II Pro Forma'!J375/1000000</f>
        <v>4.3809435977443432</v>
      </c>
      <c r="K378" s="789">
        <f>+'Phase II Pro Forma'!K375/1000000</f>
        <v>0</v>
      </c>
      <c r="L378" s="789">
        <f>+'Phase II Pro Forma'!L375/1000000</f>
        <v>0</v>
      </c>
      <c r="M378" s="789">
        <f>+'Phase II Pro Forma'!M375/1000000</f>
        <v>0</v>
      </c>
      <c r="N378" s="789">
        <f>+'Phase II Pro Forma'!N375/1000000</f>
        <v>0</v>
      </c>
      <c r="O378" s="789">
        <f>+'Phase II Pro Forma'!O375/1000000</f>
        <v>0</v>
      </c>
      <c r="P378" s="789">
        <f>+'Phase II Pro Forma'!P375/1000000</f>
        <v>0</v>
      </c>
      <c r="Q378" s="789">
        <f>+'Phase II Pro Forma'!Q375/1000000</f>
        <v>0</v>
      </c>
      <c r="R378" s="789">
        <f>+'Phase II Pro Forma'!R375/1000000</f>
        <v>0</v>
      </c>
      <c r="S378" s="789">
        <f>+'Phase II Pro Forma'!S375/1000000</f>
        <v>0</v>
      </c>
      <c r="T378" s="789">
        <f>+'Phase II Pro Forma'!T375/1000000</f>
        <v>0</v>
      </c>
      <c r="U378" s="789">
        <f>+'Phase II Pro Forma'!U375/1000000</f>
        <v>0</v>
      </c>
      <c r="V378" s="789">
        <f>+'Phase II Pro Forma'!V375/1000000</f>
        <v>0</v>
      </c>
      <c r="W378" s="789">
        <f>+'Phase II Pro Forma'!W375/1000000</f>
        <v>0</v>
      </c>
      <c r="X378" s="789">
        <f>+'Phase II Pro Forma'!X375/1000000</f>
        <v>0</v>
      </c>
      <c r="Y378" s="789">
        <f>+'Phase II Pro Forma'!Y375/1000000</f>
        <v>0</v>
      </c>
      <c r="Z378" s="789">
        <f>+'Phase II Pro Forma'!Z375/1000000</f>
        <v>0</v>
      </c>
    </row>
    <row r="379" spans="2:26" s="793" customFormat="1" hidden="1" x14ac:dyDescent="0.2">
      <c r="B379" s="788" t="s">
        <v>408</v>
      </c>
      <c r="D379" s="803"/>
      <c r="E379" s="803"/>
      <c r="F379" s="789">
        <f ca="1">+'Phase II Pro Forma'!F376/1000000</f>
        <v>0</v>
      </c>
      <c r="G379" s="789">
        <f ca="1">+'Phase II Pro Forma'!G376/1000000</f>
        <v>0</v>
      </c>
      <c r="H379" s="789">
        <f ca="1">+'Phase II Pro Forma'!H376/1000000</f>
        <v>0</v>
      </c>
      <c r="I379" s="789">
        <f ca="1">+'Phase II Pro Forma'!I376/1000000</f>
        <v>-1.4588326752157856</v>
      </c>
      <c r="J379" s="789">
        <f ca="1">+'Phase II Pro Forma'!J376/1000000</f>
        <v>-1.6872557149474641</v>
      </c>
      <c r="K379" s="789">
        <f ca="1">+'Phase II Pro Forma'!K376/1000000</f>
        <v>-1.7783072450654984</v>
      </c>
      <c r="L379" s="789">
        <f ca="1">+'Phase II Pro Forma'!L376/1000000</f>
        <v>-1.9683486541795301</v>
      </c>
      <c r="M379" s="789">
        <f ca="1">+'Phase II Pro Forma'!M376/1000000</f>
        <v>-2.01858781131779</v>
      </c>
      <c r="N379" s="789">
        <f ca="1">+'Phase II Pro Forma'!N376/1000000</f>
        <v>-2.0855962840256166</v>
      </c>
      <c r="O379" s="789">
        <f>+'Phase II Pro Forma'!O376/1000000</f>
        <v>0</v>
      </c>
      <c r="P379" s="789">
        <f>+'Phase II Pro Forma'!P376/1000000</f>
        <v>0</v>
      </c>
      <c r="Q379" s="789">
        <f>+'Phase II Pro Forma'!Q376/1000000</f>
        <v>0</v>
      </c>
      <c r="R379" s="789">
        <f>+'Phase II Pro Forma'!R376/1000000</f>
        <v>0</v>
      </c>
      <c r="S379" s="789">
        <f>+'Phase II Pro Forma'!S376/1000000</f>
        <v>0</v>
      </c>
      <c r="T379" s="789">
        <f>+'Phase II Pro Forma'!T376/1000000</f>
        <v>0</v>
      </c>
      <c r="U379" s="789">
        <f>+'Phase II Pro Forma'!U376/1000000</f>
        <v>0</v>
      </c>
      <c r="V379" s="789">
        <f>+'Phase II Pro Forma'!V376/1000000</f>
        <v>0</v>
      </c>
      <c r="W379" s="789">
        <f>+'Phase II Pro Forma'!W376/1000000</f>
        <v>0</v>
      </c>
      <c r="X379" s="789">
        <f>+'Phase II Pro Forma'!X376/1000000</f>
        <v>0</v>
      </c>
      <c r="Y379" s="789">
        <f>+'Phase II Pro Forma'!Y376/1000000</f>
        <v>0</v>
      </c>
      <c r="Z379" s="789">
        <f>+'Phase II Pro Forma'!Z376/1000000</f>
        <v>0</v>
      </c>
    </row>
    <row r="380" spans="2:26" s="793" customFormat="1" hidden="1" x14ac:dyDescent="0.2">
      <c r="B380" s="788" t="s">
        <v>409</v>
      </c>
      <c r="D380" s="803"/>
      <c r="E380" s="803"/>
      <c r="F380" s="789">
        <f ca="1">+'Phase II Pro Forma'!F377/1000000</f>
        <v>0</v>
      </c>
      <c r="G380" s="789">
        <f ca="1">+'Phase II Pro Forma'!G377/1000000</f>
        <v>0</v>
      </c>
      <c r="H380" s="789">
        <f ca="1">+'Phase II Pro Forma'!H377/1000000</f>
        <v>0</v>
      </c>
      <c r="I380" s="789">
        <f ca="1">+'Phase II Pro Forma'!I377/1000000</f>
        <v>6.9468222629323115</v>
      </c>
      <c r="J380" s="789">
        <f ca="1">+'Phase II Pro Forma'!J377/1000000</f>
        <v>14.485528459140713</v>
      </c>
      <c r="K380" s="789">
        <f ca="1">+'Phase II Pro Forma'!K377/1000000</f>
        <v>14.919107173988493</v>
      </c>
      <c r="L380" s="789">
        <f ca="1">+'Phase II Pro Forma'!L377/1000000</f>
        <v>15.824066265007694</v>
      </c>
      <c r="M380" s="789">
        <f ca="1">+'Phase II Pro Forma'!M377/1000000</f>
        <v>16.063300346618455</v>
      </c>
      <c r="N380" s="789">
        <f ca="1">+'Phase II Pro Forma'!N377/1000000</f>
        <v>16.38238831189382</v>
      </c>
      <c r="O380" s="789">
        <f>+'Phase II Pro Forma'!O377/1000000</f>
        <v>0</v>
      </c>
      <c r="P380" s="789">
        <f>+'Phase II Pro Forma'!P377/1000000</f>
        <v>0</v>
      </c>
      <c r="Q380" s="789">
        <f>+'Phase II Pro Forma'!Q377/1000000</f>
        <v>0</v>
      </c>
      <c r="R380" s="789">
        <f>+'Phase II Pro Forma'!R377/1000000</f>
        <v>0</v>
      </c>
      <c r="S380" s="789">
        <f>+'Phase II Pro Forma'!S377/1000000</f>
        <v>0</v>
      </c>
      <c r="T380" s="789">
        <f>+'Phase II Pro Forma'!T377/1000000</f>
        <v>0</v>
      </c>
      <c r="U380" s="789">
        <f>+'Phase II Pro Forma'!U377/1000000</f>
        <v>0</v>
      </c>
      <c r="V380" s="789">
        <f>+'Phase II Pro Forma'!V377/1000000</f>
        <v>0</v>
      </c>
      <c r="W380" s="789">
        <f>+'Phase II Pro Forma'!W377/1000000</f>
        <v>0</v>
      </c>
      <c r="X380" s="789">
        <f>+'Phase II Pro Forma'!X377/1000000</f>
        <v>0</v>
      </c>
      <c r="Y380" s="789">
        <f>+'Phase II Pro Forma'!Y377/1000000</f>
        <v>0</v>
      </c>
      <c r="Z380" s="789">
        <f>+'Phase II Pro Forma'!Z377/1000000</f>
        <v>0</v>
      </c>
    </row>
    <row r="381" spans="2:26" s="793" customFormat="1" hidden="1" x14ac:dyDescent="0.2">
      <c r="B381" s="788" t="s">
        <v>403</v>
      </c>
      <c r="D381" s="803"/>
      <c r="E381" s="803"/>
      <c r="F381" s="789">
        <f>+'Phase II Pro Forma'!F378/1000000</f>
        <v>0</v>
      </c>
      <c r="G381" s="789">
        <f>+'Phase II Pro Forma'!G378/1000000</f>
        <v>0</v>
      </c>
      <c r="H381" s="789">
        <f>+'Phase II Pro Forma'!H378/1000000</f>
        <v>0</v>
      </c>
      <c r="I381" s="789">
        <f>+'Phase II Pro Forma'!I378/1000000</f>
        <v>0</v>
      </c>
      <c r="J381" s="789">
        <f>+'Phase II Pro Forma'!J378/1000000</f>
        <v>0</v>
      </c>
      <c r="K381" s="789">
        <f>+'Phase II Pro Forma'!K378/1000000</f>
        <v>0</v>
      </c>
      <c r="L381" s="789">
        <f>+'Phase II Pro Forma'!L378/1000000</f>
        <v>0</v>
      </c>
      <c r="M381" s="789">
        <f>+'Phase II Pro Forma'!M378/1000000</f>
        <v>0</v>
      </c>
      <c r="N381" s="789">
        <f ca="1">+'Phase II Pro Forma'!N378/1000000</f>
        <v>257.54435877723853</v>
      </c>
      <c r="O381" s="789">
        <f>+'Phase II Pro Forma'!O378/1000000</f>
        <v>0</v>
      </c>
      <c r="P381" s="789">
        <f>+'Phase II Pro Forma'!P378/1000000</f>
        <v>0</v>
      </c>
      <c r="Q381" s="789">
        <f>+'Phase II Pro Forma'!Q378/1000000</f>
        <v>0</v>
      </c>
      <c r="R381" s="789">
        <f>+'Phase II Pro Forma'!R378/1000000</f>
        <v>0</v>
      </c>
      <c r="S381" s="789">
        <f>+'Phase II Pro Forma'!S378/1000000</f>
        <v>0</v>
      </c>
      <c r="T381" s="789">
        <f>+'Phase II Pro Forma'!T378/1000000</f>
        <v>0</v>
      </c>
      <c r="U381" s="789">
        <f>+'Phase II Pro Forma'!U378/1000000</f>
        <v>0</v>
      </c>
      <c r="V381" s="789">
        <f>+'Phase II Pro Forma'!V378/1000000</f>
        <v>0</v>
      </c>
      <c r="W381" s="789">
        <f>+'Phase II Pro Forma'!W378/1000000</f>
        <v>0</v>
      </c>
      <c r="X381" s="789">
        <f>+'Phase II Pro Forma'!X378/1000000</f>
        <v>0</v>
      </c>
      <c r="Y381" s="789">
        <f>+'Phase II Pro Forma'!Y378/1000000</f>
        <v>0</v>
      </c>
      <c r="Z381" s="789">
        <f>+'Phase II Pro Forma'!Z378/1000000</f>
        <v>0</v>
      </c>
    </row>
    <row r="382" spans="2:26" s="793" customFormat="1" hidden="1" x14ac:dyDescent="0.2">
      <c r="B382" s="788" t="s">
        <v>415</v>
      </c>
      <c r="D382" s="803"/>
      <c r="E382" s="803"/>
      <c r="F382" s="789">
        <f>+'Phase II Pro Forma'!F379/1000000</f>
        <v>0</v>
      </c>
      <c r="G382" s="789">
        <f>+'Phase II Pro Forma'!G379/1000000</f>
        <v>0</v>
      </c>
      <c r="H382" s="789">
        <f>+'Phase II Pro Forma'!H379/1000000</f>
        <v>0</v>
      </c>
      <c r="I382" s="789">
        <f>+'Phase II Pro Forma'!I379/1000000</f>
        <v>0</v>
      </c>
      <c r="J382" s="789">
        <f>+'Phase II Pro Forma'!J379/1000000</f>
        <v>0</v>
      </c>
      <c r="K382" s="789">
        <f>+'Phase II Pro Forma'!K379/1000000</f>
        <v>0</v>
      </c>
      <c r="L382" s="789">
        <f>+'Phase II Pro Forma'!L379/1000000</f>
        <v>0</v>
      </c>
      <c r="M382" s="789">
        <f>+'Phase II Pro Forma'!M379/1000000</f>
        <v>0</v>
      </c>
      <c r="N382" s="789">
        <f ca="1">+'Phase II Pro Forma'!N379/1000000</f>
        <v>-28.669382203702817</v>
      </c>
      <c r="O382" s="789">
        <f>+'Phase II Pro Forma'!O379/1000000</f>
        <v>0</v>
      </c>
      <c r="P382" s="789">
        <f>+'Phase II Pro Forma'!P379/1000000</f>
        <v>0</v>
      </c>
      <c r="Q382" s="789">
        <f>+'Phase II Pro Forma'!Q379/1000000</f>
        <v>0</v>
      </c>
      <c r="R382" s="789">
        <f>+'Phase II Pro Forma'!R379/1000000</f>
        <v>0</v>
      </c>
      <c r="S382" s="789">
        <f>+'Phase II Pro Forma'!S379/1000000</f>
        <v>0</v>
      </c>
      <c r="T382" s="789">
        <f>+'Phase II Pro Forma'!T379/1000000</f>
        <v>0</v>
      </c>
      <c r="U382" s="789">
        <f>+'Phase II Pro Forma'!U379/1000000</f>
        <v>0</v>
      </c>
      <c r="V382" s="789">
        <f>+'Phase II Pro Forma'!V379/1000000</f>
        <v>0</v>
      </c>
      <c r="W382" s="789">
        <f>+'Phase II Pro Forma'!W379/1000000</f>
        <v>0</v>
      </c>
      <c r="X382" s="789">
        <f>+'Phase II Pro Forma'!X379/1000000</f>
        <v>0</v>
      </c>
      <c r="Y382" s="789">
        <f>+'Phase II Pro Forma'!Y379/1000000</f>
        <v>0</v>
      </c>
      <c r="Z382" s="789">
        <f>+'Phase II Pro Forma'!Z379/1000000</f>
        <v>0</v>
      </c>
    </row>
    <row r="383" spans="2:26" s="793" customFormat="1" hidden="1" x14ac:dyDescent="0.2">
      <c r="B383" s="811" t="s">
        <v>406</v>
      </c>
      <c r="C383" s="811"/>
      <c r="D383" s="812">
        <f t="shared" ref="D383" ca="1" si="126">+SUM(F383:Z383)</f>
        <v>153.60182628764466</v>
      </c>
      <c r="E383" s="812"/>
      <c r="F383" s="812">
        <f t="shared" ref="F383:Z383" ca="1" si="127">+SUM(F375:F382)</f>
        <v>-14.910286248056508</v>
      </c>
      <c r="G383" s="812">
        <f t="shared" ca="1" si="127"/>
        <v>-72.523727648580788</v>
      </c>
      <c r="H383" s="812">
        <f t="shared" ca="1" si="127"/>
        <v>-33.655904974950282</v>
      </c>
      <c r="I383" s="812">
        <f t="shared" ca="1" si="127"/>
        <v>5.4879895877165259</v>
      </c>
      <c r="J383" s="812">
        <f t="shared" ca="1" si="127"/>
        <v>-15.009243104940118</v>
      </c>
      <c r="K383" s="812">
        <f t="shared" ca="1" si="127"/>
        <v>13.140799928922995</v>
      </c>
      <c r="L383" s="812">
        <f t="shared" ca="1" si="127"/>
        <v>13.855717610828163</v>
      </c>
      <c r="M383" s="812">
        <f t="shared" ca="1" si="127"/>
        <v>14.044712535300665</v>
      </c>
      <c r="N383" s="812">
        <f t="shared" ca="1" si="127"/>
        <v>243.17176860140393</v>
      </c>
      <c r="O383" s="812">
        <f t="shared" ca="1" si="127"/>
        <v>0</v>
      </c>
      <c r="P383" s="812">
        <f t="shared" ca="1" si="127"/>
        <v>0</v>
      </c>
      <c r="Q383" s="812">
        <f t="shared" ca="1" si="127"/>
        <v>0</v>
      </c>
      <c r="R383" s="812">
        <f t="shared" ca="1" si="127"/>
        <v>0</v>
      </c>
      <c r="S383" s="812">
        <f t="shared" ca="1" si="127"/>
        <v>0</v>
      </c>
      <c r="T383" s="812">
        <f t="shared" ca="1" si="127"/>
        <v>0</v>
      </c>
      <c r="U383" s="812">
        <f t="shared" ca="1" si="127"/>
        <v>0</v>
      </c>
      <c r="V383" s="812">
        <f t="shared" ca="1" si="127"/>
        <v>0</v>
      </c>
      <c r="W383" s="812">
        <f t="shared" ca="1" si="127"/>
        <v>0</v>
      </c>
      <c r="X383" s="812">
        <f t="shared" ca="1" si="127"/>
        <v>0</v>
      </c>
      <c r="Y383" s="812">
        <f t="shared" ca="1" si="127"/>
        <v>0</v>
      </c>
      <c r="Z383" s="812">
        <f t="shared" ca="1" si="127"/>
        <v>0</v>
      </c>
    </row>
    <row r="384" spans="2:26" s="793" customFormat="1" hidden="1" x14ac:dyDescent="0.2"/>
    <row r="385" spans="2:26" s="793" customFormat="1" hidden="1" x14ac:dyDescent="0.2">
      <c r="B385" s="815" t="s">
        <v>421</v>
      </c>
      <c r="C385" s="815"/>
      <c r="D385" s="816">
        <f ca="1">+IRR(F383:Z383)</f>
        <v>0.13060699643741946</v>
      </c>
    </row>
    <row r="386" spans="2:26" s="793" customFormat="1" hidden="1" x14ac:dyDescent="0.2">
      <c r="B386" s="817" t="s">
        <v>422</v>
      </c>
      <c r="C386" s="818"/>
      <c r="D386" s="820">
        <f ca="1">+'Phase II Pro Forma'!D383</f>
        <v>0.16532531194618125</v>
      </c>
    </row>
    <row r="387" spans="2:26" s="793" customFormat="1" hidden="1" x14ac:dyDescent="0.2"/>
    <row r="388" spans="2:26" s="793" customFormat="1" hidden="1" x14ac:dyDescent="0.2">
      <c r="B388" s="793" t="s">
        <v>419</v>
      </c>
      <c r="F388" s="789">
        <f ca="1">+'Phase II Pro Forma'!F385/1000000</f>
        <v>0</v>
      </c>
      <c r="G388" s="789">
        <f ca="1">+'Phase II Pro Forma'!G385/1000000</f>
        <v>0</v>
      </c>
      <c r="H388" s="789">
        <f ca="1">+'Phase II Pro Forma'!H385/1000000</f>
        <v>0</v>
      </c>
      <c r="I388" s="789">
        <f ca="1">+'Phase II Pro Forma'!I385/1000000</f>
        <v>0</v>
      </c>
      <c r="J388" s="789">
        <f ca="1">+'Phase II Pro Forma'!J385/1000000</f>
        <v>0</v>
      </c>
      <c r="K388" s="789">
        <f ca="1">+'Phase II Pro Forma'!K385/1000000</f>
        <v>0.39634938127745151</v>
      </c>
      <c r="L388" s="789">
        <f ca="1">+'Phase II Pro Forma'!L385/1000000</f>
        <v>1.9278459248356921</v>
      </c>
      <c r="M388" s="789">
        <f ca="1">+'Phase II Pro Forma'!M385/1000000</f>
        <v>1.0928253292133534</v>
      </c>
      <c r="N388" s="789">
        <f ca="1">+'Phase II Pro Forma'!N385/1000000</f>
        <v>0.96392296241784603</v>
      </c>
      <c r="O388" s="789">
        <f ca="1">+'Phase II Pro Forma'!O385/1000000</f>
        <v>0</v>
      </c>
      <c r="P388" s="789">
        <f ca="1">+'Phase II Pro Forma'!P385/1000000</f>
        <v>0</v>
      </c>
      <c r="Q388" s="789">
        <f ca="1">+'Phase II Pro Forma'!Q385/1000000</f>
        <v>0</v>
      </c>
      <c r="R388" s="789">
        <f ca="1">+'Phase II Pro Forma'!R385/1000000</f>
        <v>0</v>
      </c>
      <c r="S388" s="789">
        <f ca="1">+'Phase II Pro Forma'!S385/1000000</f>
        <v>0</v>
      </c>
      <c r="T388" s="789">
        <f ca="1">+'Phase II Pro Forma'!T385/1000000</f>
        <v>0</v>
      </c>
      <c r="U388" s="789">
        <f ca="1">+'Phase II Pro Forma'!U385/1000000</f>
        <v>0</v>
      </c>
      <c r="V388" s="789">
        <f ca="1">+'Phase II Pro Forma'!V385/1000000</f>
        <v>0</v>
      </c>
      <c r="W388" s="789">
        <f ca="1">+'Phase II Pro Forma'!W385/1000000</f>
        <v>0</v>
      </c>
      <c r="X388" s="789">
        <f ca="1">+'Phase II Pro Forma'!X385/1000000</f>
        <v>0</v>
      </c>
      <c r="Y388" s="789">
        <f ca="1">+'Phase II Pro Forma'!Y385/1000000</f>
        <v>0</v>
      </c>
      <c r="Z388" s="789">
        <f ca="1">+'Phase II Pro Forma'!Z385/1000000</f>
        <v>0</v>
      </c>
    </row>
    <row r="389" spans="2:26" s="793" customFormat="1" hidden="1" x14ac:dyDescent="0.2"/>
    <row r="390" spans="2:26" s="793" customFormat="1" hidden="1" x14ac:dyDescent="0.2">
      <c r="B390" s="810" t="s">
        <v>399</v>
      </c>
    </row>
    <row r="391" spans="2:26" s="793" customFormat="1" hidden="1" x14ac:dyDescent="0.2">
      <c r="B391" s="788" t="s">
        <v>400</v>
      </c>
      <c r="D391" s="803">
        <f ca="1">+SUM(F391:Z391)</f>
        <v>984.71024257357806</v>
      </c>
      <c r="E391" s="803"/>
      <c r="F391" s="792">
        <f>+'Phase II Pro Forma'!F388/1000000</f>
        <v>0</v>
      </c>
      <c r="G391" s="792">
        <f ca="1">+'Phase II Pro Forma'!G388/1000000</f>
        <v>18.873780060831024</v>
      </c>
      <c r="H391" s="792">
        <f ca="1">+'Phase II Pro Forma'!H388/1000000</f>
        <v>110.67596695776874</v>
      </c>
      <c r="I391" s="792">
        <f ca="1">+'Phase II Pro Forma'!I388/1000000</f>
        <v>153.27837831846529</v>
      </c>
      <c r="J391" s="792">
        <f ca="1">+'Phase II Pro Forma'!J388/1000000</f>
        <v>153.27837831846529</v>
      </c>
      <c r="K391" s="792">
        <f ca="1">+'Phase II Pro Forma'!K388/1000000</f>
        <v>146.82740088288395</v>
      </c>
      <c r="L391" s="792">
        <f ca="1">+'Phase II Pro Forma'!L388/1000000</f>
        <v>140.37642344730259</v>
      </c>
      <c r="M391" s="792">
        <f ca="1">+'Phase II Pro Forma'!M388/1000000</f>
        <v>133.92544601172125</v>
      </c>
      <c r="N391" s="792">
        <f ca="1">+'Phase II Pro Forma'!N388/1000000</f>
        <v>127.47446857613988</v>
      </c>
      <c r="O391" s="792">
        <f ca="1">+'Phase II Pro Forma'!O388/1000000</f>
        <v>0</v>
      </c>
      <c r="P391" s="792">
        <f ca="1">+'Phase II Pro Forma'!P388/1000000</f>
        <v>0</v>
      </c>
      <c r="Q391" s="792">
        <f ca="1">+'Phase II Pro Forma'!Q388/1000000</f>
        <v>0</v>
      </c>
      <c r="R391" s="792">
        <f ca="1">+'Phase II Pro Forma'!R388/1000000</f>
        <v>0</v>
      </c>
      <c r="S391" s="792">
        <f ca="1">+'Phase II Pro Forma'!S388/1000000</f>
        <v>0</v>
      </c>
      <c r="T391" s="792">
        <f ca="1">+'Phase II Pro Forma'!T388/1000000</f>
        <v>0</v>
      </c>
      <c r="U391" s="792">
        <f ca="1">+'Phase II Pro Forma'!U388/1000000</f>
        <v>0</v>
      </c>
      <c r="V391" s="792">
        <f ca="1">+'Phase II Pro Forma'!V388/1000000</f>
        <v>0</v>
      </c>
      <c r="W391" s="792">
        <f ca="1">+'Phase II Pro Forma'!W388/1000000</f>
        <v>0</v>
      </c>
      <c r="X391" s="792">
        <f ca="1">+'Phase II Pro Forma'!X388/1000000</f>
        <v>0</v>
      </c>
      <c r="Y391" s="792">
        <f ca="1">+'Phase II Pro Forma'!Y388/1000000</f>
        <v>0</v>
      </c>
      <c r="Z391" s="792">
        <f ca="1">+'Phase II Pro Forma'!Z388/1000000</f>
        <v>0</v>
      </c>
    </row>
    <row r="392" spans="2:26" s="793" customFormat="1" hidden="1" x14ac:dyDescent="0.2">
      <c r="B392" s="788" t="s">
        <v>398</v>
      </c>
      <c r="D392" s="803">
        <f t="shared" ref="D392:D397" ca="1" si="128">+SUM(F392:Z392)</f>
        <v>153.27837831846529</v>
      </c>
      <c r="E392" s="803"/>
      <c r="F392" s="789">
        <f ca="1">+'Phase II Pro Forma'!F389/1000000</f>
        <v>18.873780060831024</v>
      </c>
      <c r="G392" s="789">
        <f ca="1">+'Phase II Pro Forma'!G389/1000000</f>
        <v>91.802186896937712</v>
      </c>
      <c r="H392" s="789">
        <f ca="1">+'Phase II Pro Forma'!H389/1000000</f>
        <v>42.602411360696557</v>
      </c>
      <c r="I392" s="789">
        <f ca="1">+'Phase II Pro Forma'!I389/1000000</f>
        <v>0</v>
      </c>
      <c r="J392" s="789">
        <f ca="1">+'Phase II Pro Forma'!J389/1000000</f>
        <v>0</v>
      </c>
      <c r="K392" s="789">
        <f ca="1">+'Phase II Pro Forma'!K389/1000000</f>
        <v>0</v>
      </c>
      <c r="L392" s="789">
        <f ca="1">+'Phase II Pro Forma'!L389/1000000</f>
        <v>0</v>
      </c>
      <c r="M392" s="789">
        <f ca="1">+'Phase II Pro Forma'!M389/1000000</f>
        <v>0</v>
      </c>
      <c r="N392" s="789">
        <f ca="1">+'Phase II Pro Forma'!N389/1000000</f>
        <v>0</v>
      </c>
      <c r="O392" s="789">
        <f ca="1">+'Phase II Pro Forma'!O389/1000000</f>
        <v>0</v>
      </c>
      <c r="P392" s="789">
        <f ca="1">+'Phase II Pro Forma'!P389/1000000</f>
        <v>0</v>
      </c>
      <c r="Q392" s="789">
        <f ca="1">+'Phase II Pro Forma'!Q389/1000000</f>
        <v>0</v>
      </c>
      <c r="R392" s="789">
        <f ca="1">+'Phase II Pro Forma'!R389/1000000</f>
        <v>0</v>
      </c>
      <c r="S392" s="789">
        <f ca="1">+'Phase II Pro Forma'!S389/1000000</f>
        <v>0</v>
      </c>
      <c r="T392" s="789">
        <f ca="1">+'Phase II Pro Forma'!T389/1000000</f>
        <v>0</v>
      </c>
      <c r="U392" s="789">
        <f ca="1">+'Phase II Pro Forma'!U389/1000000</f>
        <v>0</v>
      </c>
      <c r="V392" s="789">
        <f ca="1">+'Phase II Pro Forma'!V389/1000000</f>
        <v>0</v>
      </c>
      <c r="W392" s="789">
        <f ca="1">+'Phase II Pro Forma'!W389/1000000</f>
        <v>0</v>
      </c>
      <c r="X392" s="789">
        <f ca="1">+'Phase II Pro Forma'!X389/1000000</f>
        <v>0</v>
      </c>
      <c r="Y392" s="789">
        <f ca="1">+'Phase II Pro Forma'!Y389/1000000</f>
        <v>0</v>
      </c>
      <c r="Z392" s="789">
        <f ca="1">+'Phase II Pro Forma'!Z389/1000000</f>
        <v>0</v>
      </c>
    </row>
    <row r="393" spans="2:26" s="793" customFormat="1" hidden="1" x14ac:dyDescent="0.2">
      <c r="B393" s="788" t="s">
        <v>248</v>
      </c>
      <c r="D393" s="803">
        <f t="shared" ca="1" si="128"/>
        <v>84.621212819581487</v>
      </c>
      <c r="E393" s="803"/>
      <c r="F393" s="789">
        <f ca="1">+'Phase II Pro Forma'!F390/1000000</f>
        <v>0</v>
      </c>
      <c r="G393" s="789">
        <f ca="1">+'Phase II Pro Forma'!G390/1000000</f>
        <v>0</v>
      </c>
      <c r="H393" s="789">
        <f ca="1">+'Phase II Pro Forma'!H390/1000000</f>
        <v>0</v>
      </c>
      <c r="I393" s="789">
        <f ca="1">+'Phase II Pro Forma'!I390/1000000</f>
        <v>6.9468222629323115</v>
      </c>
      <c r="J393" s="789">
        <f ca="1">+'Phase II Pro Forma'!J390/1000000</f>
        <v>14.485528459140713</v>
      </c>
      <c r="K393" s="789">
        <f ca="1">+'Phase II Pro Forma'!K390/1000000</f>
        <v>14.919107173988493</v>
      </c>
      <c r="L393" s="789">
        <f ca="1">+'Phase II Pro Forma'!L390/1000000</f>
        <v>15.824066265007694</v>
      </c>
      <c r="M393" s="789">
        <f ca="1">+'Phase II Pro Forma'!M390/1000000</f>
        <v>16.063300346618455</v>
      </c>
      <c r="N393" s="789">
        <f ca="1">+'Phase II Pro Forma'!N390/1000000</f>
        <v>16.38238831189382</v>
      </c>
      <c r="O393" s="789">
        <f>+'Phase II Pro Forma'!O390/1000000</f>
        <v>0</v>
      </c>
      <c r="P393" s="789">
        <f>+'Phase II Pro Forma'!P390/1000000</f>
        <v>0</v>
      </c>
      <c r="Q393" s="789">
        <f>+'Phase II Pro Forma'!Q390/1000000</f>
        <v>0</v>
      </c>
      <c r="R393" s="789">
        <f>+'Phase II Pro Forma'!R390/1000000</f>
        <v>0</v>
      </c>
      <c r="S393" s="789">
        <f>+'Phase II Pro Forma'!S390/1000000</f>
        <v>0</v>
      </c>
      <c r="T393" s="789">
        <f>+'Phase II Pro Forma'!T390/1000000</f>
        <v>0</v>
      </c>
      <c r="U393" s="789">
        <f>+'Phase II Pro Forma'!U390/1000000</f>
        <v>0</v>
      </c>
      <c r="V393" s="789">
        <f>+'Phase II Pro Forma'!V390/1000000</f>
        <v>0</v>
      </c>
      <c r="W393" s="789">
        <f>+'Phase II Pro Forma'!W390/1000000</f>
        <v>0</v>
      </c>
      <c r="X393" s="789">
        <f>+'Phase II Pro Forma'!X390/1000000</f>
        <v>0</v>
      </c>
      <c r="Y393" s="789">
        <f>+'Phase II Pro Forma'!Y390/1000000</f>
        <v>0</v>
      </c>
      <c r="Z393" s="789">
        <f>+'Phase II Pro Forma'!Z390/1000000</f>
        <v>0</v>
      </c>
    </row>
    <row r="394" spans="2:26" s="793" customFormat="1" hidden="1" x14ac:dyDescent="0.2">
      <c r="B394" s="788" t="s">
        <v>410</v>
      </c>
      <c r="D394" s="803">
        <f t="shared" ca="1" si="128"/>
        <v>-32.254887177906795</v>
      </c>
      <c r="E394" s="803"/>
      <c r="F394" s="789">
        <f>+'Phase II Pro Forma'!F391/1000000</f>
        <v>0</v>
      </c>
      <c r="G394" s="789">
        <f>+'Phase II Pro Forma'!G391/1000000</f>
        <v>0</v>
      </c>
      <c r="H394" s="789">
        <f>+'Phase II Pro Forma'!H391/1000000</f>
        <v>0</v>
      </c>
      <c r="I394" s="789">
        <f>+'Phase II Pro Forma'!I391/1000000</f>
        <v>0</v>
      </c>
      <c r="J394" s="789">
        <f ca="1">+'Phase II Pro Forma'!J391/1000000</f>
        <v>-6.4509774355813594</v>
      </c>
      <c r="K394" s="789">
        <f ca="1">+'Phase II Pro Forma'!K391/1000000</f>
        <v>-6.4509774355813594</v>
      </c>
      <c r="L394" s="789">
        <f ca="1">+'Phase II Pro Forma'!L391/1000000</f>
        <v>-6.4509774355813594</v>
      </c>
      <c r="M394" s="789">
        <f ca="1">+'Phase II Pro Forma'!M391/1000000</f>
        <v>-6.4509774355813594</v>
      </c>
      <c r="N394" s="789">
        <f ca="1">+'Phase II Pro Forma'!N391/1000000</f>
        <v>-6.4509774355813594</v>
      </c>
      <c r="O394" s="789">
        <f>+'Phase II Pro Forma'!O391/1000000</f>
        <v>0</v>
      </c>
      <c r="P394" s="789">
        <f>+'Phase II Pro Forma'!P391/1000000</f>
        <v>0</v>
      </c>
      <c r="Q394" s="789">
        <f>+'Phase II Pro Forma'!Q391/1000000</f>
        <v>0</v>
      </c>
      <c r="R394" s="789">
        <f>+'Phase II Pro Forma'!R391/1000000</f>
        <v>0</v>
      </c>
      <c r="S394" s="789">
        <f>+'Phase II Pro Forma'!S391/1000000</f>
        <v>0</v>
      </c>
      <c r="T394" s="789">
        <f>+'Phase II Pro Forma'!T391/1000000</f>
        <v>0</v>
      </c>
      <c r="U394" s="789">
        <f>+'Phase II Pro Forma'!U391/1000000</f>
        <v>0</v>
      </c>
      <c r="V394" s="789">
        <f>+'Phase II Pro Forma'!V391/1000000</f>
        <v>0</v>
      </c>
      <c r="W394" s="789">
        <f>+'Phase II Pro Forma'!W391/1000000</f>
        <v>0</v>
      </c>
      <c r="X394" s="789">
        <f>+'Phase II Pro Forma'!X391/1000000</f>
        <v>0</v>
      </c>
      <c r="Y394" s="789">
        <f>+'Phase II Pro Forma'!Y391/1000000</f>
        <v>0</v>
      </c>
      <c r="Z394" s="789">
        <f>+'Phase II Pro Forma'!Z391/1000000</f>
        <v>0</v>
      </c>
    </row>
    <row r="395" spans="2:26" s="793" customFormat="1" hidden="1" x14ac:dyDescent="0.2">
      <c r="B395" s="788" t="s">
        <v>401</v>
      </c>
      <c r="D395" s="803">
        <f t="shared" ca="1" si="128"/>
        <v>-84.621212819581487</v>
      </c>
      <c r="E395" s="803"/>
      <c r="F395" s="789">
        <f ca="1">+'Phase II Pro Forma'!F392/1000000</f>
        <v>0</v>
      </c>
      <c r="G395" s="789">
        <f ca="1">+'Phase II Pro Forma'!G392/1000000</f>
        <v>0</v>
      </c>
      <c r="H395" s="789">
        <f ca="1">+'Phase II Pro Forma'!H392/1000000</f>
        <v>0</v>
      </c>
      <c r="I395" s="789">
        <f ca="1">+'Phase II Pro Forma'!I392/1000000</f>
        <v>-6.9468222629323115</v>
      </c>
      <c r="J395" s="789">
        <f ca="1">+'Phase II Pro Forma'!J392/1000000</f>
        <v>-14.485528459140713</v>
      </c>
      <c r="K395" s="789">
        <f ca="1">+'Phase II Pro Forma'!K392/1000000</f>
        <v>-14.919107173988493</v>
      </c>
      <c r="L395" s="789">
        <f ca="1">+'Phase II Pro Forma'!L392/1000000</f>
        <v>-15.824066265007694</v>
      </c>
      <c r="M395" s="789">
        <f ca="1">+'Phase II Pro Forma'!M392/1000000</f>
        <v>-16.063300346618455</v>
      </c>
      <c r="N395" s="789">
        <f ca="1">+'Phase II Pro Forma'!N392/1000000</f>
        <v>-16.38238831189382</v>
      </c>
      <c r="O395" s="789">
        <f>+'Phase II Pro Forma'!O392/1000000</f>
        <v>0</v>
      </c>
      <c r="P395" s="789">
        <f>+'Phase II Pro Forma'!P392/1000000</f>
        <v>0</v>
      </c>
      <c r="Q395" s="789">
        <f>+'Phase II Pro Forma'!Q392/1000000</f>
        <v>0</v>
      </c>
      <c r="R395" s="789">
        <f>+'Phase II Pro Forma'!R392/1000000</f>
        <v>0</v>
      </c>
      <c r="S395" s="789">
        <f>+'Phase II Pro Forma'!S392/1000000</f>
        <v>0</v>
      </c>
      <c r="T395" s="789">
        <f>+'Phase II Pro Forma'!T392/1000000</f>
        <v>0</v>
      </c>
      <c r="U395" s="789">
        <f>+'Phase II Pro Forma'!U392/1000000</f>
        <v>0</v>
      </c>
      <c r="V395" s="789">
        <f>+'Phase II Pro Forma'!V392/1000000</f>
        <v>0</v>
      </c>
      <c r="W395" s="789">
        <f>+'Phase II Pro Forma'!W392/1000000</f>
        <v>0</v>
      </c>
      <c r="X395" s="789">
        <f>+'Phase II Pro Forma'!X392/1000000</f>
        <v>0</v>
      </c>
      <c r="Y395" s="789">
        <f>+'Phase II Pro Forma'!Y392/1000000</f>
        <v>0</v>
      </c>
      <c r="Z395" s="789">
        <f>+'Phase II Pro Forma'!Z392/1000000</f>
        <v>0</v>
      </c>
    </row>
    <row r="396" spans="2:26" s="793" customFormat="1" hidden="1" x14ac:dyDescent="0.2">
      <c r="B396" s="788" t="s">
        <v>403</v>
      </c>
      <c r="D396" s="803">
        <f t="shared" ca="1" si="128"/>
        <v>-257.54435877723859</v>
      </c>
      <c r="E396" s="803"/>
      <c r="F396" s="789">
        <f>+'Phase II Pro Forma'!F393/1000000</f>
        <v>0</v>
      </c>
      <c r="G396" s="789">
        <f>+'Phase II Pro Forma'!G393/1000000</f>
        <v>0</v>
      </c>
      <c r="H396" s="789">
        <f>+'Phase II Pro Forma'!H393/1000000</f>
        <v>0</v>
      </c>
      <c r="I396" s="789">
        <f>+'Phase II Pro Forma'!I393/1000000</f>
        <v>0</v>
      </c>
      <c r="J396" s="789">
        <f>+'Phase II Pro Forma'!J393/1000000</f>
        <v>0</v>
      </c>
      <c r="K396" s="789">
        <f>+'Phase II Pro Forma'!K393/1000000</f>
        <v>0</v>
      </c>
      <c r="L396" s="789">
        <f>+'Phase II Pro Forma'!L393/1000000</f>
        <v>0</v>
      </c>
      <c r="M396" s="789">
        <f>+'Phase II Pro Forma'!M393/1000000</f>
        <v>0</v>
      </c>
      <c r="N396" s="789">
        <f ca="1">+'Phase II Pro Forma'!N393/1000000</f>
        <v>-257.54435877723853</v>
      </c>
      <c r="O396" s="789">
        <f>+'Phase II Pro Forma'!O393/1000000</f>
        <v>0</v>
      </c>
      <c r="P396" s="789">
        <f>+'Phase II Pro Forma'!P393/1000000</f>
        <v>0</v>
      </c>
      <c r="Q396" s="789">
        <f>+'Phase II Pro Forma'!Q393/1000000</f>
        <v>0</v>
      </c>
      <c r="R396" s="789">
        <f>+'Phase II Pro Forma'!R393/1000000</f>
        <v>0</v>
      </c>
      <c r="S396" s="789">
        <f>+'Phase II Pro Forma'!S393/1000000</f>
        <v>0</v>
      </c>
      <c r="T396" s="789">
        <f>+'Phase II Pro Forma'!T393/1000000</f>
        <v>0</v>
      </c>
      <c r="U396" s="789">
        <f>+'Phase II Pro Forma'!U393/1000000</f>
        <v>0</v>
      </c>
      <c r="V396" s="789">
        <f>+'Phase II Pro Forma'!V393/1000000</f>
        <v>0</v>
      </c>
      <c r="W396" s="789">
        <f>+'Phase II Pro Forma'!W393/1000000</f>
        <v>0</v>
      </c>
      <c r="X396" s="789">
        <f>+'Phase II Pro Forma'!X393/1000000</f>
        <v>0</v>
      </c>
      <c r="Y396" s="789">
        <f>+'Phase II Pro Forma'!Y393/1000000</f>
        <v>0</v>
      </c>
      <c r="Z396" s="789">
        <f>+'Phase II Pro Forma'!Z393/1000000</f>
        <v>0</v>
      </c>
    </row>
    <row r="397" spans="2:26" s="793" customFormat="1" hidden="1" x14ac:dyDescent="0.2">
      <c r="B397" s="788" t="s">
        <v>414</v>
      </c>
      <c r="D397" s="803">
        <f t="shared" ca="1" si="128"/>
        <v>136.52086763668009</v>
      </c>
      <c r="E397" s="803"/>
      <c r="F397" s="789">
        <f>+'Phase II Pro Forma'!F394/1000000</f>
        <v>0</v>
      </c>
      <c r="G397" s="789">
        <f>+'Phase II Pro Forma'!G394/1000000</f>
        <v>0</v>
      </c>
      <c r="H397" s="789">
        <f>+'Phase II Pro Forma'!H394/1000000</f>
        <v>0</v>
      </c>
      <c r="I397" s="789">
        <f>+'Phase II Pro Forma'!I394/1000000</f>
        <v>0</v>
      </c>
      <c r="J397" s="789">
        <f>+'Phase II Pro Forma'!J394/1000000</f>
        <v>0</v>
      </c>
      <c r="K397" s="789">
        <f>+'Phase II Pro Forma'!K394/1000000</f>
        <v>0</v>
      </c>
      <c r="L397" s="789">
        <f>+'Phase II Pro Forma'!L394/1000000</f>
        <v>0</v>
      </c>
      <c r="M397" s="789">
        <f>+'Phase II Pro Forma'!M394/1000000</f>
        <v>0</v>
      </c>
      <c r="N397" s="789">
        <f ca="1">+'Phase II Pro Forma'!N394/1000000</f>
        <v>136.52086763668004</v>
      </c>
      <c r="O397" s="789">
        <f>+'Phase II Pro Forma'!O394/1000000</f>
        <v>0</v>
      </c>
      <c r="P397" s="789">
        <f>+'Phase II Pro Forma'!P394/1000000</f>
        <v>0</v>
      </c>
      <c r="Q397" s="789">
        <f>+'Phase II Pro Forma'!Q394/1000000</f>
        <v>0</v>
      </c>
      <c r="R397" s="789">
        <f>+'Phase II Pro Forma'!R394/1000000</f>
        <v>0</v>
      </c>
      <c r="S397" s="789">
        <f>+'Phase II Pro Forma'!S394/1000000</f>
        <v>0</v>
      </c>
      <c r="T397" s="789">
        <f>+'Phase II Pro Forma'!T394/1000000</f>
        <v>0</v>
      </c>
      <c r="U397" s="789">
        <f>+'Phase II Pro Forma'!U394/1000000</f>
        <v>0</v>
      </c>
      <c r="V397" s="789">
        <f>+'Phase II Pro Forma'!V394/1000000</f>
        <v>0</v>
      </c>
      <c r="W397" s="789">
        <f>+'Phase II Pro Forma'!W394/1000000</f>
        <v>0</v>
      </c>
      <c r="X397" s="789">
        <f>+'Phase II Pro Forma'!X394/1000000</f>
        <v>0</v>
      </c>
      <c r="Y397" s="789">
        <f>+'Phase II Pro Forma'!Y394/1000000</f>
        <v>0</v>
      </c>
      <c r="Z397" s="789">
        <f>+'Phase II Pro Forma'!Z394/1000000</f>
        <v>0</v>
      </c>
    </row>
    <row r="398" spans="2:26" s="793" customFormat="1" hidden="1" x14ac:dyDescent="0.2">
      <c r="B398" s="804" t="s">
        <v>402</v>
      </c>
      <c r="C398" s="804"/>
      <c r="D398" s="812">
        <f ca="1">+SUM(F398:Z398)</f>
        <v>984.71024257357794</v>
      </c>
      <c r="E398" s="819"/>
      <c r="F398" s="819">
        <f ca="1">+SUM(F391:F397)</f>
        <v>18.873780060831024</v>
      </c>
      <c r="G398" s="819">
        <f t="shared" ref="G398:Z398" ca="1" si="129">+SUM(G391:G397)</f>
        <v>110.67596695776874</v>
      </c>
      <c r="H398" s="819">
        <f t="shared" ca="1" si="129"/>
        <v>153.27837831846529</v>
      </c>
      <c r="I398" s="819">
        <f t="shared" ca="1" si="129"/>
        <v>153.27837831846529</v>
      </c>
      <c r="J398" s="819">
        <f t="shared" ca="1" si="129"/>
        <v>146.82740088288392</v>
      </c>
      <c r="K398" s="819">
        <f t="shared" ca="1" si="129"/>
        <v>140.37642344730259</v>
      </c>
      <c r="L398" s="819">
        <f t="shared" ca="1" si="129"/>
        <v>133.92544601172122</v>
      </c>
      <c r="M398" s="819">
        <f t="shared" ca="1" si="129"/>
        <v>127.47446857613988</v>
      </c>
      <c r="N398" s="819">
        <f t="shared" ca="1" si="129"/>
        <v>0</v>
      </c>
      <c r="O398" s="819">
        <f t="shared" ca="1" si="129"/>
        <v>0</v>
      </c>
      <c r="P398" s="819">
        <f t="shared" ca="1" si="129"/>
        <v>0</v>
      </c>
      <c r="Q398" s="819">
        <f t="shared" ca="1" si="129"/>
        <v>0</v>
      </c>
      <c r="R398" s="819">
        <f t="shared" ca="1" si="129"/>
        <v>0</v>
      </c>
      <c r="S398" s="819">
        <f t="shared" ca="1" si="129"/>
        <v>0</v>
      </c>
      <c r="T398" s="819">
        <f t="shared" ca="1" si="129"/>
        <v>0</v>
      </c>
      <c r="U398" s="819">
        <f t="shared" ca="1" si="129"/>
        <v>0</v>
      </c>
      <c r="V398" s="819">
        <f t="shared" ca="1" si="129"/>
        <v>0</v>
      </c>
      <c r="W398" s="819">
        <f t="shared" ca="1" si="129"/>
        <v>0</v>
      </c>
      <c r="X398" s="819">
        <f t="shared" ca="1" si="129"/>
        <v>0</v>
      </c>
      <c r="Y398" s="819">
        <f t="shared" ca="1" si="129"/>
        <v>0</v>
      </c>
      <c r="Z398" s="819">
        <f t="shared" ca="1" si="129"/>
        <v>0</v>
      </c>
    </row>
    <row r="399" spans="2:26" hidden="1" x14ac:dyDescent="0.2"/>
    <row r="400" spans="2:26" x14ac:dyDescent="0.2">
      <c r="B400" s="36" t="s">
        <v>636</v>
      </c>
      <c r="C400" s="37"/>
      <c r="D400" s="37"/>
      <c r="E400" s="37"/>
      <c r="F400" s="135">
        <f>+F360</f>
        <v>44926</v>
      </c>
      <c r="G400" s="135">
        <f t="shared" ref="G400:Z400" si="130">+G360</f>
        <v>45291</v>
      </c>
      <c r="H400" s="135">
        <f t="shared" si="130"/>
        <v>45657</v>
      </c>
      <c r="I400" s="135">
        <f t="shared" si="130"/>
        <v>46022</v>
      </c>
      <c r="J400" s="135">
        <f t="shared" si="130"/>
        <v>46387</v>
      </c>
      <c r="K400" s="135">
        <f t="shared" si="130"/>
        <v>46752</v>
      </c>
      <c r="L400" s="135">
        <f t="shared" si="130"/>
        <v>47118</v>
      </c>
      <c r="M400" s="135">
        <f t="shared" si="130"/>
        <v>47483</v>
      </c>
      <c r="N400" s="135">
        <f t="shared" si="130"/>
        <v>47848</v>
      </c>
      <c r="O400" s="135">
        <f t="shared" si="130"/>
        <v>48213</v>
      </c>
      <c r="P400" s="135">
        <f t="shared" si="130"/>
        <v>48579</v>
      </c>
      <c r="Q400" s="135">
        <f t="shared" si="130"/>
        <v>48944</v>
      </c>
      <c r="R400" s="135">
        <f t="shared" si="130"/>
        <v>49309</v>
      </c>
      <c r="S400" s="135">
        <f t="shared" si="130"/>
        <v>49674</v>
      </c>
      <c r="T400" s="135">
        <f t="shared" si="130"/>
        <v>50040</v>
      </c>
      <c r="U400" s="135">
        <f t="shared" si="130"/>
        <v>50405</v>
      </c>
      <c r="V400" s="135">
        <f t="shared" si="130"/>
        <v>50770</v>
      </c>
      <c r="W400" s="135">
        <f t="shared" si="130"/>
        <v>51135</v>
      </c>
      <c r="X400" s="135">
        <f t="shared" si="130"/>
        <v>51501</v>
      </c>
      <c r="Y400" s="135">
        <f t="shared" si="130"/>
        <v>51866</v>
      </c>
      <c r="Z400" s="135">
        <f t="shared" si="130"/>
        <v>52231</v>
      </c>
    </row>
    <row r="401" spans="2:26" hidden="1" x14ac:dyDescent="0.2">
      <c r="B401" s="118"/>
    </row>
    <row r="402" spans="2:26" x14ac:dyDescent="0.2">
      <c r="B402" s="147" t="s">
        <v>646</v>
      </c>
      <c r="F402" s="784">
        <v>0</v>
      </c>
      <c r="G402" s="784">
        <f>+F402+1</f>
        <v>1</v>
      </c>
      <c r="H402" s="784">
        <f t="shared" ref="H402:Z402" si="131">+G402+1</f>
        <v>2</v>
      </c>
      <c r="I402" s="784">
        <f t="shared" si="131"/>
        <v>3</v>
      </c>
      <c r="J402" s="784">
        <f t="shared" si="131"/>
        <v>4</v>
      </c>
      <c r="K402" s="784">
        <f t="shared" si="131"/>
        <v>5</v>
      </c>
      <c r="L402" s="784">
        <f t="shared" si="131"/>
        <v>6</v>
      </c>
      <c r="M402" s="784">
        <f t="shared" si="131"/>
        <v>7</v>
      </c>
      <c r="N402" s="784">
        <f t="shared" si="131"/>
        <v>8</v>
      </c>
      <c r="O402" s="784">
        <f t="shared" si="131"/>
        <v>9</v>
      </c>
      <c r="P402" s="784">
        <f t="shared" si="131"/>
        <v>10</v>
      </c>
      <c r="Q402" s="784">
        <f t="shared" si="131"/>
        <v>11</v>
      </c>
      <c r="R402" s="784">
        <f t="shared" si="131"/>
        <v>12</v>
      </c>
      <c r="S402" s="784">
        <f t="shared" si="131"/>
        <v>13</v>
      </c>
      <c r="T402" s="784">
        <f t="shared" si="131"/>
        <v>14</v>
      </c>
      <c r="U402" s="784">
        <f t="shared" si="131"/>
        <v>15</v>
      </c>
      <c r="V402" s="784">
        <f t="shared" si="131"/>
        <v>16</v>
      </c>
      <c r="W402" s="784">
        <f t="shared" si="131"/>
        <v>17</v>
      </c>
      <c r="X402" s="784">
        <f t="shared" si="131"/>
        <v>18</v>
      </c>
      <c r="Y402" s="784">
        <f t="shared" si="131"/>
        <v>19</v>
      </c>
      <c r="Z402" s="784">
        <f t="shared" si="131"/>
        <v>20</v>
      </c>
    </row>
    <row r="403" spans="2:26" x14ac:dyDescent="0.2">
      <c r="B403" s="32" t="s">
        <v>398</v>
      </c>
      <c r="D403" s="47"/>
      <c r="E403" s="47"/>
      <c r="F403" s="48">
        <f ca="1">+'Phase II Pro Forma'!F400/1000000</f>
        <v>-18.873780060831024</v>
      </c>
      <c r="G403" s="48">
        <f ca="1">+'Phase II Pro Forma'!G400/1000000</f>
        <v>-17.40990778914772</v>
      </c>
      <c r="H403" s="48">
        <f ca="1">+'Phase II Pro Forma'!H400/1000000</f>
        <v>0</v>
      </c>
      <c r="I403" s="48">
        <f ca="1">+'Phase II Pro Forma'!I400/1000000</f>
        <v>0</v>
      </c>
      <c r="J403" s="48">
        <f ca="1">+'Phase II Pro Forma'!J400/1000000</f>
        <v>0</v>
      </c>
      <c r="K403" s="48">
        <f ca="1">+'Phase II Pro Forma'!K400/1000000</f>
        <v>0</v>
      </c>
      <c r="L403" s="48">
        <f ca="1">+'Phase II Pro Forma'!L400/1000000</f>
        <v>0</v>
      </c>
      <c r="M403" s="48">
        <f ca="1">+'Phase II Pro Forma'!M400/1000000</f>
        <v>0</v>
      </c>
      <c r="N403" s="48">
        <f ca="1">+'Phase II Pro Forma'!N400/1000000</f>
        <v>0</v>
      </c>
      <c r="O403" s="48">
        <f ca="1">+'Phase II Pro Forma'!O400/1000000</f>
        <v>0</v>
      </c>
      <c r="P403" s="48">
        <f ca="1">+'Phase II Pro Forma'!P400/1000000</f>
        <v>0</v>
      </c>
      <c r="Q403" s="48">
        <f ca="1">+'Phase II Pro Forma'!Q400/1000000</f>
        <v>0</v>
      </c>
      <c r="R403" s="48">
        <f ca="1">+'Phase II Pro Forma'!R400/1000000</f>
        <v>0</v>
      </c>
      <c r="S403" s="48">
        <f ca="1">+'Phase II Pro Forma'!S400/1000000</f>
        <v>0</v>
      </c>
      <c r="T403" s="48">
        <f ca="1">+'Phase II Pro Forma'!T400/1000000</f>
        <v>0</v>
      </c>
      <c r="U403" s="48">
        <f ca="1">+'Phase II Pro Forma'!U400/1000000</f>
        <v>0</v>
      </c>
      <c r="V403" s="48">
        <f ca="1">+'Phase II Pro Forma'!V400/1000000</f>
        <v>0</v>
      </c>
      <c r="W403" s="48">
        <f ca="1">+'Phase II Pro Forma'!W400/1000000</f>
        <v>0</v>
      </c>
      <c r="X403" s="48">
        <f ca="1">+'Phase II Pro Forma'!X400/1000000</f>
        <v>0</v>
      </c>
      <c r="Y403" s="48">
        <f ca="1">+'Phase II Pro Forma'!Y400/1000000</f>
        <v>0</v>
      </c>
      <c r="Z403" s="48">
        <f ca="1">+'Phase II Pro Forma'!Z400/1000000</f>
        <v>0</v>
      </c>
    </row>
    <row r="404" spans="2:26" x14ac:dyDescent="0.2">
      <c r="B404" s="32" t="s">
        <v>416</v>
      </c>
      <c r="D404" s="47"/>
      <c r="E404" s="47"/>
      <c r="F404" s="772">
        <f>+'Phase II Pro Forma'!F401/1000000</f>
        <v>0</v>
      </c>
      <c r="G404" s="772">
        <f>+'Phase II Pro Forma'!G401/1000000</f>
        <v>0</v>
      </c>
      <c r="H404" s="772">
        <f>+'Phase II Pro Forma'!H401/1000000</f>
        <v>0</v>
      </c>
      <c r="I404" s="772">
        <f>+'Phase II Pro Forma'!I401/1000000</f>
        <v>0</v>
      </c>
      <c r="J404" s="772">
        <f>+'Phase II Pro Forma'!J401/1000000</f>
        <v>0</v>
      </c>
      <c r="K404" s="772">
        <f>+'Phase II Pro Forma'!K401/1000000</f>
        <v>0</v>
      </c>
      <c r="L404" s="772">
        <f>+'Phase II Pro Forma'!L401/1000000</f>
        <v>0</v>
      </c>
      <c r="M404" s="772">
        <f>+'Phase II Pro Forma'!M401/1000000</f>
        <v>0</v>
      </c>
      <c r="N404" s="772">
        <f>+'Phase II Pro Forma'!N401/1000000</f>
        <v>0</v>
      </c>
      <c r="O404" s="772">
        <f>+'Phase II Pro Forma'!O401/1000000</f>
        <v>0</v>
      </c>
      <c r="P404" s="772">
        <f>+'Phase II Pro Forma'!P401/1000000</f>
        <v>0</v>
      </c>
      <c r="Q404" s="772">
        <f>+'Phase II Pro Forma'!Q401/1000000</f>
        <v>0</v>
      </c>
      <c r="R404" s="772">
        <f>+'Phase II Pro Forma'!R401/1000000</f>
        <v>0</v>
      </c>
      <c r="S404" s="772">
        <f>+'Phase II Pro Forma'!S401/1000000</f>
        <v>0</v>
      </c>
      <c r="T404" s="772">
        <f>+'Phase II Pro Forma'!T401/1000000</f>
        <v>0</v>
      </c>
      <c r="U404" s="772">
        <f>+'Phase II Pro Forma'!U401/1000000</f>
        <v>0</v>
      </c>
      <c r="V404" s="772">
        <f>+'Phase II Pro Forma'!V401/1000000</f>
        <v>0</v>
      </c>
      <c r="W404" s="772">
        <f>+'Phase II Pro Forma'!W401/1000000</f>
        <v>0</v>
      </c>
      <c r="X404" s="772">
        <f>+'Phase II Pro Forma'!X401/1000000</f>
        <v>0</v>
      </c>
      <c r="Y404" s="772">
        <f>+'Phase II Pro Forma'!Y401/1000000</f>
        <v>0</v>
      </c>
      <c r="Z404" s="772">
        <f>+'Phase II Pro Forma'!Z401/1000000</f>
        <v>0</v>
      </c>
    </row>
    <row r="405" spans="2:26" x14ac:dyDescent="0.2">
      <c r="B405" s="32" t="s">
        <v>417</v>
      </c>
      <c r="D405" s="47"/>
      <c r="E405" s="47"/>
      <c r="F405" s="772">
        <f>+'Phase II Pro Forma'!F402/1000000</f>
        <v>0</v>
      </c>
      <c r="G405" s="772">
        <f>+'Phase II Pro Forma'!G402/1000000</f>
        <v>0</v>
      </c>
      <c r="H405" s="772">
        <f>+'Phase II Pro Forma'!H402/1000000</f>
        <v>0</v>
      </c>
      <c r="I405" s="772">
        <f>+'Phase II Pro Forma'!I402/1000000</f>
        <v>0</v>
      </c>
      <c r="J405" s="772">
        <f>+'Phase II Pro Forma'!J402/1000000</f>
        <v>0</v>
      </c>
      <c r="K405" s="772">
        <f>+'Phase II Pro Forma'!K402/1000000</f>
        <v>0</v>
      </c>
      <c r="L405" s="772">
        <f>+'Phase II Pro Forma'!L402/1000000</f>
        <v>0</v>
      </c>
      <c r="M405" s="772">
        <f>+'Phase II Pro Forma'!M402/1000000</f>
        <v>0</v>
      </c>
      <c r="N405" s="772">
        <f>+'Phase II Pro Forma'!N402/1000000</f>
        <v>0</v>
      </c>
      <c r="O405" s="772">
        <f>+'Phase II Pro Forma'!O402/1000000</f>
        <v>0</v>
      </c>
      <c r="P405" s="772">
        <f>+'Phase II Pro Forma'!P402/1000000</f>
        <v>0</v>
      </c>
      <c r="Q405" s="772">
        <f>+'Phase II Pro Forma'!Q402/1000000</f>
        <v>0</v>
      </c>
      <c r="R405" s="772">
        <f>+'Phase II Pro Forma'!R402/1000000</f>
        <v>0</v>
      </c>
      <c r="S405" s="772">
        <f>+'Phase II Pro Forma'!S402/1000000</f>
        <v>0</v>
      </c>
      <c r="T405" s="772">
        <f>+'Phase II Pro Forma'!T402/1000000</f>
        <v>0</v>
      </c>
      <c r="U405" s="772">
        <f>+'Phase II Pro Forma'!U402/1000000</f>
        <v>0</v>
      </c>
      <c r="V405" s="772">
        <f>+'Phase II Pro Forma'!V402/1000000</f>
        <v>0</v>
      </c>
      <c r="W405" s="772">
        <f>+'Phase II Pro Forma'!W402/1000000</f>
        <v>0</v>
      </c>
      <c r="X405" s="772">
        <f>+'Phase II Pro Forma'!X402/1000000</f>
        <v>0</v>
      </c>
      <c r="Y405" s="772">
        <f>+'Phase II Pro Forma'!Y402/1000000</f>
        <v>0</v>
      </c>
      <c r="Z405" s="772">
        <f>+'Phase II Pro Forma'!Z402/1000000</f>
        <v>0</v>
      </c>
    </row>
    <row r="406" spans="2:26" x14ac:dyDescent="0.2">
      <c r="B406" s="32" t="s">
        <v>641</v>
      </c>
      <c r="D406" s="47"/>
      <c r="E406" s="47"/>
      <c r="F406" s="772">
        <f ca="1">+'Phase II Pro Forma'!F403/1000000</f>
        <v>0</v>
      </c>
      <c r="G406" s="772">
        <f ca="1">+'Phase II Pro Forma'!G403/1000000</f>
        <v>0</v>
      </c>
      <c r="H406" s="772">
        <f ca="1">+'Phase II Pro Forma'!H403/1000000</f>
        <v>0</v>
      </c>
      <c r="I406" s="772">
        <f ca="1">+'Phase II Pro Forma'!I403/1000000</f>
        <v>0.65357854896604295</v>
      </c>
      <c r="J406" s="772">
        <f ca="1">+'Phase II Pro Forma'!J403/1000000</f>
        <v>0.40632898644949794</v>
      </c>
      <c r="K406" s="772">
        <f ca="1">+'Phase II Pro Forma'!K403/1000000</f>
        <v>0.29522720956558057</v>
      </c>
      <c r="L406" s="772">
        <f ca="1">+'Phase II Pro Forma'!L403/1000000</f>
        <v>8.3832287645882686E-2</v>
      </c>
      <c r="M406" s="772">
        <f ca="1">+'Phase II Pro Forma'!M403/1000000</f>
        <v>1.085163936958909E-2</v>
      </c>
      <c r="N406" s="772">
        <f ca="1">+'Phase II Pro Forma'!N403/1000000</f>
        <v>-8.037652140024483E-2</v>
      </c>
      <c r="O406" s="772">
        <f>+'Phase II Pro Forma'!O403/1000000</f>
        <v>0</v>
      </c>
      <c r="P406" s="772">
        <f>+'Phase II Pro Forma'!P403/1000000</f>
        <v>0</v>
      </c>
      <c r="Q406" s="772">
        <f>+'Phase II Pro Forma'!Q403/1000000</f>
        <v>0</v>
      </c>
      <c r="R406" s="772">
        <f>+'Phase II Pro Forma'!R403/1000000</f>
        <v>0</v>
      </c>
      <c r="S406" s="772">
        <f>+'Phase II Pro Forma'!S403/1000000</f>
        <v>0</v>
      </c>
      <c r="T406" s="772">
        <f>+'Phase II Pro Forma'!T403/1000000</f>
        <v>0</v>
      </c>
      <c r="U406" s="772">
        <f>+'Phase II Pro Forma'!U403/1000000</f>
        <v>0</v>
      </c>
      <c r="V406" s="772">
        <f>+'Phase II Pro Forma'!V403/1000000</f>
        <v>0</v>
      </c>
      <c r="W406" s="772">
        <f>+'Phase II Pro Forma'!W403/1000000</f>
        <v>0</v>
      </c>
      <c r="X406" s="772">
        <f>+'Phase II Pro Forma'!X403/1000000</f>
        <v>0</v>
      </c>
      <c r="Y406" s="772">
        <f>+'Phase II Pro Forma'!Y403/1000000</f>
        <v>0</v>
      </c>
      <c r="Z406" s="772">
        <f>+'Phase II Pro Forma'!Z403/1000000</f>
        <v>0</v>
      </c>
    </row>
    <row r="407" spans="2:26" x14ac:dyDescent="0.2">
      <c r="B407" s="32" t="s">
        <v>643</v>
      </c>
      <c r="D407" s="47"/>
      <c r="E407" s="47"/>
      <c r="F407" s="772">
        <f ca="1">+'Phase II Pro Forma'!F404/1000000</f>
        <v>0</v>
      </c>
      <c r="G407" s="772">
        <f ca="1">+'Phase II Pro Forma'!G404/1000000</f>
        <v>0</v>
      </c>
      <c r="H407" s="772">
        <f ca="1">+'Phase II Pro Forma'!H404/1000000</f>
        <v>0</v>
      </c>
      <c r="I407" s="772">
        <f ca="1">+'Phase II Pro Forma'!I404/1000000</f>
        <v>-5.7709247064398665</v>
      </c>
      <c r="J407" s="772">
        <f ca="1">+'Phase II Pro Forma'!J404/1000000</f>
        <v>3.0471949531564033</v>
      </c>
      <c r="K407" s="772">
        <f ca="1">+'Phase II Pro Forma'!K404/1000000</f>
        <v>3.4807736680041823</v>
      </c>
      <c r="L407" s="772">
        <f ca="1">+'Phase II Pro Forma'!L404/1000000</f>
        <v>4.3857327590233837</v>
      </c>
      <c r="M407" s="772">
        <f ca="1">+'Phase II Pro Forma'!M404/1000000</f>
        <v>4.6249668406341433</v>
      </c>
      <c r="N407" s="772">
        <f ca="1">+'Phase II Pro Forma'!N404/1000000</f>
        <v>4.9440548059095129</v>
      </c>
      <c r="O407" s="772">
        <f>+'Phase II Pro Forma'!O404/1000000</f>
        <v>0</v>
      </c>
      <c r="P407" s="772">
        <f>+'Phase II Pro Forma'!P404/1000000</f>
        <v>0</v>
      </c>
      <c r="Q407" s="772">
        <f>+'Phase II Pro Forma'!Q404/1000000</f>
        <v>0</v>
      </c>
      <c r="R407" s="772">
        <f>+'Phase II Pro Forma'!R404/1000000</f>
        <v>0</v>
      </c>
      <c r="S407" s="772">
        <f>+'Phase II Pro Forma'!S404/1000000</f>
        <v>0</v>
      </c>
      <c r="T407" s="772">
        <f>+'Phase II Pro Forma'!T404/1000000</f>
        <v>0</v>
      </c>
      <c r="U407" s="772">
        <f>+'Phase II Pro Forma'!U404/1000000</f>
        <v>0</v>
      </c>
      <c r="V407" s="772">
        <f>+'Phase II Pro Forma'!V404/1000000</f>
        <v>0</v>
      </c>
      <c r="W407" s="772">
        <f>+'Phase II Pro Forma'!W404/1000000</f>
        <v>0</v>
      </c>
      <c r="X407" s="772">
        <f>+'Phase II Pro Forma'!X404/1000000</f>
        <v>0</v>
      </c>
      <c r="Y407" s="772">
        <f>+'Phase II Pro Forma'!Y404/1000000</f>
        <v>0</v>
      </c>
      <c r="Z407" s="772">
        <f>+'Phase II Pro Forma'!Z404/1000000</f>
        <v>0</v>
      </c>
    </row>
    <row r="408" spans="2:26" x14ac:dyDescent="0.2">
      <c r="B408" s="32" t="s">
        <v>642</v>
      </c>
      <c r="D408" s="47"/>
      <c r="E408" s="47"/>
      <c r="F408" s="772">
        <f>+'Phase II Pro Forma'!F405/1000000</f>
        <v>0</v>
      </c>
      <c r="G408" s="772">
        <f>+'Phase II Pro Forma'!G405/1000000</f>
        <v>0</v>
      </c>
      <c r="H408" s="772">
        <f>+'Phase II Pro Forma'!H405/1000000</f>
        <v>0</v>
      </c>
      <c r="I408" s="772">
        <f ca="1">+'Phase II Pro Forma'!I405/1000000</f>
        <v>24.672690320007653</v>
      </c>
      <c r="J408" s="772">
        <f>+'Phase II Pro Forma'!J405/1000000</f>
        <v>0</v>
      </c>
      <c r="K408" s="772">
        <f>+'Phase II Pro Forma'!K405/1000000</f>
        <v>0</v>
      </c>
      <c r="L408" s="772">
        <f>+'Phase II Pro Forma'!L405/1000000</f>
        <v>0</v>
      </c>
      <c r="M408" s="772">
        <f>+'Phase II Pro Forma'!M405/1000000</f>
        <v>0</v>
      </c>
      <c r="N408" s="772">
        <f ca="1">+'Phase II Pro Forma'!N405/1000000</f>
        <v>109.56278114451878</v>
      </c>
      <c r="O408" s="772">
        <f>+'Phase II Pro Forma'!O405/1000000</f>
        <v>0</v>
      </c>
      <c r="P408" s="772">
        <f>+'Phase II Pro Forma'!P405/1000000</f>
        <v>0</v>
      </c>
      <c r="Q408" s="772">
        <f>+'Phase II Pro Forma'!Q405/1000000</f>
        <v>0</v>
      </c>
      <c r="R408" s="772">
        <f>+'Phase II Pro Forma'!R405/1000000</f>
        <v>0</v>
      </c>
      <c r="S408" s="772">
        <f>+'Phase II Pro Forma'!S405/1000000</f>
        <v>0</v>
      </c>
      <c r="T408" s="772">
        <f>+'Phase II Pro Forma'!T405/1000000</f>
        <v>0</v>
      </c>
      <c r="U408" s="772">
        <f>+'Phase II Pro Forma'!U405/1000000</f>
        <v>0</v>
      </c>
      <c r="V408" s="772">
        <f>+'Phase II Pro Forma'!V405/1000000</f>
        <v>0</v>
      </c>
      <c r="W408" s="772">
        <f>+'Phase II Pro Forma'!W405/1000000</f>
        <v>0</v>
      </c>
      <c r="X408" s="772">
        <f>+'Phase II Pro Forma'!X405/1000000</f>
        <v>0</v>
      </c>
      <c r="Y408" s="772">
        <f>+'Phase II Pro Forma'!Y405/1000000</f>
        <v>0</v>
      </c>
      <c r="Z408" s="772">
        <f>+'Phase II Pro Forma'!Z405/1000000</f>
        <v>0</v>
      </c>
    </row>
    <row r="409" spans="2:26" x14ac:dyDescent="0.2">
      <c r="B409" s="32" t="s">
        <v>415</v>
      </c>
      <c r="D409" s="47"/>
      <c r="E409" s="47"/>
      <c r="F409" s="772">
        <f>+'Phase II Pro Forma'!F406/1000000</f>
        <v>0</v>
      </c>
      <c r="G409" s="772">
        <f>+'Phase II Pro Forma'!G406/1000000</f>
        <v>0</v>
      </c>
      <c r="H409" s="772">
        <f>+'Phase II Pro Forma'!H406/1000000</f>
        <v>0</v>
      </c>
      <c r="I409" s="772">
        <f>+'Phase II Pro Forma'!I406/1000000</f>
        <v>0</v>
      </c>
      <c r="J409" s="772">
        <f>+'Phase II Pro Forma'!J406/1000000</f>
        <v>0</v>
      </c>
      <c r="K409" s="772">
        <f>+'Phase II Pro Forma'!K406/1000000</f>
        <v>0</v>
      </c>
      <c r="L409" s="772">
        <f>+'Phase II Pro Forma'!L406/1000000</f>
        <v>0</v>
      </c>
      <c r="M409" s="772">
        <f>+'Phase II Pro Forma'!M406/1000000</f>
        <v>0</v>
      </c>
      <c r="N409" s="772">
        <f ca="1">+'Phase II Pro Forma'!N406/1000000</f>
        <v>-25.028794356911792</v>
      </c>
      <c r="O409" s="772">
        <f>+'Phase II Pro Forma'!O406/1000000</f>
        <v>0</v>
      </c>
      <c r="P409" s="772">
        <f>+'Phase II Pro Forma'!P406/1000000</f>
        <v>0</v>
      </c>
      <c r="Q409" s="772">
        <f>+'Phase II Pro Forma'!Q406/1000000</f>
        <v>0</v>
      </c>
      <c r="R409" s="772">
        <f>+'Phase II Pro Forma'!R406/1000000</f>
        <v>0</v>
      </c>
      <c r="S409" s="772">
        <f>+'Phase II Pro Forma'!S406/1000000</f>
        <v>0</v>
      </c>
      <c r="T409" s="772">
        <f>+'Phase II Pro Forma'!T406/1000000</f>
        <v>0</v>
      </c>
      <c r="U409" s="772">
        <f>+'Phase II Pro Forma'!U406/1000000</f>
        <v>0</v>
      </c>
      <c r="V409" s="772">
        <f>+'Phase II Pro Forma'!V406/1000000</f>
        <v>0</v>
      </c>
      <c r="W409" s="772">
        <f>+'Phase II Pro Forma'!W406/1000000</f>
        <v>0</v>
      </c>
      <c r="X409" s="772">
        <f>+'Phase II Pro Forma'!X406/1000000</f>
        <v>0</v>
      </c>
      <c r="Y409" s="772">
        <f>+'Phase II Pro Forma'!Y406/1000000</f>
        <v>0</v>
      </c>
      <c r="Z409" s="772">
        <f>+'Phase II Pro Forma'!Z406/1000000</f>
        <v>0</v>
      </c>
    </row>
    <row r="410" spans="2:26" x14ac:dyDescent="0.2">
      <c r="B410" s="137" t="s">
        <v>407</v>
      </c>
      <c r="C410" s="137"/>
      <c r="D410" s="138">
        <f t="shared" ref="D410" ca="1" si="132">+SUM(F410:Z410)</f>
        <v>89.00422972851996</v>
      </c>
      <c r="E410" s="138"/>
      <c r="F410" s="774">
        <f t="shared" ref="F410:Z410" ca="1" si="133">+SUM(F403:F409)</f>
        <v>-18.873780060831024</v>
      </c>
      <c r="G410" s="774">
        <f t="shared" ca="1" si="133"/>
        <v>-17.40990778914772</v>
      </c>
      <c r="H410" s="774">
        <f t="shared" ca="1" si="133"/>
        <v>0</v>
      </c>
      <c r="I410" s="774">
        <f t="shared" ca="1" si="133"/>
        <v>19.555344162533828</v>
      </c>
      <c r="J410" s="774">
        <f t="shared" ca="1" si="133"/>
        <v>3.4535239396059012</v>
      </c>
      <c r="K410" s="774">
        <f t="shared" ca="1" si="133"/>
        <v>3.7760008775697629</v>
      </c>
      <c r="L410" s="774">
        <f t="shared" ca="1" si="133"/>
        <v>4.469565046669266</v>
      </c>
      <c r="M410" s="774">
        <f t="shared" ca="1" si="133"/>
        <v>4.6358184800037323</v>
      </c>
      <c r="N410" s="774">
        <f t="shared" ca="1" si="133"/>
        <v>89.397665072116254</v>
      </c>
      <c r="O410" s="774">
        <f t="shared" ca="1" si="133"/>
        <v>0</v>
      </c>
      <c r="P410" s="774">
        <f t="shared" ca="1" si="133"/>
        <v>0</v>
      </c>
      <c r="Q410" s="774">
        <f t="shared" ca="1" si="133"/>
        <v>0</v>
      </c>
      <c r="R410" s="774">
        <f t="shared" ca="1" si="133"/>
        <v>0</v>
      </c>
      <c r="S410" s="774">
        <f t="shared" ca="1" si="133"/>
        <v>0</v>
      </c>
      <c r="T410" s="774">
        <f t="shared" ca="1" si="133"/>
        <v>0</v>
      </c>
      <c r="U410" s="774">
        <f t="shared" ca="1" si="133"/>
        <v>0</v>
      </c>
      <c r="V410" s="774">
        <f t="shared" ca="1" si="133"/>
        <v>0</v>
      </c>
      <c r="W410" s="774">
        <f t="shared" ca="1" si="133"/>
        <v>0</v>
      </c>
      <c r="X410" s="774">
        <f t="shared" ca="1" si="133"/>
        <v>0</v>
      </c>
      <c r="Y410" s="774">
        <f t="shared" ca="1" si="133"/>
        <v>0</v>
      </c>
      <c r="Z410" s="774">
        <f t="shared" ca="1" si="133"/>
        <v>0</v>
      </c>
    </row>
    <row r="411" spans="2:26" ht="5" customHeight="1" x14ac:dyDescent="0.2">
      <c r="B411" s="118"/>
    </row>
    <row r="412" spans="2:26" x14ac:dyDescent="0.2">
      <c r="B412" s="223" t="s">
        <v>644</v>
      </c>
      <c r="C412" s="223"/>
      <c r="F412" s="224">
        <f ca="1">+IRR(F410:Z410)</f>
        <v>0.22847994265977212</v>
      </c>
      <c r="G412" s="33"/>
    </row>
    <row r="413" spans="2:26" ht="5" customHeight="1" x14ac:dyDescent="0.2">
      <c r="B413" s="118"/>
      <c r="D413" s="107"/>
    </row>
    <row r="414" spans="2:26" x14ac:dyDescent="0.2">
      <c r="B414" s="147" t="s">
        <v>645</v>
      </c>
      <c r="F414" s="784">
        <f>+F402</f>
        <v>0</v>
      </c>
      <c r="G414" s="784">
        <f t="shared" ref="G414:Z414" si="134">+G402</f>
        <v>1</v>
      </c>
      <c r="H414" s="784">
        <f t="shared" si="134"/>
        <v>2</v>
      </c>
      <c r="I414" s="784">
        <f t="shared" si="134"/>
        <v>3</v>
      </c>
      <c r="J414" s="784">
        <f t="shared" si="134"/>
        <v>4</v>
      </c>
      <c r="K414" s="784">
        <f t="shared" si="134"/>
        <v>5</v>
      </c>
      <c r="L414" s="784">
        <f t="shared" si="134"/>
        <v>6</v>
      </c>
      <c r="M414" s="784">
        <f t="shared" si="134"/>
        <v>7</v>
      </c>
      <c r="N414" s="784">
        <f t="shared" si="134"/>
        <v>8</v>
      </c>
      <c r="O414" s="784">
        <f t="shared" si="134"/>
        <v>9</v>
      </c>
      <c r="P414" s="784">
        <f t="shared" si="134"/>
        <v>10</v>
      </c>
      <c r="Q414" s="784">
        <f t="shared" si="134"/>
        <v>11</v>
      </c>
      <c r="R414" s="784">
        <f t="shared" si="134"/>
        <v>12</v>
      </c>
      <c r="S414" s="784">
        <f t="shared" si="134"/>
        <v>13</v>
      </c>
      <c r="T414" s="784">
        <f t="shared" si="134"/>
        <v>14</v>
      </c>
      <c r="U414" s="784">
        <f t="shared" si="134"/>
        <v>15</v>
      </c>
      <c r="V414" s="784">
        <f t="shared" si="134"/>
        <v>16</v>
      </c>
      <c r="W414" s="784">
        <f t="shared" si="134"/>
        <v>17</v>
      </c>
      <c r="X414" s="784">
        <f t="shared" si="134"/>
        <v>18</v>
      </c>
      <c r="Y414" s="784">
        <f t="shared" si="134"/>
        <v>19</v>
      </c>
      <c r="Z414" s="784">
        <f t="shared" si="134"/>
        <v>20</v>
      </c>
    </row>
    <row r="415" spans="2:26" x14ac:dyDescent="0.2">
      <c r="B415" s="32" t="s">
        <v>398</v>
      </c>
      <c r="D415" s="47"/>
      <c r="E415" s="47"/>
      <c r="F415" s="48">
        <f ca="1">+'Phase II Pro Forma'!F412/1000000</f>
        <v>-18.873780060831024</v>
      </c>
      <c r="G415" s="48">
        <f ca="1">+'Phase II Pro Forma'!G412/1000000</f>
        <v>-17.40990778914772</v>
      </c>
      <c r="H415" s="48">
        <f ca="1">+'Phase II Pro Forma'!H412/1000000</f>
        <v>0</v>
      </c>
      <c r="I415" s="48">
        <f ca="1">+'Phase II Pro Forma'!I412/1000000</f>
        <v>0</v>
      </c>
      <c r="J415" s="48">
        <f ca="1">+'Phase II Pro Forma'!J412/1000000</f>
        <v>0</v>
      </c>
      <c r="K415" s="48">
        <f ca="1">+'Phase II Pro Forma'!K412/1000000</f>
        <v>0</v>
      </c>
      <c r="L415" s="48">
        <f ca="1">+'Phase II Pro Forma'!L412/1000000</f>
        <v>0</v>
      </c>
      <c r="M415" s="48">
        <f ca="1">+'Phase II Pro Forma'!M412/1000000</f>
        <v>0</v>
      </c>
      <c r="N415" s="48">
        <f ca="1">+'Phase II Pro Forma'!N412/1000000</f>
        <v>0</v>
      </c>
      <c r="O415" s="48">
        <f ca="1">+'Phase II Pro Forma'!O412/1000000</f>
        <v>0</v>
      </c>
      <c r="P415" s="48">
        <f ca="1">+'Phase II Pro Forma'!P412/1000000</f>
        <v>0</v>
      </c>
      <c r="Q415" s="48">
        <f ca="1">+'Phase II Pro Forma'!Q412/1000000</f>
        <v>0</v>
      </c>
      <c r="R415" s="48">
        <f ca="1">+'Phase II Pro Forma'!R412/1000000</f>
        <v>0</v>
      </c>
      <c r="S415" s="48">
        <f ca="1">+'Phase II Pro Forma'!S412/1000000</f>
        <v>0</v>
      </c>
      <c r="T415" s="48">
        <f ca="1">+'Phase II Pro Forma'!T412/1000000</f>
        <v>0</v>
      </c>
      <c r="U415" s="48">
        <f ca="1">+'Phase II Pro Forma'!U412/1000000</f>
        <v>0</v>
      </c>
      <c r="V415" s="48">
        <f ca="1">+'Phase II Pro Forma'!V412/1000000</f>
        <v>0</v>
      </c>
      <c r="W415" s="48">
        <f ca="1">+'Phase II Pro Forma'!W412/1000000</f>
        <v>0</v>
      </c>
      <c r="X415" s="48">
        <f ca="1">+'Phase II Pro Forma'!X412/1000000</f>
        <v>0</v>
      </c>
      <c r="Y415" s="48">
        <f ca="1">+'Phase II Pro Forma'!Y412/1000000</f>
        <v>0</v>
      </c>
      <c r="Z415" s="48">
        <f ca="1">+'Phase II Pro Forma'!Z412/1000000</f>
        <v>0</v>
      </c>
    </row>
    <row r="416" spans="2:26" x14ac:dyDescent="0.2">
      <c r="B416" s="32" t="s">
        <v>416</v>
      </c>
      <c r="D416" s="47"/>
      <c r="E416" s="47"/>
      <c r="F416" s="772">
        <f ca="1">+'Phase II Pro Forma'!F413/1000000</f>
        <v>3.9634938127745154</v>
      </c>
      <c r="G416" s="772">
        <f ca="1">+'Phase II Pro Forma'!G413/1000000</f>
        <v>3.6560806357210209</v>
      </c>
      <c r="H416" s="772">
        <f ca="1">+'Phase II Pro Forma'!H413/1000000</f>
        <v>0</v>
      </c>
      <c r="I416" s="772">
        <f ca="1">+'Phase II Pro Forma'!I413/1000000</f>
        <v>0</v>
      </c>
      <c r="J416" s="772">
        <f ca="1">+'Phase II Pro Forma'!J413/1000000</f>
        <v>0</v>
      </c>
      <c r="K416" s="772">
        <f ca="1">+'Phase II Pro Forma'!K413/1000000</f>
        <v>0</v>
      </c>
      <c r="L416" s="772">
        <f ca="1">+'Phase II Pro Forma'!L413/1000000</f>
        <v>0</v>
      </c>
      <c r="M416" s="772">
        <f ca="1">+'Phase II Pro Forma'!M413/1000000</f>
        <v>0</v>
      </c>
      <c r="N416" s="772">
        <f ca="1">+'Phase II Pro Forma'!N413/1000000</f>
        <v>0</v>
      </c>
      <c r="O416" s="772">
        <f ca="1">+'Phase II Pro Forma'!O413/1000000</f>
        <v>0</v>
      </c>
      <c r="P416" s="772">
        <f ca="1">+'Phase II Pro Forma'!P413/1000000</f>
        <v>0</v>
      </c>
      <c r="Q416" s="772">
        <f ca="1">+'Phase II Pro Forma'!Q413/1000000</f>
        <v>0</v>
      </c>
      <c r="R416" s="772">
        <f ca="1">+'Phase II Pro Forma'!R413/1000000</f>
        <v>0</v>
      </c>
      <c r="S416" s="772">
        <f ca="1">+'Phase II Pro Forma'!S413/1000000</f>
        <v>0</v>
      </c>
      <c r="T416" s="772">
        <f ca="1">+'Phase II Pro Forma'!T413/1000000</f>
        <v>0</v>
      </c>
      <c r="U416" s="772">
        <f ca="1">+'Phase II Pro Forma'!U413/1000000</f>
        <v>0</v>
      </c>
      <c r="V416" s="772">
        <f ca="1">+'Phase II Pro Forma'!V413/1000000</f>
        <v>0</v>
      </c>
      <c r="W416" s="772">
        <f ca="1">+'Phase II Pro Forma'!W413/1000000</f>
        <v>0</v>
      </c>
      <c r="X416" s="772">
        <f ca="1">+'Phase II Pro Forma'!X413/1000000</f>
        <v>0</v>
      </c>
      <c r="Y416" s="772">
        <f ca="1">+'Phase II Pro Forma'!Y413/1000000</f>
        <v>0</v>
      </c>
      <c r="Z416" s="772">
        <f ca="1">+'Phase II Pro Forma'!Z413/1000000</f>
        <v>0</v>
      </c>
    </row>
    <row r="417" spans="2:26" x14ac:dyDescent="0.2">
      <c r="B417" s="32" t="s">
        <v>417</v>
      </c>
      <c r="D417" s="47"/>
      <c r="E417" s="47"/>
      <c r="F417" s="772">
        <f ca="1">+'Phase II Pro Forma'!F414/1000000</f>
        <v>0</v>
      </c>
      <c r="G417" s="772">
        <f ca="1">+'Phase II Pro Forma'!G414/1000000</f>
        <v>0</v>
      </c>
      <c r="H417" s="772">
        <f ca="1">+'Phase II Pro Forma'!H414/1000000</f>
        <v>0</v>
      </c>
      <c r="I417" s="772">
        <f ca="1">+'Phase II Pro Forma'!I414/1000000</f>
        <v>0</v>
      </c>
      <c r="J417" s="772">
        <f ca="1">+'Phase II Pro Forma'!J414/1000000</f>
        <v>-7.6195744484955359</v>
      </c>
      <c r="K417" s="772">
        <f ca="1">+'Phase II Pro Forma'!K414/1000000</f>
        <v>0</v>
      </c>
      <c r="L417" s="772">
        <f ca="1">+'Phase II Pro Forma'!L414/1000000</f>
        <v>0</v>
      </c>
      <c r="M417" s="772">
        <f ca="1">+'Phase II Pro Forma'!M414/1000000</f>
        <v>0</v>
      </c>
      <c r="N417" s="772">
        <f ca="1">+'Phase II Pro Forma'!N414/1000000</f>
        <v>0</v>
      </c>
      <c r="O417" s="772">
        <f ca="1">+'Phase II Pro Forma'!O414/1000000</f>
        <v>0</v>
      </c>
      <c r="P417" s="772">
        <f ca="1">+'Phase II Pro Forma'!P414/1000000</f>
        <v>0</v>
      </c>
      <c r="Q417" s="772">
        <f ca="1">+'Phase II Pro Forma'!Q414/1000000</f>
        <v>0</v>
      </c>
      <c r="R417" s="772">
        <f ca="1">+'Phase II Pro Forma'!R414/1000000</f>
        <v>0</v>
      </c>
      <c r="S417" s="772">
        <f ca="1">+'Phase II Pro Forma'!S414/1000000</f>
        <v>0</v>
      </c>
      <c r="T417" s="772">
        <f ca="1">+'Phase II Pro Forma'!T414/1000000</f>
        <v>0</v>
      </c>
      <c r="U417" s="772">
        <f ca="1">+'Phase II Pro Forma'!U414/1000000</f>
        <v>0</v>
      </c>
      <c r="V417" s="772">
        <f ca="1">+'Phase II Pro Forma'!V414/1000000</f>
        <v>0</v>
      </c>
      <c r="W417" s="772">
        <f ca="1">+'Phase II Pro Forma'!W414/1000000</f>
        <v>0</v>
      </c>
      <c r="X417" s="772">
        <f ca="1">+'Phase II Pro Forma'!X414/1000000</f>
        <v>0</v>
      </c>
      <c r="Y417" s="772">
        <f ca="1">+'Phase II Pro Forma'!Y414/1000000</f>
        <v>0</v>
      </c>
      <c r="Z417" s="772">
        <f ca="1">+'Phase II Pro Forma'!Z414/1000000</f>
        <v>0</v>
      </c>
    </row>
    <row r="418" spans="2:26" x14ac:dyDescent="0.2">
      <c r="B418" s="32" t="s">
        <v>418</v>
      </c>
      <c r="D418" s="47"/>
      <c r="E418" s="47"/>
      <c r="F418" s="772">
        <f>+'Phase II Pro Forma'!F415/1000000</f>
        <v>0</v>
      </c>
      <c r="G418" s="772">
        <f>+'Phase II Pro Forma'!G415/1000000</f>
        <v>0</v>
      </c>
      <c r="H418" s="772">
        <f>+'Phase II Pro Forma'!H415/1000000</f>
        <v>0</v>
      </c>
      <c r="I418" s="772">
        <f>+'Phase II Pro Forma'!I415/1000000</f>
        <v>0</v>
      </c>
      <c r="J418" s="772">
        <f ca="1">+'Phase II Pro Forma'!J415/1000000</f>
        <v>1.1429361672743306</v>
      </c>
      <c r="K418" s="772">
        <f>+'Phase II Pro Forma'!K415/1000000</f>
        <v>0</v>
      </c>
      <c r="L418" s="772">
        <f>+'Phase II Pro Forma'!L415/1000000</f>
        <v>0</v>
      </c>
      <c r="M418" s="772">
        <f>+'Phase II Pro Forma'!M415/1000000</f>
        <v>0</v>
      </c>
      <c r="N418" s="772">
        <f>+'Phase II Pro Forma'!N415/1000000</f>
        <v>0</v>
      </c>
      <c r="O418" s="772">
        <f>+'Phase II Pro Forma'!O415/1000000</f>
        <v>0</v>
      </c>
      <c r="P418" s="772">
        <f>+'Phase II Pro Forma'!P415/1000000</f>
        <v>0</v>
      </c>
      <c r="Q418" s="772">
        <f>+'Phase II Pro Forma'!Q415/1000000</f>
        <v>0</v>
      </c>
      <c r="R418" s="772">
        <f>+'Phase II Pro Forma'!R415/1000000</f>
        <v>0</v>
      </c>
      <c r="S418" s="772">
        <f>+'Phase II Pro Forma'!S415/1000000</f>
        <v>0</v>
      </c>
      <c r="T418" s="772">
        <f>+'Phase II Pro Forma'!T415/1000000</f>
        <v>0</v>
      </c>
      <c r="U418" s="772">
        <f>+'Phase II Pro Forma'!U415/1000000</f>
        <v>0</v>
      </c>
      <c r="V418" s="772">
        <f>+'Phase II Pro Forma'!V415/1000000</f>
        <v>0</v>
      </c>
      <c r="W418" s="772">
        <f>+'Phase II Pro Forma'!W415/1000000</f>
        <v>0</v>
      </c>
      <c r="X418" s="772">
        <f>+'Phase II Pro Forma'!X415/1000000</f>
        <v>0</v>
      </c>
      <c r="Y418" s="772">
        <f>+'Phase II Pro Forma'!Y415/1000000</f>
        <v>0</v>
      </c>
      <c r="Z418" s="772">
        <f>+'Phase II Pro Forma'!Z415/1000000</f>
        <v>0</v>
      </c>
    </row>
    <row r="419" spans="2:26" x14ac:dyDescent="0.2">
      <c r="B419" s="32" t="s">
        <v>641</v>
      </c>
      <c r="D419" s="47"/>
      <c r="E419" s="47"/>
      <c r="F419" s="772">
        <f ca="1">+'Phase II Pro Forma'!F416/1000000</f>
        <v>0</v>
      </c>
      <c r="G419" s="772">
        <f ca="1">+'Phase II Pro Forma'!G416/1000000</f>
        <v>0</v>
      </c>
      <c r="H419" s="772">
        <f ca="1">+'Phase II Pro Forma'!H416/1000000</f>
        <v>0</v>
      </c>
      <c r="I419" s="772">
        <f ca="1">+'Phase II Pro Forma'!I416/1000000</f>
        <v>0.65357854896604295</v>
      </c>
      <c r="J419" s="772">
        <f ca="1">+'Phase II Pro Forma'!J416/1000000</f>
        <v>0.40632898644949794</v>
      </c>
      <c r="K419" s="772">
        <f ca="1">+'Phase II Pro Forma'!K416/1000000</f>
        <v>0.29522720956558057</v>
      </c>
      <c r="L419" s="772">
        <f ca="1">+'Phase II Pro Forma'!L416/1000000</f>
        <v>8.3832287645882686E-2</v>
      </c>
      <c r="M419" s="772">
        <f ca="1">+'Phase II Pro Forma'!M416/1000000</f>
        <v>1.085163936958909E-2</v>
      </c>
      <c r="N419" s="772">
        <f ca="1">+'Phase II Pro Forma'!N416/1000000</f>
        <v>-8.037652140024483E-2</v>
      </c>
      <c r="O419" s="772">
        <f>+'Phase II Pro Forma'!O416/1000000</f>
        <v>0</v>
      </c>
      <c r="P419" s="772">
        <f>+'Phase II Pro Forma'!P416/1000000</f>
        <v>0</v>
      </c>
      <c r="Q419" s="772">
        <f>+'Phase II Pro Forma'!Q416/1000000</f>
        <v>0</v>
      </c>
      <c r="R419" s="772">
        <f>+'Phase II Pro Forma'!R416/1000000</f>
        <v>0</v>
      </c>
      <c r="S419" s="772">
        <f>+'Phase II Pro Forma'!S416/1000000</f>
        <v>0</v>
      </c>
      <c r="T419" s="772">
        <f>+'Phase II Pro Forma'!T416/1000000</f>
        <v>0</v>
      </c>
      <c r="U419" s="772">
        <f>+'Phase II Pro Forma'!U416/1000000</f>
        <v>0</v>
      </c>
      <c r="V419" s="772">
        <f>+'Phase II Pro Forma'!V416/1000000</f>
        <v>0</v>
      </c>
      <c r="W419" s="772">
        <f>+'Phase II Pro Forma'!W416/1000000</f>
        <v>0</v>
      </c>
      <c r="X419" s="772">
        <f>+'Phase II Pro Forma'!X416/1000000</f>
        <v>0</v>
      </c>
      <c r="Y419" s="772">
        <f>+'Phase II Pro Forma'!Y416/1000000</f>
        <v>0</v>
      </c>
      <c r="Z419" s="772">
        <f>+'Phase II Pro Forma'!Z416/1000000</f>
        <v>0</v>
      </c>
    </row>
    <row r="420" spans="2:26" x14ac:dyDescent="0.2">
      <c r="B420" s="32" t="s">
        <v>643</v>
      </c>
      <c r="D420" s="47"/>
      <c r="E420" s="47"/>
      <c r="F420" s="772">
        <f ca="1">+'Phase II Pro Forma'!F417/1000000</f>
        <v>0</v>
      </c>
      <c r="G420" s="772">
        <f ca="1">+'Phase II Pro Forma'!G417/1000000</f>
        <v>0</v>
      </c>
      <c r="H420" s="772">
        <f ca="1">+'Phase II Pro Forma'!H417/1000000</f>
        <v>0</v>
      </c>
      <c r="I420" s="772">
        <f ca="1">+'Phase II Pro Forma'!I417/1000000</f>
        <v>-5.7709247064398665</v>
      </c>
      <c r="J420" s="772">
        <f ca="1">+'Phase II Pro Forma'!J417/1000000</f>
        <v>3.0471949531564033</v>
      </c>
      <c r="K420" s="772">
        <f ca="1">+'Phase II Pro Forma'!K417/1000000</f>
        <v>3.4807736680041823</v>
      </c>
      <c r="L420" s="772">
        <f ca="1">+'Phase II Pro Forma'!L417/1000000</f>
        <v>4.3857327590233837</v>
      </c>
      <c r="M420" s="772">
        <f ca="1">+'Phase II Pro Forma'!M417/1000000</f>
        <v>4.6249668406341433</v>
      </c>
      <c r="N420" s="772">
        <f ca="1">+'Phase II Pro Forma'!N417/1000000</f>
        <v>4.9440548059095129</v>
      </c>
      <c r="O420" s="772">
        <f>+'Phase II Pro Forma'!O417/1000000</f>
        <v>0</v>
      </c>
      <c r="P420" s="772">
        <f>+'Phase II Pro Forma'!P417/1000000</f>
        <v>0</v>
      </c>
      <c r="Q420" s="772">
        <f>+'Phase II Pro Forma'!Q417/1000000</f>
        <v>0</v>
      </c>
      <c r="R420" s="772">
        <f>+'Phase II Pro Forma'!R417/1000000</f>
        <v>0</v>
      </c>
      <c r="S420" s="772">
        <f>+'Phase II Pro Forma'!S417/1000000</f>
        <v>0</v>
      </c>
      <c r="T420" s="772">
        <f>+'Phase II Pro Forma'!T417/1000000</f>
        <v>0</v>
      </c>
      <c r="U420" s="772">
        <f>+'Phase II Pro Forma'!U417/1000000</f>
        <v>0</v>
      </c>
      <c r="V420" s="772">
        <f>+'Phase II Pro Forma'!V417/1000000</f>
        <v>0</v>
      </c>
      <c r="W420" s="772">
        <f>+'Phase II Pro Forma'!W417/1000000</f>
        <v>0</v>
      </c>
      <c r="X420" s="772">
        <f>+'Phase II Pro Forma'!X417/1000000</f>
        <v>0</v>
      </c>
      <c r="Y420" s="772">
        <f>+'Phase II Pro Forma'!Y417/1000000</f>
        <v>0</v>
      </c>
      <c r="Z420" s="772">
        <f>+'Phase II Pro Forma'!Z417/1000000</f>
        <v>0</v>
      </c>
    </row>
    <row r="421" spans="2:26" x14ac:dyDescent="0.2">
      <c r="B421" s="32" t="s">
        <v>642</v>
      </c>
      <c r="D421" s="47"/>
      <c r="E421" s="47"/>
      <c r="F421" s="772">
        <f>+'Phase II Pro Forma'!F418/1000000</f>
        <v>0</v>
      </c>
      <c r="G421" s="772">
        <f>+'Phase II Pro Forma'!G418/1000000</f>
        <v>0</v>
      </c>
      <c r="H421" s="772">
        <f>+'Phase II Pro Forma'!H418/1000000</f>
        <v>0</v>
      </c>
      <c r="I421" s="772">
        <f ca="1">+'Phase II Pro Forma'!I418/1000000</f>
        <v>24.672690320007653</v>
      </c>
      <c r="J421" s="772">
        <f>+'Phase II Pro Forma'!J418/1000000</f>
        <v>0</v>
      </c>
      <c r="K421" s="772">
        <f>+'Phase II Pro Forma'!K418/1000000</f>
        <v>0</v>
      </c>
      <c r="L421" s="772">
        <f>+'Phase II Pro Forma'!L418/1000000</f>
        <v>0</v>
      </c>
      <c r="M421" s="772">
        <f>+'Phase II Pro Forma'!M418/1000000</f>
        <v>0</v>
      </c>
      <c r="N421" s="772">
        <f ca="1">+'Phase II Pro Forma'!N418/1000000</f>
        <v>109.56278114451878</v>
      </c>
      <c r="O421" s="772">
        <f>+'Phase II Pro Forma'!O418/1000000</f>
        <v>0</v>
      </c>
      <c r="P421" s="772">
        <f>+'Phase II Pro Forma'!P418/1000000</f>
        <v>0</v>
      </c>
      <c r="Q421" s="772">
        <f>+'Phase II Pro Forma'!Q418/1000000</f>
        <v>0</v>
      </c>
      <c r="R421" s="772">
        <f>+'Phase II Pro Forma'!R418/1000000</f>
        <v>0</v>
      </c>
      <c r="S421" s="772">
        <f>+'Phase II Pro Forma'!S418/1000000</f>
        <v>0</v>
      </c>
      <c r="T421" s="772">
        <f>+'Phase II Pro Forma'!T418/1000000</f>
        <v>0</v>
      </c>
      <c r="U421" s="772">
        <f>+'Phase II Pro Forma'!U418/1000000</f>
        <v>0</v>
      </c>
      <c r="V421" s="772">
        <f>+'Phase II Pro Forma'!V418/1000000</f>
        <v>0</v>
      </c>
      <c r="W421" s="772">
        <f>+'Phase II Pro Forma'!W418/1000000</f>
        <v>0</v>
      </c>
      <c r="X421" s="772">
        <f>+'Phase II Pro Forma'!X418/1000000</f>
        <v>0</v>
      </c>
      <c r="Y421" s="772">
        <f>+'Phase II Pro Forma'!Y418/1000000</f>
        <v>0</v>
      </c>
      <c r="Z421" s="772">
        <f>+'Phase II Pro Forma'!Z418/1000000</f>
        <v>0</v>
      </c>
    </row>
    <row r="422" spans="2:26" x14ac:dyDescent="0.2">
      <c r="B422" s="32" t="s">
        <v>415</v>
      </c>
      <c r="D422" s="47"/>
      <c r="E422" s="47"/>
      <c r="F422" s="772">
        <f>+'Phase II Pro Forma'!F419/1000000</f>
        <v>0</v>
      </c>
      <c r="G422" s="772">
        <f>+'Phase II Pro Forma'!G419/1000000</f>
        <v>0</v>
      </c>
      <c r="H422" s="772">
        <f>+'Phase II Pro Forma'!H419/1000000</f>
        <v>0</v>
      </c>
      <c r="I422" s="772">
        <f>+'Phase II Pro Forma'!I419/1000000</f>
        <v>0</v>
      </c>
      <c r="J422" s="772">
        <f>+'Phase II Pro Forma'!J419/1000000</f>
        <v>0</v>
      </c>
      <c r="K422" s="772">
        <f>+'Phase II Pro Forma'!K419/1000000</f>
        <v>0</v>
      </c>
      <c r="L422" s="772">
        <f>+'Phase II Pro Forma'!L419/1000000</f>
        <v>0</v>
      </c>
      <c r="M422" s="772">
        <f>+'Phase II Pro Forma'!M419/1000000</f>
        <v>0</v>
      </c>
      <c r="N422" s="772">
        <f ca="1">+'Phase II Pro Forma'!N419/1000000</f>
        <v>-25.028794356911792</v>
      </c>
      <c r="O422" s="772">
        <f>+'Phase II Pro Forma'!O419/1000000</f>
        <v>0</v>
      </c>
      <c r="P422" s="772">
        <f>+'Phase II Pro Forma'!P419/1000000</f>
        <v>0</v>
      </c>
      <c r="Q422" s="772">
        <f>+'Phase II Pro Forma'!Q419/1000000</f>
        <v>0</v>
      </c>
      <c r="R422" s="772">
        <f>+'Phase II Pro Forma'!R419/1000000</f>
        <v>0</v>
      </c>
      <c r="S422" s="772">
        <f>+'Phase II Pro Forma'!S419/1000000</f>
        <v>0</v>
      </c>
      <c r="T422" s="772">
        <f>+'Phase II Pro Forma'!T419/1000000</f>
        <v>0</v>
      </c>
      <c r="U422" s="772">
        <f>+'Phase II Pro Forma'!U419/1000000</f>
        <v>0</v>
      </c>
      <c r="V422" s="772">
        <f>+'Phase II Pro Forma'!V419/1000000</f>
        <v>0</v>
      </c>
      <c r="W422" s="772">
        <f>+'Phase II Pro Forma'!W419/1000000</f>
        <v>0</v>
      </c>
      <c r="X422" s="772">
        <f>+'Phase II Pro Forma'!X419/1000000</f>
        <v>0</v>
      </c>
      <c r="Y422" s="772">
        <f>+'Phase II Pro Forma'!Y419/1000000</f>
        <v>0</v>
      </c>
      <c r="Z422" s="772">
        <f>+'Phase II Pro Forma'!Z419/1000000</f>
        <v>0</v>
      </c>
    </row>
    <row r="423" spans="2:26" x14ac:dyDescent="0.2">
      <c r="B423" s="137" t="s">
        <v>406</v>
      </c>
      <c r="C423" s="137"/>
      <c r="D423" s="138">
        <f t="shared" ref="D423" ca="1" si="135">+SUM(F423:Z423)</f>
        <v>90.147165895794288</v>
      </c>
      <c r="E423" s="138"/>
      <c r="F423" s="774">
        <f t="shared" ref="F423:Z423" ca="1" si="136">+SUM(F415:F422)</f>
        <v>-14.910286248056508</v>
      </c>
      <c r="G423" s="774">
        <f t="shared" ca="1" si="136"/>
        <v>-13.753827153426698</v>
      </c>
      <c r="H423" s="774">
        <f t="shared" ca="1" si="136"/>
        <v>0</v>
      </c>
      <c r="I423" s="774">
        <f t="shared" ca="1" si="136"/>
        <v>19.555344162533828</v>
      </c>
      <c r="J423" s="774">
        <f t="shared" ca="1" si="136"/>
        <v>-3.0231143416153041</v>
      </c>
      <c r="K423" s="774">
        <f t="shared" ca="1" si="136"/>
        <v>3.7760008775697629</v>
      </c>
      <c r="L423" s="774">
        <f t="shared" ca="1" si="136"/>
        <v>4.469565046669266</v>
      </c>
      <c r="M423" s="774">
        <f t="shared" ca="1" si="136"/>
        <v>4.6358184800037323</v>
      </c>
      <c r="N423" s="774">
        <f t="shared" ca="1" si="136"/>
        <v>89.397665072116254</v>
      </c>
      <c r="O423" s="774">
        <f t="shared" ca="1" si="136"/>
        <v>0</v>
      </c>
      <c r="P423" s="774">
        <f t="shared" ca="1" si="136"/>
        <v>0</v>
      </c>
      <c r="Q423" s="774">
        <f t="shared" ca="1" si="136"/>
        <v>0</v>
      </c>
      <c r="R423" s="774">
        <f t="shared" ca="1" si="136"/>
        <v>0</v>
      </c>
      <c r="S423" s="774">
        <f t="shared" ca="1" si="136"/>
        <v>0</v>
      </c>
      <c r="T423" s="774">
        <f t="shared" ca="1" si="136"/>
        <v>0</v>
      </c>
      <c r="U423" s="774">
        <f t="shared" ca="1" si="136"/>
        <v>0</v>
      </c>
      <c r="V423" s="774">
        <f t="shared" ca="1" si="136"/>
        <v>0</v>
      </c>
      <c r="W423" s="774">
        <f t="shared" ca="1" si="136"/>
        <v>0</v>
      </c>
      <c r="X423" s="774">
        <f t="shared" ca="1" si="136"/>
        <v>0</v>
      </c>
      <c r="Y423" s="774">
        <f t="shared" ca="1" si="136"/>
        <v>0</v>
      </c>
      <c r="Z423" s="774">
        <f t="shared" ca="1" si="136"/>
        <v>0</v>
      </c>
    </row>
    <row r="424" spans="2:26" ht="5" customHeight="1" x14ac:dyDescent="0.2"/>
    <row r="425" spans="2:26" x14ac:dyDescent="0.2">
      <c r="B425" s="188" t="s">
        <v>638</v>
      </c>
      <c r="C425" s="188"/>
      <c r="F425" s="189">
        <f ca="1">+IRR(F423:Z423)</f>
        <v>0.26041695416206534</v>
      </c>
    </row>
    <row r="426" spans="2:26" x14ac:dyDescent="0.2">
      <c r="B426" s="192" t="s">
        <v>639</v>
      </c>
      <c r="C426" s="191"/>
      <c r="F426" s="225">
        <f ca="1">+'Phase II Pro Forma'!D423</f>
        <v>0.32964171412919885</v>
      </c>
    </row>
    <row r="427" spans="2:26" hidden="1" x14ac:dyDescent="0.2">
      <c r="B427" s="793"/>
      <c r="C427" s="793"/>
      <c r="D427" s="793"/>
      <c r="E427" s="793"/>
      <c r="F427" s="793"/>
      <c r="G427" s="793"/>
      <c r="H427" s="793"/>
      <c r="I427" s="793"/>
      <c r="J427" s="793"/>
      <c r="K427" s="793"/>
      <c r="L427" s="793"/>
      <c r="M427" s="793"/>
      <c r="N427" s="793"/>
      <c r="O427" s="793"/>
      <c r="P427" s="793"/>
      <c r="Q427" s="793"/>
      <c r="R427" s="793"/>
      <c r="S427" s="793"/>
      <c r="T427" s="793"/>
      <c r="U427" s="793"/>
      <c r="V427" s="793"/>
      <c r="W427" s="793"/>
      <c r="X427" s="793"/>
      <c r="Y427" s="793"/>
      <c r="Z427" s="793"/>
    </row>
    <row r="428" spans="2:26" hidden="1" x14ac:dyDescent="0.2">
      <c r="B428" s="793" t="s">
        <v>419</v>
      </c>
      <c r="C428" s="793"/>
      <c r="D428" s="793"/>
      <c r="E428" s="793"/>
      <c r="F428" s="789">
        <f ca="1">+'Phase II Pro Forma'!F425</f>
        <v>0</v>
      </c>
      <c r="G428" s="789">
        <f ca="1">+'Phase II Pro Forma'!G425</f>
        <v>0</v>
      </c>
      <c r="H428" s="789">
        <f ca="1">+'Phase II Pro Forma'!H425</f>
        <v>0</v>
      </c>
      <c r="I428" s="789">
        <f ca="1">+'Phase II Pro Forma'!I425</f>
        <v>0</v>
      </c>
      <c r="J428" s="789">
        <f ca="1">+'Phase II Pro Forma'!J425</f>
        <v>0</v>
      </c>
      <c r="K428" s="789">
        <f ca="1">+'Phase II Pro Forma'!K425</f>
        <v>396349.38127745152</v>
      </c>
      <c r="L428" s="789">
        <f ca="1">+'Phase II Pro Forma'!L425</f>
        <v>365608.06357210211</v>
      </c>
      <c r="M428" s="789">
        <f ca="1">+'Phase II Pro Forma'!M425</f>
        <v>198174.69063872576</v>
      </c>
      <c r="N428" s="789">
        <f ca="1">+'Phase II Pro Forma'!N425</f>
        <v>182804.03178605105</v>
      </c>
      <c r="O428" s="789">
        <f ca="1">+'Phase II Pro Forma'!O425</f>
        <v>0</v>
      </c>
      <c r="P428" s="789">
        <f ca="1">+'Phase II Pro Forma'!P425</f>
        <v>0</v>
      </c>
      <c r="Q428" s="789">
        <f ca="1">+'Phase II Pro Forma'!Q425</f>
        <v>0</v>
      </c>
      <c r="R428" s="789">
        <f ca="1">+'Phase II Pro Forma'!R425</f>
        <v>0</v>
      </c>
      <c r="S428" s="789">
        <f ca="1">+'Phase II Pro Forma'!S425</f>
        <v>0</v>
      </c>
      <c r="T428" s="789">
        <f ca="1">+'Phase II Pro Forma'!T425</f>
        <v>0</v>
      </c>
      <c r="U428" s="789">
        <f ca="1">+'Phase II Pro Forma'!U425</f>
        <v>0</v>
      </c>
      <c r="V428" s="789">
        <f ca="1">+'Phase II Pro Forma'!V425</f>
        <v>0</v>
      </c>
      <c r="W428" s="789">
        <f ca="1">+'Phase II Pro Forma'!W425</f>
        <v>0</v>
      </c>
      <c r="X428" s="789">
        <f ca="1">+'Phase II Pro Forma'!X425</f>
        <v>0</v>
      </c>
      <c r="Y428" s="789">
        <f ca="1">+'Phase II Pro Forma'!Y425</f>
        <v>0</v>
      </c>
      <c r="Z428" s="789">
        <f ca="1">+'Phase II Pro Forma'!Z425</f>
        <v>0</v>
      </c>
    </row>
    <row r="429" spans="2:26" ht="5" customHeight="1" x14ac:dyDescent="0.2"/>
    <row r="430" spans="2:26" x14ac:dyDescent="0.2">
      <c r="B430" s="147" t="s">
        <v>399</v>
      </c>
    </row>
    <row r="431" spans="2:26" x14ac:dyDescent="0.2">
      <c r="B431" s="32" t="s">
        <v>400</v>
      </c>
      <c r="D431" s="47">
        <f ca="1">+SUM(F431:Z431)</f>
        <v>113.95463122473231</v>
      </c>
      <c r="E431" s="47"/>
      <c r="F431" s="48">
        <v>0</v>
      </c>
      <c r="G431" s="48">
        <f ca="1">+F438</f>
        <v>18.873780060831024</v>
      </c>
      <c r="H431" s="48">
        <f t="shared" ref="H431:Z431" ca="1" si="137">+G438</f>
        <v>36.283687849978747</v>
      </c>
      <c r="I431" s="48">
        <f t="shared" ca="1" si="137"/>
        <v>36.283687849978747</v>
      </c>
      <c r="J431" s="48">
        <f t="shared" ca="1" si="137"/>
        <v>14.269643431810749</v>
      </c>
      <c r="K431" s="48">
        <f t="shared" ca="1" si="137"/>
        <v>9.2875485431805487</v>
      </c>
      <c r="L431" s="48">
        <f t="shared" ca="1" si="137"/>
        <v>4.4009310201021705</v>
      </c>
      <c r="M431" s="48">
        <f t="shared" ca="1" si="137"/>
        <v>-0.38400310866351006</v>
      </c>
      <c r="N431" s="48">
        <f t="shared" ca="1" si="137"/>
        <v>-5.0606444224861749</v>
      </c>
      <c r="O431" s="48">
        <f t="shared" ca="1" si="137"/>
        <v>0</v>
      </c>
      <c r="P431" s="48">
        <f t="shared" ca="1" si="137"/>
        <v>0</v>
      </c>
      <c r="Q431" s="48">
        <f t="shared" ca="1" si="137"/>
        <v>0</v>
      </c>
      <c r="R431" s="48">
        <f t="shared" ca="1" si="137"/>
        <v>0</v>
      </c>
      <c r="S431" s="48">
        <f t="shared" ca="1" si="137"/>
        <v>0</v>
      </c>
      <c r="T431" s="48">
        <f t="shared" ca="1" si="137"/>
        <v>0</v>
      </c>
      <c r="U431" s="48">
        <f t="shared" ca="1" si="137"/>
        <v>0</v>
      </c>
      <c r="V431" s="48">
        <f t="shared" ca="1" si="137"/>
        <v>0</v>
      </c>
      <c r="W431" s="48">
        <f t="shared" ca="1" si="137"/>
        <v>0</v>
      </c>
      <c r="X431" s="48">
        <f t="shared" ca="1" si="137"/>
        <v>0</v>
      </c>
      <c r="Y431" s="48">
        <f t="shared" ca="1" si="137"/>
        <v>0</v>
      </c>
      <c r="Z431" s="48">
        <f t="shared" ca="1" si="137"/>
        <v>0</v>
      </c>
    </row>
    <row r="432" spans="2:26" x14ac:dyDescent="0.2">
      <c r="B432" s="32" t="s">
        <v>398</v>
      </c>
      <c r="D432" s="47">
        <f t="shared" ref="D432:D437" ca="1" si="138">+SUM(F432:Z432)</f>
        <v>36.283687849978747</v>
      </c>
      <c r="E432" s="47"/>
      <c r="F432" s="772">
        <f ca="1">+'Phase II Pro Forma'!F429/1000000</f>
        <v>18.873780060831024</v>
      </c>
      <c r="G432" s="772">
        <f ca="1">+'Phase II Pro Forma'!G429/1000000</f>
        <v>17.40990778914772</v>
      </c>
      <c r="H432" s="772">
        <f ca="1">+'Phase II Pro Forma'!H429/1000000</f>
        <v>0</v>
      </c>
      <c r="I432" s="772">
        <f ca="1">+'Phase II Pro Forma'!I429/1000000</f>
        <v>0</v>
      </c>
      <c r="J432" s="772">
        <f ca="1">+'Phase II Pro Forma'!J429/1000000</f>
        <v>0</v>
      </c>
      <c r="K432" s="772">
        <f ca="1">+'Phase II Pro Forma'!K429/1000000</f>
        <v>0</v>
      </c>
      <c r="L432" s="772">
        <f ca="1">+'Phase II Pro Forma'!L429/1000000</f>
        <v>0</v>
      </c>
      <c r="M432" s="772">
        <f ca="1">+'Phase II Pro Forma'!M429/1000000</f>
        <v>0</v>
      </c>
      <c r="N432" s="772">
        <f ca="1">+'Phase II Pro Forma'!N429/1000000</f>
        <v>0</v>
      </c>
      <c r="O432" s="772">
        <f ca="1">+'Phase II Pro Forma'!O429/1000000</f>
        <v>0</v>
      </c>
      <c r="P432" s="772">
        <f ca="1">+'Phase II Pro Forma'!P429/1000000</f>
        <v>0</v>
      </c>
      <c r="Q432" s="772">
        <f ca="1">+'Phase II Pro Forma'!Q429/1000000</f>
        <v>0</v>
      </c>
      <c r="R432" s="772">
        <f ca="1">+'Phase II Pro Forma'!R429/1000000</f>
        <v>0</v>
      </c>
      <c r="S432" s="772">
        <f ca="1">+'Phase II Pro Forma'!S429/1000000</f>
        <v>0</v>
      </c>
      <c r="T432" s="772">
        <f ca="1">+'Phase II Pro Forma'!T429/1000000</f>
        <v>0</v>
      </c>
      <c r="U432" s="772">
        <f ca="1">+'Phase II Pro Forma'!U429/1000000</f>
        <v>0</v>
      </c>
      <c r="V432" s="772">
        <f ca="1">+'Phase II Pro Forma'!V429/1000000</f>
        <v>0</v>
      </c>
      <c r="W432" s="772">
        <f ca="1">+'Phase II Pro Forma'!W429/1000000</f>
        <v>0</v>
      </c>
      <c r="X432" s="772">
        <f ca="1">+'Phase II Pro Forma'!X429/1000000</f>
        <v>0</v>
      </c>
      <c r="Y432" s="772">
        <f ca="1">+'Phase II Pro Forma'!Y429/1000000</f>
        <v>0</v>
      </c>
      <c r="Z432" s="772">
        <f ca="1">+'Phase II Pro Forma'!Z429/1000000</f>
        <v>0</v>
      </c>
    </row>
    <row r="433" spans="2:26" x14ac:dyDescent="0.2">
      <c r="B433" s="32" t="s">
        <v>637</v>
      </c>
      <c r="D433" s="47">
        <f t="shared" ca="1" si="138"/>
        <v>25.733734079828945</v>
      </c>
      <c r="E433" s="47"/>
      <c r="F433" s="772">
        <f ca="1">+'Phase II Pro Forma'!F430/1000000</f>
        <v>0</v>
      </c>
      <c r="G433" s="772">
        <f ca="1">+'Phase II Pro Forma'!G430/1000000</f>
        <v>0</v>
      </c>
      <c r="H433" s="772">
        <f ca="1">+'Phase II Pro Forma'!H430/1000000</f>
        <v>0</v>
      </c>
      <c r="I433" s="772">
        <f ca="1">+'Phase II Pro Forma'!I430/1000000</f>
        <v>-3.1122788046002059</v>
      </c>
      <c r="J433" s="772">
        <f ca="1">+'Phase II Pro Forma'!J430/1000000</f>
        <v>4.5160775001075608</v>
      </c>
      <c r="K433" s="772">
        <f ca="1">+'Phase II Pro Forma'!K430/1000000</f>
        <v>5.0451335805071658</v>
      </c>
      <c r="L433" s="772">
        <f ca="1">+'Phase II Pro Forma'!L430/1000000</f>
        <v>6.0517760658390607</v>
      </c>
      <c r="M433" s="772">
        <f ca="1">+'Phase II Pro Forma'!M430/1000000</f>
        <v>6.3993029623928397</v>
      </c>
      <c r="N433" s="772">
        <f ca="1">+'Phase II Pro Forma'!N430/1000000</f>
        <v>6.8337227755825252</v>
      </c>
      <c r="O433" s="772">
        <f>+'Phase II Pro Forma'!O430/1000000</f>
        <v>0</v>
      </c>
      <c r="P433" s="772">
        <f>+'Phase II Pro Forma'!P430/1000000</f>
        <v>0</v>
      </c>
      <c r="Q433" s="772">
        <f>+'Phase II Pro Forma'!Q430/1000000</f>
        <v>0</v>
      </c>
      <c r="R433" s="772">
        <f>+'Phase II Pro Forma'!R430/1000000</f>
        <v>0</v>
      </c>
      <c r="S433" s="772">
        <f>+'Phase II Pro Forma'!S430/1000000</f>
        <v>0</v>
      </c>
      <c r="T433" s="772">
        <f>+'Phase II Pro Forma'!T430/1000000</f>
        <v>0</v>
      </c>
      <c r="U433" s="772">
        <f>+'Phase II Pro Forma'!U430/1000000</f>
        <v>0</v>
      </c>
      <c r="V433" s="772">
        <f>+'Phase II Pro Forma'!V430/1000000</f>
        <v>0</v>
      </c>
      <c r="W433" s="772">
        <f>+'Phase II Pro Forma'!W430/1000000</f>
        <v>0</v>
      </c>
      <c r="X433" s="772">
        <f>+'Phase II Pro Forma'!X430/1000000</f>
        <v>0</v>
      </c>
      <c r="Y433" s="772">
        <f>+'Phase II Pro Forma'!Y430/1000000</f>
        <v>0</v>
      </c>
      <c r="Z433" s="772">
        <f>+'Phase II Pro Forma'!Z430/1000000</f>
        <v>0</v>
      </c>
    </row>
    <row r="434" spans="2:26" x14ac:dyDescent="0.2">
      <c r="B434" s="32" t="s">
        <v>410</v>
      </c>
      <c r="D434" s="47">
        <f t="shared" ca="1" si="138"/>
        <v>-32.254887177906795</v>
      </c>
      <c r="E434" s="47"/>
      <c r="F434" s="772">
        <f>+'Phase II Pro Forma'!F431/1000000</f>
        <v>0</v>
      </c>
      <c r="G434" s="772">
        <f>+'Phase II Pro Forma'!G431/1000000</f>
        <v>0</v>
      </c>
      <c r="H434" s="772">
        <f>+'Phase II Pro Forma'!H431/1000000</f>
        <v>0</v>
      </c>
      <c r="I434" s="772">
        <f>+'Phase II Pro Forma'!I431/1000000</f>
        <v>0</v>
      </c>
      <c r="J434" s="772">
        <f ca="1">+'Phase II Pro Forma'!J431/1000000</f>
        <v>-6.4509774355813594</v>
      </c>
      <c r="K434" s="772">
        <f ca="1">+'Phase II Pro Forma'!K431/1000000</f>
        <v>-6.4509774355813594</v>
      </c>
      <c r="L434" s="772">
        <f ca="1">+'Phase II Pro Forma'!L431/1000000</f>
        <v>-6.4509774355813594</v>
      </c>
      <c r="M434" s="772">
        <f ca="1">+'Phase II Pro Forma'!M431/1000000</f>
        <v>-6.4509774355813594</v>
      </c>
      <c r="N434" s="772">
        <f ca="1">+'Phase II Pro Forma'!N431/1000000</f>
        <v>-6.4509774355813594</v>
      </c>
      <c r="O434" s="772">
        <f>+'Phase II Pro Forma'!O431/1000000</f>
        <v>0</v>
      </c>
      <c r="P434" s="772">
        <f>+'Phase II Pro Forma'!P431/1000000</f>
        <v>0</v>
      </c>
      <c r="Q434" s="772">
        <f>+'Phase II Pro Forma'!Q431/1000000</f>
        <v>0</v>
      </c>
      <c r="R434" s="772">
        <f>+'Phase II Pro Forma'!R431/1000000</f>
        <v>0</v>
      </c>
      <c r="S434" s="772">
        <f>+'Phase II Pro Forma'!S431/1000000</f>
        <v>0</v>
      </c>
      <c r="T434" s="772">
        <f>+'Phase II Pro Forma'!T431/1000000</f>
        <v>0</v>
      </c>
      <c r="U434" s="772">
        <f>+'Phase II Pro Forma'!U431/1000000</f>
        <v>0</v>
      </c>
      <c r="V434" s="772">
        <f>+'Phase II Pro Forma'!V431/1000000</f>
        <v>0</v>
      </c>
      <c r="W434" s="772">
        <f>+'Phase II Pro Forma'!W431/1000000</f>
        <v>0</v>
      </c>
      <c r="X434" s="772">
        <f>+'Phase II Pro Forma'!X431/1000000</f>
        <v>0</v>
      </c>
      <c r="Y434" s="772">
        <f>+'Phase II Pro Forma'!Y431/1000000</f>
        <v>0</v>
      </c>
      <c r="Z434" s="772">
        <f>+'Phase II Pro Forma'!Z431/1000000</f>
        <v>0</v>
      </c>
    </row>
    <row r="435" spans="2:26" x14ac:dyDescent="0.2">
      <c r="B435" s="32" t="s">
        <v>643</v>
      </c>
      <c r="D435" s="47">
        <f t="shared" ca="1" si="138"/>
        <v>-14.711798320287759</v>
      </c>
      <c r="E435" s="47"/>
      <c r="F435" s="772">
        <f ca="1">+'Phase II Pro Forma'!F432/1000000</f>
        <v>0</v>
      </c>
      <c r="G435" s="772">
        <f ca="1">+'Phase II Pro Forma'!G432/1000000</f>
        <v>0</v>
      </c>
      <c r="H435" s="772">
        <f ca="1">+'Phase II Pro Forma'!H432/1000000</f>
        <v>0</v>
      </c>
      <c r="I435" s="772">
        <f ca="1">+'Phase II Pro Forma'!I432/1000000</f>
        <v>5.7709247064398665</v>
      </c>
      <c r="J435" s="772">
        <f ca="1">+'Phase II Pro Forma'!J432/1000000</f>
        <v>-3.0471949531564033</v>
      </c>
      <c r="K435" s="772">
        <f ca="1">+'Phase II Pro Forma'!K432/1000000</f>
        <v>-3.4807736680041823</v>
      </c>
      <c r="L435" s="772">
        <f ca="1">+'Phase II Pro Forma'!L432/1000000</f>
        <v>-4.3857327590233837</v>
      </c>
      <c r="M435" s="772">
        <f ca="1">+'Phase II Pro Forma'!M432/1000000</f>
        <v>-4.6249668406341433</v>
      </c>
      <c r="N435" s="772">
        <f ca="1">+'Phase II Pro Forma'!N432/1000000</f>
        <v>-4.9440548059095129</v>
      </c>
      <c r="O435" s="772">
        <f>+'Phase II Pro Forma'!O432/1000000</f>
        <v>0</v>
      </c>
      <c r="P435" s="772">
        <f>+'Phase II Pro Forma'!P432/1000000</f>
        <v>0</v>
      </c>
      <c r="Q435" s="772">
        <f>+'Phase II Pro Forma'!Q432/1000000</f>
        <v>0</v>
      </c>
      <c r="R435" s="772">
        <f>+'Phase II Pro Forma'!R432/1000000</f>
        <v>0</v>
      </c>
      <c r="S435" s="772">
        <f>+'Phase II Pro Forma'!S432/1000000</f>
        <v>0</v>
      </c>
      <c r="T435" s="772">
        <f>+'Phase II Pro Forma'!T432/1000000</f>
        <v>0</v>
      </c>
      <c r="U435" s="772">
        <f>+'Phase II Pro Forma'!U432/1000000</f>
        <v>0</v>
      </c>
      <c r="V435" s="772">
        <f>+'Phase II Pro Forma'!V432/1000000</f>
        <v>0</v>
      </c>
      <c r="W435" s="772">
        <f>+'Phase II Pro Forma'!W432/1000000</f>
        <v>0</v>
      </c>
      <c r="X435" s="772">
        <f>+'Phase II Pro Forma'!X432/1000000</f>
        <v>0</v>
      </c>
      <c r="Y435" s="772">
        <f>+'Phase II Pro Forma'!Y432/1000000</f>
        <v>0</v>
      </c>
      <c r="Z435" s="772">
        <f>+'Phase II Pro Forma'!Z432/1000000</f>
        <v>0</v>
      </c>
    </row>
    <row r="436" spans="2:26" x14ac:dyDescent="0.2">
      <c r="B436" s="32" t="s">
        <v>640</v>
      </c>
      <c r="D436" s="47">
        <f t="shared" ca="1" si="138"/>
        <v>-134.23547146452643</v>
      </c>
      <c r="E436" s="47"/>
      <c r="F436" s="772">
        <f>+'Phase II Pro Forma'!F433/1000000</f>
        <v>0</v>
      </c>
      <c r="G436" s="772">
        <f>+'Phase II Pro Forma'!G433/1000000</f>
        <v>0</v>
      </c>
      <c r="H436" s="772">
        <f>+'Phase II Pro Forma'!H433/1000000</f>
        <v>0</v>
      </c>
      <c r="I436" s="772">
        <f ca="1">+'Phase II Pro Forma'!I433/1000000</f>
        <v>-24.672690320007653</v>
      </c>
      <c r="J436" s="772">
        <f>+'Phase II Pro Forma'!J433/1000000</f>
        <v>0</v>
      </c>
      <c r="K436" s="772">
        <f>+'Phase II Pro Forma'!K433/1000000</f>
        <v>0</v>
      </c>
      <c r="L436" s="772">
        <f>+'Phase II Pro Forma'!L433/1000000</f>
        <v>0</v>
      </c>
      <c r="M436" s="772">
        <f>+'Phase II Pro Forma'!M433/1000000</f>
        <v>0</v>
      </c>
      <c r="N436" s="772">
        <f ca="1">+'Phase II Pro Forma'!N433/1000000</f>
        <v>-109.56278114451872</v>
      </c>
      <c r="O436" s="772">
        <f>+'Phase II Pro Forma'!O433/1000000</f>
        <v>0</v>
      </c>
      <c r="P436" s="772">
        <f>+'Phase II Pro Forma'!P433/1000000</f>
        <v>0</v>
      </c>
      <c r="Q436" s="772">
        <f>+'Phase II Pro Forma'!Q433/1000000</f>
        <v>0</v>
      </c>
      <c r="R436" s="772">
        <f>+'Phase II Pro Forma'!R433/1000000</f>
        <v>0</v>
      </c>
      <c r="S436" s="772">
        <f>+'Phase II Pro Forma'!S433/1000000</f>
        <v>0</v>
      </c>
      <c r="T436" s="772">
        <f>+'Phase II Pro Forma'!T433/1000000</f>
        <v>0</v>
      </c>
      <c r="U436" s="772">
        <f>+'Phase II Pro Forma'!U433/1000000</f>
        <v>0</v>
      </c>
      <c r="V436" s="772">
        <f>+'Phase II Pro Forma'!V433/1000000</f>
        <v>0</v>
      </c>
      <c r="W436" s="772">
        <f>+'Phase II Pro Forma'!W433/1000000</f>
        <v>0</v>
      </c>
      <c r="X436" s="772">
        <f>+'Phase II Pro Forma'!X433/1000000</f>
        <v>0</v>
      </c>
      <c r="Y436" s="772">
        <f>+'Phase II Pro Forma'!Y433/1000000</f>
        <v>0</v>
      </c>
      <c r="Z436" s="772">
        <f>+'Phase II Pro Forma'!Z433/1000000</f>
        <v>0</v>
      </c>
    </row>
    <row r="437" spans="2:26" x14ac:dyDescent="0.2">
      <c r="B437" s="32" t="s">
        <v>414</v>
      </c>
      <c r="D437" s="47">
        <f t="shared" ca="1" si="138"/>
        <v>119.1847350329133</v>
      </c>
      <c r="E437" s="47"/>
      <c r="F437" s="772">
        <f>+'Phase II Pro Forma'!F434/1000000</f>
        <v>0</v>
      </c>
      <c r="G437" s="772">
        <f>+'Phase II Pro Forma'!G434/1000000</f>
        <v>0</v>
      </c>
      <c r="H437" s="772">
        <f>+'Phase II Pro Forma'!H434/1000000</f>
        <v>0</v>
      </c>
      <c r="I437" s="772">
        <f>+'Phase II Pro Forma'!I434/1000000</f>
        <v>0</v>
      </c>
      <c r="J437" s="772">
        <f>+'Phase II Pro Forma'!J434/1000000</f>
        <v>0</v>
      </c>
      <c r="K437" s="772">
        <f>+'Phase II Pro Forma'!K434/1000000</f>
        <v>0</v>
      </c>
      <c r="L437" s="772">
        <f>+'Phase II Pro Forma'!L434/1000000</f>
        <v>0</v>
      </c>
      <c r="M437" s="772">
        <f>+'Phase II Pro Forma'!M434/1000000</f>
        <v>0</v>
      </c>
      <c r="N437" s="772">
        <f ca="1">+'Phase II Pro Forma'!N434/1000000</f>
        <v>119.18473503291324</v>
      </c>
      <c r="O437" s="772">
        <f>+'Phase II Pro Forma'!O434/1000000</f>
        <v>0</v>
      </c>
      <c r="P437" s="772">
        <f>+'Phase II Pro Forma'!P434/1000000</f>
        <v>0</v>
      </c>
      <c r="Q437" s="772">
        <f>+'Phase II Pro Forma'!Q434/1000000</f>
        <v>0</v>
      </c>
      <c r="R437" s="772">
        <f>+'Phase II Pro Forma'!R434/1000000</f>
        <v>0</v>
      </c>
      <c r="S437" s="772">
        <f>+'Phase II Pro Forma'!S434/1000000</f>
        <v>0</v>
      </c>
      <c r="T437" s="772">
        <f>+'Phase II Pro Forma'!T434/1000000</f>
        <v>0</v>
      </c>
      <c r="U437" s="772">
        <f>+'Phase II Pro Forma'!U434/1000000</f>
        <v>0</v>
      </c>
      <c r="V437" s="772">
        <f>+'Phase II Pro Forma'!V434/1000000</f>
        <v>0</v>
      </c>
      <c r="W437" s="772">
        <f>+'Phase II Pro Forma'!W434/1000000</f>
        <v>0</v>
      </c>
      <c r="X437" s="772">
        <f>+'Phase II Pro Forma'!X434/1000000</f>
        <v>0</v>
      </c>
      <c r="Y437" s="772">
        <f>+'Phase II Pro Forma'!Y434/1000000</f>
        <v>0</v>
      </c>
      <c r="Z437" s="772">
        <f>+'Phase II Pro Forma'!Z434/1000000</f>
        <v>0</v>
      </c>
    </row>
    <row r="438" spans="2:26" x14ac:dyDescent="0.2">
      <c r="B438" s="136" t="s">
        <v>402</v>
      </c>
      <c r="C438" s="136"/>
      <c r="D438" s="35">
        <f t="shared" ref="D438" ca="1" si="139">+SUM(F438:Z438)</f>
        <v>113.95463122473231</v>
      </c>
      <c r="E438" s="128"/>
      <c r="F438" s="773">
        <f ca="1">+SUM(F431:F437)</f>
        <v>18.873780060831024</v>
      </c>
      <c r="G438" s="773">
        <f t="shared" ref="G438:Z438" ca="1" si="140">+SUM(G431:G437)</f>
        <v>36.283687849978747</v>
      </c>
      <c r="H438" s="773">
        <f t="shared" ca="1" si="140"/>
        <v>36.283687849978747</v>
      </c>
      <c r="I438" s="773">
        <f t="shared" ca="1" si="140"/>
        <v>14.269643431810749</v>
      </c>
      <c r="J438" s="773">
        <f t="shared" ca="1" si="140"/>
        <v>9.2875485431805469</v>
      </c>
      <c r="K438" s="773">
        <f t="shared" ca="1" si="140"/>
        <v>4.4009310201021723</v>
      </c>
      <c r="L438" s="773">
        <f t="shared" ca="1" si="140"/>
        <v>-0.38400310866351184</v>
      </c>
      <c r="M438" s="773">
        <f t="shared" ca="1" si="140"/>
        <v>-5.0606444224861731</v>
      </c>
      <c r="N438" s="773">
        <f t="shared" ca="1" si="140"/>
        <v>0</v>
      </c>
      <c r="O438" s="773">
        <f t="shared" ca="1" si="140"/>
        <v>0</v>
      </c>
      <c r="P438" s="773">
        <f t="shared" ca="1" si="140"/>
        <v>0</v>
      </c>
      <c r="Q438" s="773">
        <f t="shared" ca="1" si="140"/>
        <v>0</v>
      </c>
      <c r="R438" s="773">
        <f t="shared" ca="1" si="140"/>
        <v>0</v>
      </c>
      <c r="S438" s="773">
        <f t="shared" ca="1" si="140"/>
        <v>0</v>
      </c>
      <c r="T438" s="773">
        <f t="shared" ca="1" si="140"/>
        <v>0</v>
      </c>
      <c r="U438" s="773">
        <f t="shared" ca="1" si="140"/>
        <v>0</v>
      </c>
      <c r="V438" s="773">
        <f t="shared" ca="1" si="140"/>
        <v>0</v>
      </c>
      <c r="W438" s="773">
        <f t="shared" ca="1" si="140"/>
        <v>0</v>
      </c>
      <c r="X438" s="773">
        <f t="shared" ca="1" si="140"/>
        <v>0</v>
      </c>
      <c r="Y438" s="773">
        <f t="shared" ca="1" si="140"/>
        <v>0</v>
      </c>
      <c r="Z438" s="773">
        <f t="shared" ca="1" si="140"/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2:Z435"/>
  <sheetViews>
    <sheetView showGridLines="0" topLeftCell="A182" zoomScale="70" zoomScaleNormal="70" workbookViewId="0">
      <selection activeCell="B191" sqref="B191"/>
    </sheetView>
  </sheetViews>
  <sheetFormatPr baseColWidth="10" defaultColWidth="14.5" defaultRowHeight="16" x14ac:dyDescent="0.2"/>
  <cols>
    <col min="1" max="1" width="8.5" style="40" customWidth="1"/>
    <col min="2" max="3" width="14.5" style="40"/>
    <col min="4" max="4" width="16.5" style="40" bestFit="1" customWidth="1"/>
    <col min="5" max="5" width="14.83203125" style="40" customWidth="1"/>
    <col min="6" max="6" width="14.5" style="40"/>
    <col min="7" max="7" width="16.5" style="40" customWidth="1"/>
    <col min="8" max="8" width="15.5" style="40" customWidth="1"/>
    <col min="9" max="16384" width="14.5" style="40"/>
  </cols>
  <sheetData>
    <row r="2" spans="1:26" x14ac:dyDescent="0.2">
      <c r="B2" s="145" t="s">
        <v>258</v>
      </c>
      <c r="E2" s="145">
        <v>0</v>
      </c>
      <c r="F2" s="146">
        <f>+IF(F7&gt;='Assumptions and Sensis'!$H$47,'Phase III Pro Forma'!E2+1,'Phase III Pro Forma'!E2)</f>
        <v>0</v>
      </c>
      <c r="G2" s="146">
        <f>+IF(G7&gt;='Assumptions and Sensis'!$H$47,'Phase III Pro Forma'!F2+1,'Phase III Pro Forma'!F2)</f>
        <v>0</v>
      </c>
      <c r="H2" s="146">
        <f>+IF(H7&gt;='Assumptions and Sensis'!$H$47,'Phase III Pro Forma'!G2+1,'Phase III Pro Forma'!G2)</f>
        <v>0</v>
      </c>
      <c r="I2" s="146">
        <f>+IF(I7&gt;='Assumptions and Sensis'!$H$47,'Phase III Pro Forma'!H2+1,'Phase III Pro Forma'!H2)</f>
        <v>1</v>
      </c>
      <c r="J2" s="146">
        <f>+IF(J7&gt;='Assumptions and Sensis'!$H$47,'Phase III Pro Forma'!I2+1,'Phase III Pro Forma'!I2)</f>
        <v>2</v>
      </c>
      <c r="K2" s="146">
        <f>+IF(K7&gt;='Assumptions and Sensis'!$H$47,'Phase III Pro Forma'!J2+1,'Phase III Pro Forma'!J2)</f>
        <v>3</v>
      </c>
      <c r="L2" s="146">
        <f>+IF(L7&gt;='Assumptions and Sensis'!$H$47,'Phase III Pro Forma'!K2+1,'Phase III Pro Forma'!K2)</f>
        <v>4</v>
      </c>
      <c r="M2" s="146">
        <f>+IF(M7&gt;='Assumptions and Sensis'!$H$47,'Phase III Pro Forma'!L2+1,'Phase III Pro Forma'!L2)</f>
        <v>5</v>
      </c>
      <c r="N2" s="146">
        <f>+IF(N7&gt;='Assumptions and Sensis'!$H$47,'Phase III Pro Forma'!M2+1,'Phase III Pro Forma'!M2)</f>
        <v>6</v>
      </c>
      <c r="O2" s="146">
        <f>+IF(O7&gt;='Assumptions and Sensis'!$H$47,'Phase III Pro Forma'!N2+1,'Phase III Pro Forma'!N2)</f>
        <v>7</v>
      </c>
      <c r="P2" s="146">
        <f>+IF(P7&gt;='Assumptions and Sensis'!$H$47,'Phase III Pro Forma'!O2+1,'Phase III Pro Forma'!O2)</f>
        <v>8</v>
      </c>
      <c r="Q2" s="146">
        <f>+IF(Q7&gt;='Assumptions and Sensis'!$H$47,'Phase III Pro Forma'!P2+1,'Phase III Pro Forma'!P2)</f>
        <v>9</v>
      </c>
      <c r="R2" s="146">
        <f>+IF(R7&gt;='Assumptions and Sensis'!$H$47,'Phase III Pro Forma'!Q2+1,'Phase III Pro Forma'!Q2)</f>
        <v>10</v>
      </c>
      <c r="S2" s="146">
        <f>+IF(S7&gt;='Assumptions and Sensis'!$H$47,'Phase III Pro Forma'!R2+1,'Phase III Pro Forma'!R2)</f>
        <v>11</v>
      </c>
      <c r="T2" s="146">
        <f>+IF(T7&gt;='Assumptions and Sensis'!$H$47,'Phase III Pro Forma'!S2+1,'Phase III Pro Forma'!S2)</f>
        <v>12</v>
      </c>
      <c r="U2" s="146">
        <f>+IF(U7&gt;='Assumptions and Sensis'!$H$47,'Phase III Pro Forma'!T2+1,'Phase III Pro Forma'!T2)</f>
        <v>13</v>
      </c>
      <c r="V2" s="146">
        <f>+IF(V7&gt;='Assumptions and Sensis'!$H$47,'Phase III Pro Forma'!U2+1,'Phase III Pro Forma'!U2)</f>
        <v>14</v>
      </c>
      <c r="W2" s="146">
        <f>+IF(W7&gt;='Assumptions and Sensis'!$H$47,'Phase III Pro Forma'!V2+1,'Phase III Pro Forma'!V2)</f>
        <v>15</v>
      </c>
      <c r="X2" s="146">
        <f>+IF(X7&gt;='Assumptions and Sensis'!$H$47,'Phase III Pro Forma'!W2+1,'Phase III Pro Forma'!W2)</f>
        <v>16</v>
      </c>
      <c r="Y2" s="146">
        <f>+IF(Y7&gt;='Assumptions and Sensis'!$H$47,'Phase III Pro Forma'!X2+1,'Phase III Pro Forma'!X2)</f>
        <v>17</v>
      </c>
      <c r="Z2" s="146">
        <f>+IF(Z7&gt;='Assumptions and Sensis'!$H$47,'Phase III Pro Forma'!Y2+1,'Phase III Pro Forma'!Y2)</f>
        <v>18</v>
      </c>
    </row>
    <row r="3" spans="1:26" x14ac:dyDescent="0.2">
      <c r="B3" s="145" t="s">
        <v>278</v>
      </c>
      <c r="F3" s="146">
        <f>+IF(F7&gt;='Assumptions and Sensis'!$H$49,'Phase III Pro Forma'!E3+1,'Phase III Pro Forma'!E3)</f>
        <v>0</v>
      </c>
      <c r="G3" s="146">
        <f>+IF(G7&gt;='Assumptions and Sensis'!$H$49,'Phase III Pro Forma'!F3+1,'Phase III Pro Forma'!F3)</f>
        <v>0</v>
      </c>
      <c r="H3" s="146">
        <f>+IF(H7&gt;='Assumptions and Sensis'!$H$49,'Phase III Pro Forma'!G3+1,'Phase III Pro Forma'!G3)</f>
        <v>0</v>
      </c>
      <c r="I3" s="146">
        <f>+IF(I7&gt;='Assumptions and Sensis'!$H$49,'Phase III Pro Forma'!H3+1,'Phase III Pro Forma'!H3)</f>
        <v>0</v>
      </c>
      <c r="J3" s="146">
        <f>+IF(J7&gt;='Assumptions and Sensis'!$H$49,'Phase III Pro Forma'!I3+1,'Phase III Pro Forma'!I3)</f>
        <v>0</v>
      </c>
      <c r="K3" s="146">
        <f>+IF(K7&gt;='Assumptions and Sensis'!$H$49,'Phase III Pro Forma'!J3+1,'Phase III Pro Forma'!J3)</f>
        <v>1</v>
      </c>
      <c r="L3" s="146">
        <f>+IF(L7&gt;='Assumptions and Sensis'!$H$49,'Phase III Pro Forma'!K3+1,'Phase III Pro Forma'!K3)</f>
        <v>2</v>
      </c>
      <c r="M3" s="146">
        <f>+IF(M7&gt;='Assumptions and Sensis'!$H$49,'Phase III Pro Forma'!L3+1,'Phase III Pro Forma'!L3)</f>
        <v>3</v>
      </c>
      <c r="N3" s="146">
        <f>+IF(N7&gt;='Assumptions and Sensis'!$H$49,'Phase III Pro Forma'!M3+1,'Phase III Pro Forma'!M3)</f>
        <v>4</v>
      </c>
      <c r="O3" s="146">
        <f>+IF(O7&gt;='Assumptions and Sensis'!$H$49,'Phase III Pro Forma'!N3+1,'Phase III Pro Forma'!N3)</f>
        <v>5</v>
      </c>
      <c r="P3" s="146">
        <f>+IF(P7&gt;='Assumptions and Sensis'!$H$49,'Phase III Pro Forma'!O3+1,'Phase III Pro Forma'!O3)</f>
        <v>6</v>
      </c>
      <c r="Q3" s="146">
        <f>+IF(Q7&gt;='Assumptions and Sensis'!$H$49,'Phase III Pro Forma'!P3+1,'Phase III Pro Forma'!P3)</f>
        <v>7</v>
      </c>
      <c r="R3" s="146">
        <f>+IF(R7&gt;='Assumptions and Sensis'!$H$49,'Phase III Pro Forma'!Q3+1,'Phase III Pro Forma'!Q3)</f>
        <v>8</v>
      </c>
      <c r="S3" s="146">
        <f>+IF(S7&gt;='Assumptions and Sensis'!$H$49,'Phase III Pro Forma'!R3+1,'Phase III Pro Forma'!R3)</f>
        <v>9</v>
      </c>
      <c r="T3" s="146">
        <f>+IF(T7&gt;='Assumptions and Sensis'!$H$49,'Phase III Pro Forma'!S3+1,'Phase III Pro Forma'!S3)</f>
        <v>10</v>
      </c>
      <c r="U3" s="146">
        <f>+IF(U7&gt;='Assumptions and Sensis'!$H$49,'Phase III Pro Forma'!T3+1,'Phase III Pro Forma'!T3)</f>
        <v>11</v>
      </c>
      <c r="V3" s="146">
        <f>+IF(V7&gt;='Assumptions and Sensis'!$H$49,'Phase III Pro Forma'!U3+1,'Phase III Pro Forma'!U3)</f>
        <v>12</v>
      </c>
      <c r="W3" s="146">
        <f>+IF(W7&gt;='Assumptions and Sensis'!$H$49,'Phase III Pro Forma'!V3+1,'Phase III Pro Forma'!V3)</f>
        <v>13</v>
      </c>
      <c r="X3" s="146">
        <f>+IF(X7&gt;='Assumptions and Sensis'!$H$49,'Phase III Pro Forma'!W3+1,'Phase III Pro Forma'!W3)</f>
        <v>14</v>
      </c>
      <c r="Y3" s="146">
        <f>+IF(Y7&gt;='Assumptions and Sensis'!$H$49,'Phase III Pro Forma'!X3+1,'Phase III Pro Forma'!X3)</f>
        <v>15</v>
      </c>
      <c r="Z3" s="146">
        <f>+IF(Z7&gt;='Assumptions and Sensis'!$H$49,'Phase III Pro Forma'!Y3+1,'Phase III Pro Forma'!Y3)</f>
        <v>16</v>
      </c>
    </row>
    <row r="4" spans="1:26" x14ac:dyDescent="0.2"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">
      <c r="B5" s="36" t="s">
        <v>767</v>
      </c>
      <c r="C5" s="37"/>
      <c r="D5" s="37"/>
      <c r="E5" s="37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</row>
    <row r="6" spans="1:26" x14ac:dyDescent="0.2">
      <c r="B6" s="118"/>
      <c r="F6" s="226">
        <f>+YEAR(F7)</f>
        <v>2024</v>
      </c>
      <c r="G6" s="226">
        <f t="shared" ref="G6:Z6" si="0">+YEAR(G7)</f>
        <v>2025</v>
      </c>
      <c r="H6" s="226">
        <f t="shared" si="0"/>
        <v>2026</v>
      </c>
      <c r="I6" s="226">
        <f t="shared" si="0"/>
        <v>2027</v>
      </c>
      <c r="J6" s="226">
        <f t="shared" si="0"/>
        <v>2028</v>
      </c>
      <c r="K6" s="226">
        <f t="shared" si="0"/>
        <v>2029</v>
      </c>
      <c r="L6" s="226">
        <f t="shared" si="0"/>
        <v>2030</v>
      </c>
      <c r="M6" s="226">
        <f t="shared" si="0"/>
        <v>2031</v>
      </c>
      <c r="N6" s="226">
        <f t="shared" si="0"/>
        <v>2032</v>
      </c>
      <c r="O6" s="226">
        <f t="shared" si="0"/>
        <v>2033</v>
      </c>
      <c r="P6" s="226">
        <f t="shared" si="0"/>
        <v>2034</v>
      </c>
      <c r="Q6" s="226">
        <f t="shared" si="0"/>
        <v>2035</v>
      </c>
      <c r="R6" s="226">
        <f t="shared" si="0"/>
        <v>2036</v>
      </c>
      <c r="S6" s="226">
        <f t="shared" si="0"/>
        <v>2037</v>
      </c>
      <c r="T6" s="226">
        <f t="shared" si="0"/>
        <v>2038</v>
      </c>
      <c r="U6" s="226">
        <f t="shared" si="0"/>
        <v>2039</v>
      </c>
      <c r="V6" s="226">
        <f t="shared" si="0"/>
        <v>2040</v>
      </c>
      <c r="W6" s="226">
        <f t="shared" si="0"/>
        <v>2041</v>
      </c>
      <c r="X6" s="226">
        <f t="shared" si="0"/>
        <v>2042</v>
      </c>
      <c r="Y6" s="226">
        <f t="shared" si="0"/>
        <v>2043</v>
      </c>
      <c r="Z6" s="226">
        <f t="shared" si="0"/>
        <v>2044</v>
      </c>
    </row>
    <row r="7" spans="1:26" x14ac:dyDescent="0.2">
      <c r="B7" s="147" t="s">
        <v>141</v>
      </c>
      <c r="C7" s="148"/>
      <c r="D7" s="148"/>
      <c r="E7" s="148"/>
      <c r="F7" s="149">
        <f>+'Assumptions and Sensis'!$H$43</f>
        <v>45657</v>
      </c>
      <c r="G7" s="149">
        <f>+EOMONTH(F7,12)</f>
        <v>46022</v>
      </c>
      <c r="H7" s="149">
        <f t="shared" ref="H7:Z7" si="1">+EOMONTH(G7,12)</f>
        <v>46387</v>
      </c>
      <c r="I7" s="149">
        <f t="shared" si="1"/>
        <v>46752</v>
      </c>
      <c r="J7" s="149">
        <f t="shared" si="1"/>
        <v>47118</v>
      </c>
      <c r="K7" s="149">
        <f t="shared" si="1"/>
        <v>47483</v>
      </c>
      <c r="L7" s="149">
        <f t="shared" si="1"/>
        <v>47848</v>
      </c>
      <c r="M7" s="149">
        <f t="shared" si="1"/>
        <v>48213</v>
      </c>
      <c r="N7" s="149">
        <f t="shared" si="1"/>
        <v>48579</v>
      </c>
      <c r="O7" s="149">
        <f t="shared" si="1"/>
        <v>48944</v>
      </c>
      <c r="P7" s="149">
        <f t="shared" si="1"/>
        <v>49309</v>
      </c>
      <c r="Q7" s="149">
        <f t="shared" si="1"/>
        <v>49674</v>
      </c>
      <c r="R7" s="149">
        <f t="shared" si="1"/>
        <v>50040</v>
      </c>
      <c r="S7" s="149">
        <f t="shared" si="1"/>
        <v>50405</v>
      </c>
      <c r="T7" s="149">
        <f t="shared" si="1"/>
        <v>50770</v>
      </c>
      <c r="U7" s="149">
        <f t="shared" si="1"/>
        <v>51135</v>
      </c>
      <c r="V7" s="149">
        <f t="shared" si="1"/>
        <v>51501</v>
      </c>
      <c r="W7" s="149">
        <f t="shared" si="1"/>
        <v>51866</v>
      </c>
      <c r="X7" s="149">
        <f t="shared" si="1"/>
        <v>52231</v>
      </c>
      <c r="Y7" s="149">
        <f t="shared" si="1"/>
        <v>52596</v>
      </c>
      <c r="Z7" s="149">
        <f t="shared" si="1"/>
        <v>52962</v>
      </c>
    </row>
    <row r="8" spans="1:26" x14ac:dyDescent="0.2">
      <c r="A8" s="139" t="b">
        <f>+SUM(F8:Z8)='Assumptions and Sensis'!$F$76</f>
        <v>0</v>
      </c>
      <c r="B8" s="32" t="s">
        <v>756</v>
      </c>
      <c r="C8" s="32"/>
      <c r="D8" s="39"/>
      <c r="E8" s="39"/>
      <c r="F8" s="41">
        <f>+IF(AND(F7&gt;='Assumptions and Sensis'!$H$47,F7&lt;'Assumptions and Sensis'!$H$49),'Assumptions and Sensis'!$H$76/ROUNDUP(('Assumptions and Sensis'!$H$48/12),0),0)</f>
        <v>0</v>
      </c>
      <c r="G8" s="41">
        <f>+IF(AND(G7&gt;='Assumptions and Sensis'!$H$47,G7&lt;'Assumptions and Sensis'!$H$49),'Assumptions and Sensis'!$H$76/ROUNDUP(('Assumptions and Sensis'!$H$48/12),0),0)</f>
        <v>0</v>
      </c>
      <c r="H8" s="41">
        <f>+IF(AND(H7&gt;='Assumptions and Sensis'!$H$47,H7&lt;'Assumptions and Sensis'!$H$49),'Assumptions and Sensis'!$H$76/ROUNDUP(('Assumptions and Sensis'!$H$48/12),0),0)</f>
        <v>0</v>
      </c>
      <c r="I8" s="41">
        <f>+IF(AND(I7&gt;='Assumptions and Sensis'!$H$47,I7&lt;'Assumptions and Sensis'!$H$49),'Assumptions and Sensis'!$H$76/ROUNDUP(('Assumptions and Sensis'!$H$48/12),0),0)</f>
        <v>45681.178363205021</v>
      </c>
      <c r="J8" s="41">
        <f>+IF(AND(J7&gt;='Assumptions and Sensis'!$H$47,J7&lt;'Assumptions and Sensis'!$H$49),'Assumptions and Sensis'!$H$76/ROUNDUP(('Assumptions and Sensis'!$H$48/12),0),0)</f>
        <v>45681.178363205021</v>
      </c>
      <c r="K8" s="41">
        <f>+IF(AND(K7&gt;='Assumptions and Sensis'!$H$47,K7&lt;'Assumptions and Sensis'!$H$49),'Assumptions and Sensis'!$H$76/ROUNDUP(('Assumptions and Sensis'!$H$48/12),0),0)</f>
        <v>0</v>
      </c>
      <c r="L8" s="41">
        <f>+IF(AND(L7&gt;='Assumptions and Sensis'!$H$47,L7&lt;'Assumptions and Sensis'!$H$49),'Assumptions and Sensis'!$H$76/ROUNDUP(('Assumptions and Sensis'!$H$48/12),0),0)</f>
        <v>0</v>
      </c>
      <c r="M8" s="41">
        <f>+IF(AND(M7&gt;='Assumptions and Sensis'!$H$47,M7&lt;'Assumptions and Sensis'!$H$49),'Assumptions and Sensis'!$H$76/ROUNDUP(('Assumptions and Sensis'!$H$48/12),0),0)</f>
        <v>0</v>
      </c>
      <c r="N8" s="41">
        <f>+IF(AND(N7&gt;='Assumptions and Sensis'!$H$47,N7&lt;'Assumptions and Sensis'!$H$49),'Assumptions and Sensis'!$H$76/ROUNDUP(('Assumptions and Sensis'!$H$48/12),0),0)</f>
        <v>0</v>
      </c>
      <c r="O8" s="41">
        <f>+IF(AND(O7&gt;='Assumptions and Sensis'!$H$47,O7&lt;'Assumptions and Sensis'!$H$49),'Assumptions and Sensis'!$H$76/ROUNDUP(('Assumptions and Sensis'!$H$48/12),0),0)</f>
        <v>0</v>
      </c>
      <c r="P8" s="41">
        <f>+IF(AND(P7&gt;='Assumptions and Sensis'!$H$47,P7&lt;'Assumptions and Sensis'!$H$49),'Assumptions and Sensis'!$H$76/ROUNDUP(('Assumptions and Sensis'!$H$48/12),0),0)</f>
        <v>0</v>
      </c>
      <c r="Q8" s="41">
        <f>+IF(AND(Q7&gt;='Assumptions and Sensis'!$H$47,Q7&lt;'Assumptions and Sensis'!$H$49),'Assumptions and Sensis'!$H$76/ROUNDUP(('Assumptions and Sensis'!$H$48/12),0),0)</f>
        <v>0</v>
      </c>
      <c r="R8" s="41">
        <f>+IF(AND(R7&gt;='Assumptions and Sensis'!$H$47,R7&lt;'Assumptions and Sensis'!$H$49),'Assumptions and Sensis'!$H$76/ROUNDUP(('Assumptions and Sensis'!$H$48/12),0),0)</f>
        <v>0</v>
      </c>
      <c r="S8" s="41">
        <f>+IF(AND(S7&gt;='Assumptions and Sensis'!$H$47,S7&lt;'Assumptions and Sensis'!$H$49),'Assumptions and Sensis'!$H$76/ROUNDUP(('Assumptions and Sensis'!$H$48/12),0),0)</f>
        <v>0</v>
      </c>
      <c r="T8" s="41">
        <f>+IF(AND(T7&gt;='Assumptions and Sensis'!$H$47,T7&lt;'Assumptions and Sensis'!$H$49),'Assumptions and Sensis'!$H$76/ROUNDUP(('Assumptions and Sensis'!$H$48/12),0),0)</f>
        <v>0</v>
      </c>
      <c r="U8" s="41">
        <f>+IF(AND(U7&gt;='Assumptions and Sensis'!$H$47,U7&lt;'Assumptions and Sensis'!$H$49),'Assumptions and Sensis'!$H$76/ROUNDUP(('Assumptions and Sensis'!$H$48/12),0),0)</f>
        <v>0</v>
      </c>
      <c r="V8" s="41">
        <f>+IF(AND(V7&gt;='Assumptions and Sensis'!$H$47,V7&lt;'Assumptions and Sensis'!$H$49),'Assumptions and Sensis'!$H$76/ROUNDUP(('Assumptions and Sensis'!$H$48/12),0),0)</f>
        <v>0</v>
      </c>
      <c r="W8" s="41">
        <f>+IF(AND(W7&gt;='Assumptions and Sensis'!$H$47,W7&lt;'Assumptions and Sensis'!$H$49),'Assumptions and Sensis'!$H$76/ROUNDUP(('Assumptions and Sensis'!$H$48/12),0),0)</f>
        <v>0</v>
      </c>
      <c r="X8" s="41">
        <f>+IF(AND(X7&gt;='Assumptions and Sensis'!$H$47,X7&lt;'Assumptions and Sensis'!$H$49),'Assumptions and Sensis'!$H$76/ROUNDUP(('Assumptions and Sensis'!$H$48/12),0),0)</f>
        <v>0</v>
      </c>
      <c r="Y8" s="41">
        <f>+IF(AND(Y7&gt;='Assumptions and Sensis'!$H$47,Y7&lt;'Assumptions and Sensis'!$H$49),'Assumptions and Sensis'!$H$76/ROUNDUP(('Assumptions and Sensis'!$H$48/12),0),0)</f>
        <v>0</v>
      </c>
      <c r="Z8" s="41">
        <f>+IF(AND(Z7&gt;='Assumptions and Sensis'!$H$47,Z7&lt;'Assumptions and Sensis'!$H$49),'Assumptions and Sensis'!$H$76/ROUNDUP(('Assumptions and Sensis'!$H$48/12),0),0)</f>
        <v>0</v>
      </c>
    </row>
    <row r="9" spans="1:26" x14ac:dyDescent="0.2">
      <c r="B9" s="32" t="s">
        <v>246</v>
      </c>
      <c r="C9" s="32"/>
      <c r="D9" s="41">
        <v>0</v>
      </c>
      <c r="E9" s="41"/>
      <c r="F9" s="41">
        <f>+D9+F8</f>
        <v>0</v>
      </c>
      <c r="G9" s="41">
        <f t="shared" ref="G9:Z9" si="2">+F9+G8</f>
        <v>0</v>
      </c>
      <c r="H9" s="41">
        <f t="shared" si="2"/>
        <v>0</v>
      </c>
      <c r="I9" s="41">
        <f t="shared" si="2"/>
        <v>45681.178363205021</v>
      </c>
      <c r="J9" s="41">
        <f t="shared" si="2"/>
        <v>91362.356726410042</v>
      </c>
      <c r="K9" s="41">
        <f t="shared" si="2"/>
        <v>91362.356726410042</v>
      </c>
      <c r="L9" s="41">
        <f t="shared" si="2"/>
        <v>91362.356726410042</v>
      </c>
      <c r="M9" s="41">
        <f t="shared" si="2"/>
        <v>91362.356726410042</v>
      </c>
      <c r="N9" s="41">
        <f t="shared" si="2"/>
        <v>91362.356726410042</v>
      </c>
      <c r="O9" s="41">
        <f t="shared" si="2"/>
        <v>91362.356726410042</v>
      </c>
      <c r="P9" s="41">
        <f t="shared" si="2"/>
        <v>91362.356726410042</v>
      </c>
      <c r="Q9" s="41">
        <f t="shared" si="2"/>
        <v>91362.356726410042</v>
      </c>
      <c r="R9" s="41">
        <f t="shared" si="2"/>
        <v>91362.356726410042</v>
      </c>
      <c r="S9" s="41">
        <f t="shared" si="2"/>
        <v>91362.356726410042</v>
      </c>
      <c r="T9" s="41">
        <f t="shared" si="2"/>
        <v>91362.356726410042</v>
      </c>
      <c r="U9" s="41">
        <f t="shared" si="2"/>
        <v>91362.356726410042</v>
      </c>
      <c r="V9" s="41">
        <f t="shared" si="2"/>
        <v>91362.356726410042</v>
      </c>
      <c r="W9" s="41">
        <f t="shared" si="2"/>
        <v>91362.356726410042</v>
      </c>
      <c r="X9" s="41">
        <f t="shared" si="2"/>
        <v>91362.356726410042</v>
      </c>
      <c r="Y9" s="41">
        <f t="shared" si="2"/>
        <v>91362.356726410042</v>
      </c>
      <c r="Z9" s="41">
        <f t="shared" si="2"/>
        <v>91362.356726410042</v>
      </c>
    </row>
    <row r="10" spans="1:26" x14ac:dyDescent="0.2">
      <c r="B10" s="32" t="s">
        <v>490</v>
      </c>
      <c r="C10" s="32"/>
      <c r="D10" s="41"/>
      <c r="E10" s="41"/>
      <c r="F10" s="41">
        <f>+F11-E11</f>
        <v>0</v>
      </c>
      <c r="G10" s="41">
        <f t="shared" ref="G10:Z10" si="3">+G11-F11</f>
        <v>0</v>
      </c>
      <c r="H10" s="41">
        <f t="shared" si="3"/>
        <v>0</v>
      </c>
      <c r="I10" s="41">
        <f t="shared" si="3"/>
        <v>62.500157669657781</v>
      </c>
      <c r="J10" s="41">
        <f t="shared" si="3"/>
        <v>62.500157669657781</v>
      </c>
      <c r="K10" s="41">
        <f t="shared" si="3"/>
        <v>0</v>
      </c>
      <c r="L10" s="41">
        <f t="shared" si="3"/>
        <v>0</v>
      </c>
      <c r="M10" s="41">
        <f t="shared" si="3"/>
        <v>0</v>
      </c>
      <c r="N10" s="41">
        <f t="shared" si="3"/>
        <v>0</v>
      </c>
      <c r="O10" s="41">
        <f t="shared" si="3"/>
        <v>0</v>
      </c>
      <c r="P10" s="41">
        <f t="shared" si="3"/>
        <v>0</v>
      </c>
      <c r="Q10" s="41">
        <f t="shared" si="3"/>
        <v>0</v>
      </c>
      <c r="R10" s="41">
        <f t="shared" si="3"/>
        <v>0</v>
      </c>
      <c r="S10" s="41">
        <f t="shared" si="3"/>
        <v>0</v>
      </c>
      <c r="T10" s="41">
        <f t="shared" si="3"/>
        <v>0</v>
      </c>
      <c r="U10" s="41">
        <f t="shared" si="3"/>
        <v>0</v>
      </c>
      <c r="V10" s="41">
        <f t="shared" si="3"/>
        <v>0</v>
      </c>
      <c r="W10" s="41">
        <f t="shared" si="3"/>
        <v>0</v>
      </c>
      <c r="X10" s="41">
        <f t="shared" si="3"/>
        <v>0</v>
      </c>
      <c r="Y10" s="41">
        <f t="shared" si="3"/>
        <v>0</v>
      </c>
      <c r="Z10" s="41">
        <f t="shared" si="3"/>
        <v>0</v>
      </c>
    </row>
    <row r="11" spans="1:26" x14ac:dyDescent="0.2">
      <c r="B11" s="32" t="s">
        <v>247</v>
      </c>
      <c r="C11" s="32"/>
      <c r="D11" s="41"/>
      <c r="E11" s="41"/>
      <c r="F11" s="41">
        <f>+F12*'Assumptions and Sensis'!$H$77</f>
        <v>0</v>
      </c>
      <c r="G11" s="41">
        <f>+G12*'Assumptions and Sensis'!$H$77</f>
        <v>0</v>
      </c>
      <c r="H11" s="41">
        <f>+H12*'Assumptions and Sensis'!$H$77</f>
        <v>0</v>
      </c>
      <c r="I11" s="41">
        <f>+I12*'Assumptions and Sensis'!$H$77</f>
        <v>62.500157669657781</v>
      </c>
      <c r="J11" s="41">
        <f>+J12*'Assumptions and Sensis'!$H$77</f>
        <v>125.00031533931556</v>
      </c>
      <c r="K11" s="41">
        <f>+K12*'Assumptions and Sensis'!$H$77</f>
        <v>125.00031533931556</v>
      </c>
      <c r="L11" s="41">
        <f>+L12*'Assumptions and Sensis'!$H$77</f>
        <v>125.00031533931556</v>
      </c>
      <c r="M11" s="41">
        <f>+M12*'Assumptions and Sensis'!$H$77</f>
        <v>125.00031533931556</v>
      </c>
      <c r="N11" s="41">
        <f>+N12*'Assumptions and Sensis'!$H$77</f>
        <v>125.00031533931556</v>
      </c>
      <c r="O11" s="41">
        <f>+O12*'Assumptions and Sensis'!$H$77</f>
        <v>125.00031533931556</v>
      </c>
      <c r="P11" s="41">
        <f>+P12*'Assumptions and Sensis'!$H$77</f>
        <v>125.00031533931556</v>
      </c>
      <c r="Q11" s="41">
        <f>+Q12*'Assumptions and Sensis'!$H$77</f>
        <v>125.00031533931556</v>
      </c>
      <c r="R11" s="41">
        <f>+R12*'Assumptions and Sensis'!$H$77</f>
        <v>125.00031533931556</v>
      </c>
      <c r="S11" s="41">
        <f>+S12*'Assumptions and Sensis'!$H$77</f>
        <v>125.00031533931556</v>
      </c>
      <c r="T11" s="41">
        <f>+T12*'Assumptions and Sensis'!$H$77</f>
        <v>125.00031533931556</v>
      </c>
      <c r="U11" s="41">
        <f>+U12*'Assumptions and Sensis'!$H$77</f>
        <v>125.00031533931556</v>
      </c>
      <c r="V11" s="41">
        <f>+V12*'Assumptions and Sensis'!$H$77</f>
        <v>125.00031533931556</v>
      </c>
      <c r="W11" s="41">
        <f>+W12*'Assumptions and Sensis'!$H$77</f>
        <v>125.00031533931556</v>
      </c>
      <c r="X11" s="41">
        <f>+X12*'Assumptions and Sensis'!$H$77</f>
        <v>125.00031533931556</v>
      </c>
      <c r="Y11" s="41">
        <f>+Y12*'Assumptions and Sensis'!$H$77</f>
        <v>125.00031533931556</v>
      </c>
      <c r="Z11" s="41">
        <f>+Z12*'Assumptions and Sensis'!$H$77</f>
        <v>125.00031533931556</v>
      </c>
    </row>
    <row r="12" spans="1:26" x14ac:dyDescent="0.2">
      <c r="B12" s="32" t="s">
        <v>301</v>
      </c>
      <c r="C12" s="32"/>
      <c r="D12" s="41"/>
      <c r="E12" s="41"/>
      <c r="F12" s="107">
        <f>+F9/SUM($F$8:$Z$8)</f>
        <v>0</v>
      </c>
      <c r="G12" s="107">
        <f t="shared" ref="G12:Z12" si="4">+G9/SUM($F$8:$Z$8)</f>
        <v>0</v>
      </c>
      <c r="H12" s="107">
        <f t="shared" si="4"/>
        <v>0</v>
      </c>
      <c r="I12" s="107">
        <f t="shared" si="4"/>
        <v>0.5</v>
      </c>
      <c r="J12" s="107">
        <f t="shared" si="4"/>
        <v>1</v>
      </c>
      <c r="K12" s="107">
        <f t="shared" si="4"/>
        <v>1</v>
      </c>
      <c r="L12" s="107">
        <f t="shared" si="4"/>
        <v>1</v>
      </c>
      <c r="M12" s="107">
        <f t="shared" si="4"/>
        <v>1</v>
      </c>
      <c r="N12" s="107">
        <f t="shared" si="4"/>
        <v>1</v>
      </c>
      <c r="O12" s="107">
        <f t="shared" si="4"/>
        <v>1</v>
      </c>
      <c r="P12" s="107">
        <f t="shared" si="4"/>
        <v>1</v>
      </c>
      <c r="Q12" s="107">
        <f t="shared" si="4"/>
        <v>1</v>
      </c>
      <c r="R12" s="107">
        <f t="shared" si="4"/>
        <v>1</v>
      </c>
      <c r="S12" s="107">
        <f t="shared" si="4"/>
        <v>1</v>
      </c>
      <c r="T12" s="107">
        <f t="shared" si="4"/>
        <v>1</v>
      </c>
      <c r="U12" s="107">
        <f t="shared" si="4"/>
        <v>1</v>
      </c>
      <c r="V12" s="107">
        <f t="shared" si="4"/>
        <v>1</v>
      </c>
      <c r="W12" s="107">
        <f t="shared" si="4"/>
        <v>1</v>
      </c>
      <c r="X12" s="107">
        <f t="shared" si="4"/>
        <v>1</v>
      </c>
      <c r="Y12" s="107">
        <f t="shared" si="4"/>
        <v>1</v>
      </c>
      <c r="Z12" s="107">
        <f t="shared" si="4"/>
        <v>1</v>
      </c>
    </row>
    <row r="13" spans="1:26" x14ac:dyDescent="0.2">
      <c r="B13" s="32"/>
      <c r="C13" s="32"/>
      <c r="D13" s="41"/>
      <c r="E13" s="41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</row>
    <row r="14" spans="1:26" x14ac:dyDescent="0.2">
      <c r="B14" s="32" t="s">
        <v>251</v>
      </c>
      <c r="C14" s="32"/>
      <c r="D14" s="41"/>
      <c r="E14" s="41"/>
      <c r="F14" s="107">
        <v>1</v>
      </c>
      <c r="G14" s="107">
        <f>+F14*(1+'Assumptions and Sensis'!$P$85)</f>
        <v>1.02</v>
      </c>
      <c r="H14" s="107">
        <f>+G14*(1+'Assumptions and Sensis'!$P$85)</f>
        <v>1.0404</v>
      </c>
      <c r="I14" s="107">
        <f>+H14*(1+'Assumptions and Sensis'!$P$85)</f>
        <v>1.0612079999999999</v>
      </c>
      <c r="J14" s="107">
        <f>+I14*(1+'Assumptions and Sensis'!$P$85)</f>
        <v>1.08243216</v>
      </c>
      <c r="K14" s="107">
        <f>+J14*(1+'Assumptions and Sensis'!$P$85)</f>
        <v>1.1040808032</v>
      </c>
      <c r="L14" s="107">
        <f>+K14*(1+'Assumptions and Sensis'!$P$85)</f>
        <v>1.1261624192640001</v>
      </c>
      <c r="M14" s="107">
        <f>+L14*(1+'Assumptions and Sensis'!$P$85)</f>
        <v>1.14868566764928</v>
      </c>
      <c r="N14" s="107">
        <f>+M14*(1+'Assumptions and Sensis'!$P$85)</f>
        <v>1.1716593810022657</v>
      </c>
      <c r="O14" s="107">
        <f>+N14*(1+'Assumptions and Sensis'!$P$85)</f>
        <v>1.1950925686223111</v>
      </c>
      <c r="P14" s="107">
        <f>+O14*(1+'Assumptions and Sensis'!$P$85)</f>
        <v>1.2189944199947573</v>
      </c>
      <c r="Q14" s="107">
        <f>+P14*(1+'Assumptions and Sensis'!$P$85)</f>
        <v>1.2433743083946525</v>
      </c>
      <c r="R14" s="107">
        <f>+Q14*(1+'Assumptions and Sensis'!$P$85)</f>
        <v>1.2682417945625455</v>
      </c>
      <c r="S14" s="107">
        <f>+R14*(1+'Assumptions and Sensis'!$P$85)</f>
        <v>1.2936066304537963</v>
      </c>
      <c r="T14" s="107">
        <f>+S14*(1+'Assumptions and Sensis'!$P$85)</f>
        <v>1.3194787630628724</v>
      </c>
      <c r="U14" s="107">
        <f>+T14*(1+'Assumptions and Sensis'!$P$85)</f>
        <v>1.3458683383241299</v>
      </c>
      <c r="V14" s="107">
        <f>+U14*(1+'Assumptions and Sensis'!$P$85)</f>
        <v>1.3727857050906125</v>
      </c>
      <c r="W14" s="107">
        <f>+V14*(1+'Assumptions and Sensis'!$P$85)</f>
        <v>1.4002414191924248</v>
      </c>
      <c r="X14" s="107">
        <f>+W14*(1+'Assumptions and Sensis'!$P$85)</f>
        <v>1.4282462475762734</v>
      </c>
      <c r="Y14" s="107">
        <f>+X14*(1+'Assumptions and Sensis'!$P$85)</f>
        <v>1.4568111725277988</v>
      </c>
      <c r="Z14" s="107">
        <f>+Y14*(1+'Assumptions and Sensis'!$P$85)</f>
        <v>1.4859473959783549</v>
      </c>
    </row>
    <row r="15" spans="1:26" x14ac:dyDescent="0.2">
      <c r="B15" s="32" t="s">
        <v>252</v>
      </c>
      <c r="C15" s="32"/>
      <c r="D15" s="41"/>
      <c r="E15" s="41"/>
      <c r="F15" s="107">
        <v>1</v>
      </c>
      <c r="G15" s="107">
        <f>+F15*(1+'Assumptions and Sensis'!$P$98)</f>
        <v>1.03</v>
      </c>
      <c r="H15" s="107">
        <f>+G15*(1+'Assumptions and Sensis'!$P$98)</f>
        <v>1.0609</v>
      </c>
      <c r="I15" s="107">
        <f>+H15*(1+'Assumptions and Sensis'!$P$98)</f>
        <v>1.092727</v>
      </c>
      <c r="J15" s="107">
        <f>+I15*(1+'Assumptions and Sensis'!$P$98)</f>
        <v>1.1255088100000001</v>
      </c>
      <c r="K15" s="107">
        <f>+J15*(1+'Assumptions and Sensis'!$P$98)</f>
        <v>1.1592740743000001</v>
      </c>
      <c r="L15" s="107">
        <f>+K15*(1+'Assumptions and Sensis'!$P$98)</f>
        <v>1.1940522965290001</v>
      </c>
      <c r="M15" s="107">
        <f>+L15*(1+'Assumptions and Sensis'!$P$98)</f>
        <v>1.2298738654248702</v>
      </c>
      <c r="N15" s="107">
        <f>+M15*(1+'Assumptions and Sensis'!$P$98)</f>
        <v>1.2667700813876164</v>
      </c>
      <c r="O15" s="107">
        <f>+N15*(1+'Assumptions and Sensis'!$P$98)</f>
        <v>1.3047731838292449</v>
      </c>
      <c r="P15" s="107">
        <f>+O15*(1+'Assumptions and Sensis'!$P$98)</f>
        <v>1.3439163793441222</v>
      </c>
      <c r="Q15" s="107">
        <f>+P15*(1+'Assumptions and Sensis'!$P$98)</f>
        <v>1.3842338707244459</v>
      </c>
      <c r="R15" s="107">
        <f>+Q15*(1+'Assumptions and Sensis'!$P$98)</f>
        <v>1.4257608868461793</v>
      </c>
      <c r="S15" s="107">
        <f>+R15*(1+'Assumptions and Sensis'!$P$98)</f>
        <v>1.4685337134515648</v>
      </c>
      <c r="T15" s="107">
        <f>+S15*(1+'Assumptions and Sensis'!$P$98)</f>
        <v>1.5125897248551119</v>
      </c>
      <c r="U15" s="107">
        <f>+T15*(1+'Assumptions and Sensis'!$P$98)</f>
        <v>1.5579674166007653</v>
      </c>
      <c r="V15" s="107">
        <f>+U15*(1+'Assumptions and Sensis'!$P$98)</f>
        <v>1.6047064390987884</v>
      </c>
      <c r="W15" s="107">
        <f>+V15*(1+'Assumptions and Sensis'!$P$98)</f>
        <v>1.652847632271752</v>
      </c>
      <c r="X15" s="107">
        <f>+W15*(1+'Assumptions and Sensis'!$P$98)</f>
        <v>1.7024330612399046</v>
      </c>
      <c r="Y15" s="107">
        <f>+X15*(1+'Assumptions and Sensis'!$P$98)</f>
        <v>1.7535060530771018</v>
      </c>
      <c r="Z15" s="107">
        <f>+Y15*(1+'Assumptions and Sensis'!$P$98)</f>
        <v>1.806111234669415</v>
      </c>
    </row>
    <row r="16" spans="1:26" x14ac:dyDescent="0.2">
      <c r="B16" s="32"/>
      <c r="C16" s="32"/>
      <c r="D16" s="39"/>
      <c r="E16" s="39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 spans="2:26" x14ac:dyDescent="0.2">
      <c r="B17" s="32" t="s">
        <v>243</v>
      </c>
      <c r="C17" s="32"/>
      <c r="D17" s="39"/>
      <c r="E17" s="39"/>
      <c r="F17" s="33">
        <f>+F12*'Assumptions and Sensis'!$H$75*F14</f>
        <v>0</v>
      </c>
      <c r="G17" s="33">
        <f>+G12*'Assumptions and Sensis'!$H$75*G14</f>
        <v>0</v>
      </c>
      <c r="H17" s="33">
        <f>+H12*'Assumptions and Sensis'!$H$75*H14</f>
        <v>0</v>
      </c>
      <c r="I17" s="33">
        <f>+I12*'Assumptions and Sensis'!$H$75*I14</f>
        <v>636678.76454873465</v>
      </c>
      <c r="J17" s="33">
        <f>+J12*'Assumptions and Sensis'!$H$75*J14</f>
        <v>1298824.6796794187</v>
      </c>
      <c r="K17" s="33">
        <f>+K12*'Assumptions and Sensis'!$H$75*K14</f>
        <v>1324801.1732730072</v>
      </c>
      <c r="L17" s="33">
        <f>+L12*'Assumptions and Sensis'!$H$75*L14</f>
        <v>1351297.1967384673</v>
      </c>
      <c r="M17" s="33">
        <f>+M12*'Assumptions and Sensis'!$H$75*M14</f>
        <v>1378323.1406732365</v>
      </c>
      <c r="N17" s="33">
        <f>+N12*'Assumptions and Sensis'!$H$75*N14</f>
        <v>1405889.6034867014</v>
      </c>
      <c r="O17" s="33">
        <f>+O12*'Assumptions and Sensis'!$H$75*O14</f>
        <v>1434007.3955564355</v>
      </c>
      <c r="P17" s="33">
        <f>+P12*'Assumptions and Sensis'!$H$75*P14</f>
        <v>1462687.5434675643</v>
      </c>
      <c r="Q17" s="33">
        <f>+Q12*'Assumptions and Sensis'!$H$75*Q14</f>
        <v>1491941.2943369155</v>
      </c>
      <c r="R17" s="33">
        <f>+R12*'Assumptions and Sensis'!$H$75*R14</f>
        <v>1521780.1202236537</v>
      </c>
      <c r="S17" s="33">
        <f>+S12*'Assumptions and Sensis'!$H$75*S14</f>
        <v>1552215.7226281269</v>
      </c>
      <c r="T17" s="33">
        <f>+T12*'Assumptions and Sensis'!$H$75*T14</f>
        <v>1583260.0370806893</v>
      </c>
      <c r="U17" s="33">
        <f>+U12*'Assumptions and Sensis'!$H$75*U14</f>
        <v>1614925.2378223033</v>
      </c>
      <c r="V17" s="33">
        <f>+V12*'Assumptions and Sensis'!$H$75*V14</f>
        <v>1647223.7425787493</v>
      </c>
      <c r="W17" s="33">
        <f>+W12*'Assumptions and Sensis'!$H$75*W14</f>
        <v>1680168.2174303245</v>
      </c>
      <c r="X17" s="33">
        <f>+X12*'Assumptions and Sensis'!$H$75*X14</f>
        <v>1713771.581778931</v>
      </c>
      <c r="Y17" s="33">
        <f>+Y12*'Assumptions and Sensis'!$H$75*Y14</f>
        <v>1748047.0134145096</v>
      </c>
      <c r="Z17" s="33">
        <f>+Z12*'Assumptions and Sensis'!$H$75*Z14</f>
        <v>1783007.9536827998</v>
      </c>
    </row>
    <row r="18" spans="2:26" x14ac:dyDescent="0.2">
      <c r="B18" s="32" t="s">
        <v>244</v>
      </c>
      <c r="C18" s="32"/>
      <c r="D18" s="39"/>
      <c r="E18" s="39"/>
      <c r="F18" s="41">
        <f>-F17*'Assumptions and Sensis'!$P$75</f>
        <v>0</v>
      </c>
      <c r="G18" s="41">
        <f>-G17*'Assumptions and Sensis'!$P$75</f>
        <v>0</v>
      </c>
      <c r="H18" s="41">
        <f>-H17*'Assumptions and Sensis'!$P$75</f>
        <v>0</v>
      </c>
      <c r="I18" s="41">
        <f>-I17*'Assumptions and Sensis'!$P$75</f>
        <v>-19100.362936462039</v>
      </c>
      <c r="J18" s="41">
        <f>-J17*'Assumptions and Sensis'!$P$75</f>
        <v>-38964.740390382562</v>
      </c>
      <c r="K18" s="41">
        <f>-K17*'Assumptions and Sensis'!$P$75</f>
        <v>-39744.035198190213</v>
      </c>
      <c r="L18" s="41">
        <f>-L17*'Assumptions and Sensis'!$P$75</f>
        <v>-40538.915902154018</v>
      </c>
      <c r="M18" s="41">
        <f>-M17*'Assumptions and Sensis'!$P$75</f>
        <v>-41349.694220197089</v>
      </c>
      <c r="N18" s="41">
        <f>-N17*'Assumptions and Sensis'!$P$75</f>
        <v>-42176.688104601039</v>
      </c>
      <c r="O18" s="41">
        <f>-O17*'Assumptions and Sensis'!$P$75</f>
        <v>-43020.221866693064</v>
      </c>
      <c r="P18" s="41">
        <f>-P17*'Assumptions and Sensis'!$P$75</f>
        <v>-43880.626304026926</v>
      </c>
      <c r="Q18" s="41">
        <f>-Q17*'Assumptions and Sensis'!$P$75</f>
        <v>-44758.238830107461</v>
      </c>
      <c r="R18" s="41">
        <f>-R17*'Assumptions and Sensis'!$P$75</f>
        <v>-45653.403606709609</v>
      </c>
      <c r="S18" s="41">
        <f>-S17*'Assumptions and Sensis'!$P$75</f>
        <v>-46566.471678843802</v>
      </c>
      <c r="T18" s="41">
        <f>-T17*'Assumptions and Sensis'!$P$75</f>
        <v>-47497.801112420675</v>
      </c>
      <c r="U18" s="41">
        <f>-U17*'Assumptions and Sensis'!$P$75</f>
        <v>-48447.757134669097</v>
      </c>
      <c r="V18" s="41">
        <f>-V17*'Assumptions and Sensis'!$P$75</f>
        <v>-49416.71227736248</v>
      </c>
      <c r="W18" s="41">
        <f>-W17*'Assumptions and Sensis'!$P$75</f>
        <v>-50405.046522909732</v>
      </c>
      <c r="X18" s="41">
        <f>-X17*'Assumptions and Sensis'!$P$75</f>
        <v>-51413.147453367928</v>
      </c>
      <c r="Y18" s="41">
        <f>-Y17*'Assumptions and Sensis'!$P$75</f>
        <v>-52441.410402435286</v>
      </c>
      <c r="Z18" s="41">
        <f>-Z17*'Assumptions and Sensis'!$P$75</f>
        <v>-53490.23861048399</v>
      </c>
    </row>
    <row r="19" spans="2:26" x14ac:dyDescent="0.2">
      <c r="B19" s="32" t="s">
        <v>379</v>
      </c>
      <c r="C19" s="32"/>
      <c r="D19" s="39"/>
      <c r="E19" s="39"/>
      <c r="F19" s="150">
        <f>+F11*'Assumptions and Sensis'!$H$116*(1-'Assumptions and Sensis'!$P$75)*12</f>
        <v>0</v>
      </c>
      <c r="G19" s="150">
        <f>+G11*'Assumptions and Sensis'!$H$116*(1-'Assumptions and Sensis'!$P$75)*12</f>
        <v>0</v>
      </c>
      <c r="H19" s="150">
        <f>+H11*'Assumptions and Sensis'!$H$116*(1-'Assumptions and Sensis'!$P$75)*12</f>
        <v>0</v>
      </c>
      <c r="I19" s="150">
        <f>+I11*'Assumptions and Sensis'!$H$116*(1-'Assumptions and Sensis'!$P$75)*12</f>
        <v>3637.5091763740829</v>
      </c>
      <c r="J19" s="150">
        <f>+J11*'Assumptions and Sensis'!$H$116*(1-'Assumptions and Sensis'!$P$75)*12</f>
        <v>7275.0183527481659</v>
      </c>
      <c r="K19" s="150">
        <f>+K11*'Assumptions and Sensis'!$H$116*(1-'Assumptions and Sensis'!$P$75)*12</f>
        <v>7275.0183527481659</v>
      </c>
      <c r="L19" s="150">
        <f>+L11*'Assumptions and Sensis'!$H$116*(1-'Assumptions and Sensis'!$P$75)*12</f>
        <v>7275.0183527481659</v>
      </c>
      <c r="M19" s="150">
        <f>+M11*'Assumptions and Sensis'!$H$116*(1-'Assumptions and Sensis'!$P$75)*12</f>
        <v>7275.0183527481659</v>
      </c>
      <c r="N19" s="150">
        <f>+N11*'Assumptions and Sensis'!$H$116*(1-'Assumptions and Sensis'!$P$75)*12</f>
        <v>7275.0183527481659</v>
      </c>
      <c r="O19" s="150">
        <f>+O11*'Assumptions and Sensis'!$H$116*(1-'Assumptions and Sensis'!$P$75)*12</f>
        <v>7275.0183527481659</v>
      </c>
      <c r="P19" s="150">
        <f>+P11*'Assumptions and Sensis'!$H$116*(1-'Assumptions and Sensis'!$P$75)*12</f>
        <v>7275.0183527481659</v>
      </c>
      <c r="Q19" s="150">
        <f>+Q11*'Assumptions and Sensis'!$H$116*(1-'Assumptions and Sensis'!$P$75)*12</f>
        <v>7275.0183527481659</v>
      </c>
      <c r="R19" s="150">
        <f>+R11*'Assumptions and Sensis'!$H$116*(1-'Assumptions and Sensis'!$P$75)*12</f>
        <v>7275.0183527481659</v>
      </c>
      <c r="S19" s="150">
        <f>+S11*'Assumptions and Sensis'!$H$116*(1-'Assumptions and Sensis'!$P$75)*12</f>
        <v>7275.0183527481659</v>
      </c>
      <c r="T19" s="150">
        <f>+T11*'Assumptions and Sensis'!$H$116*(1-'Assumptions and Sensis'!$P$75)*12</f>
        <v>7275.0183527481659</v>
      </c>
      <c r="U19" s="150">
        <f>+U11*'Assumptions and Sensis'!$H$116*(1-'Assumptions and Sensis'!$P$75)*12</f>
        <v>7275.0183527481659</v>
      </c>
      <c r="V19" s="150">
        <f>+V11*'Assumptions and Sensis'!$H$116*(1-'Assumptions and Sensis'!$P$75)*12</f>
        <v>7275.0183527481659</v>
      </c>
      <c r="W19" s="150">
        <f>+W11*'Assumptions and Sensis'!$H$116*(1-'Assumptions and Sensis'!$P$75)*12</f>
        <v>7275.0183527481659</v>
      </c>
      <c r="X19" s="150">
        <f>+X11*'Assumptions and Sensis'!$H$116*(1-'Assumptions and Sensis'!$P$75)*12</f>
        <v>7275.0183527481659</v>
      </c>
      <c r="Y19" s="150">
        <f>+Y11*'Assumptions and Sensis'!$H$116*(1-'Assumptions and Sensis'!$P$75)*12</f>
        <v>7275.0183527481659</v>
      </c>
      <c r="Z19" s="150">
        <f>+Z11*'Assumptions and Sensis'!$H$116*(1-'Assumptions and Sensis'!$P$75)*12</f>
        <v>7275.0183527481659</v>
      </c>
    </row>
    <row r="20" spans="2:26" x14ac:dyDescent="0.2">
      <c r="B20" s="136" t="s">
        <v>253</v>
      </c>
      <c r="C20" s="136"/>
      <c r="D20" s="136"/>
      <c r="E20" s="136"/>
      <c r="F20" s="128">
        <f t="shared" ref="F20:Z20" si="5">+SUM(F17:F19)</f>
        <v>0</v>
      </c>
      <c r="G20" s="128">
        <f t="shared" si="5"/>
        <v>0</v>
      </c>
      <c r="H20" s="128">
        <f t="shared" si="5"/>
        <v>0</v>
      </c>
      <c r="I20" s="128">
        <f t="shared" si="5"/>
        <v>621215.91078864667</v>
      </c>
      <c r="J20" s="128">
        <f t="shared" si="5"/>
        <v>1267134.9576417843</v>
      </c>
      <c r="K20" s="128">
        <f t="shared" si="5"/>
        <v>1292332.156427565</v>
      </c>
      <c r="L20" s="128">
        <f t="shared" si="5"/>
        <v>1318033.2991890614</v>
      </c>
      <c r="M20" s="128">
        <f t="shared" si="5"/>
        <v>1344248.4648057874</v>
      </c>
      <c r="N20" s="128">
        <f t="shared" si="5"/>
        <v>1370987.9337348484</v>
      </c>
      <c r="O20" s="128">
        <f t="shared" si="5"/>
        <v>1398262.1920424905</v>
      </c>
      <c r="P20" s="128">
        <f t="shared" si="5"/>
        <v>1426081.9355162855</v>
      </c>
      <c r="Q20" s="128">
        <f t="shared" si="5"/>
        <v>1454458.0738595561</v>
      </c>
      <c r="R20" s="128">
        <f t="shared" si="5"/>
        <v>1483401.7349696923</v>
      </c>
      <c r="S20" s="128">
        <f t="shared" si="5"/>
        <v>1512924.2693020313</v>
      </c>
      <c r="T20" s="128">
        <f t="shared" si="5"/>
        <v>1543037.2543210168</v>
      </c>
      <c r="U20" s="128">
        <f t="shared" si="5"/>
        <v>1573752.4990403824</v>
      </c>
      <c r="V20" s="128">
        <f t="shared" si="5"/>
        <v>1605082.0486541349</v>
      </c>
      <c r="W20" s="128">
        <f t="shared" si="5"/>
        <v>1637038.1892601629</v>
      </c>
      <c r="X20" s="128">
        <f t="shared" si="5"/>
        <v>1669633.4526783112</v>
      </c>
      <c r="Y20" s="128">
        <f t="shared" si="5"/>
        <v>1702880.6213648224</v>
      </c>
      <c r="Z20" s="128">
        <f t="shared" si="5"/>
        <v>1736792.733425064</v>
      </c>
    </row>
    <row r="22" spans="2:26" x14ac:dyDescent="0.2">
      <c r="B22" s="32" t="s">
        <v>389</v>
      </c>
      <c r="F22" s="33">
        <f>+F11*'Assumptions and Sensis'!$P$117*F15</f>
        <v>0</v>
      </c>
      <c r="G22" s="33">
        <f>+G11*'Assumptions and Sensis'!$P$117*G15</f>
        <v>0</v>
      </c>
      <c r="H22" s="33">
        <f>+H11*'Assumptions and Sensis'!$P$117*H15</f>
        <v>0</v>
      </c>
      <c r="I22" s="33">
        <f>+I11*'Assumptions and Sensis'!$P$117*I15</f>
        <v>428767.11365566251</v>
      </c>
      <c r="J22" s="33">
        <f>+J11*'Assumptions and Sensis'!$P$117*J15</f>
        <v>883260.25413066486</v>
      </c>
      <c r="K22" s="33">
        <f>+K11*'Assumptions and Sensis'!$P$117*K15</f>
        <v>909758.06175458478</v>
      </c>
      <c r="L22" s="33">
        <f>+L11*'Assumptions and Sensis'!$P$117*L15</f>
        <v>937050.80360722239</v>
      </c>
      <c r="M22" s="33">
        <f>+M11*'Assumptions and Sensis'!$P$117*M15</f>
        <v>965162.32771543914</v>
      </c>
      <c r="N22" s="33">
        <f>+N11*'Assumptions and Sensis'!$P$117*N15</f>
        <v>994117.19754690235</v>
      </c>
      <c r="O22" s="33">
        <f>+O11*'Assumptions and Sensis'!$P$117*O15</f>
        <v>1023940.7134733094</v>
      </c>
      <c r="P22" s="33">
        <f>+P11*'Assumptions and Sensis'!$P$117*P15</f>
        <v>1054658.9348775088</v>
      </c>
      <c r="Q22" s="33">
        <f>+Q11*'Assumptions and Sensis'!$P$117*Q15</f>
        <v>1086298.7029238339</v>
      </c>
      <c r="R22" s="33">
        <f>+R11*'Assumptions and Sensis'!$P$117*R15</f>
        <v>1118887.664011549</v>
      </c>
      <c r="S22" s="33">
        <f>+S11*'Assumptions and Sensis'!$P$117*S15</f>
        <v>1152454.2939318956</v>
      </c>
      <c r="T22" s="33">
        <f>+T11*'Assumptions and Sensis'!$P$117*T15</f>
        <v>1187027.9227498525</v>
      </c>
      <c r="U22" s="33">
        <f>+U11*'Assumptions and Sensis'!$P$117*U15</f>
        <v>1222638.7604323481</v>
      </c>
      <c r="V22" s="33">
        <f>+V11*'Assumptions and Sensis'!$P$117*V15</f>
        <v>1259317.9232453187</v>
      </c>
      <c r="W22" s="33">
        <f>+W11*'Assumptions and Sensis'!$P$117*W15</f>
        <v>1297097.4609426782</v>
      </c>
      <c r="X22" s="33">
        <f>+X11*'Assumptions and Sensis'!$P$117*X15</f>
        <v>1336010.3847709587</v>
      </c>
      <c r="Y22" s="33">
        <f>+Y11*'Assumptions and Sensis'!$P$117*Y15</f>
        <v>1376090.6963140874</v>
      </c>
      <c r="Z22" s="33">
        <f>+Z11*'Assumptions and Sensis'!$P$117*Z15</f>
        <v>1417373.4172035102</v>
      </c>
    </row>
    <row r="23" spans="2:26" x14ac:dyDescent="0.2">
      <c r="B23" s="32" t="s">
        <v>325</v>
      </c>
      <c r="F23" s="150">
        <f ca="1">+IFERROR(INDEX('Taxes and TIF'!$AR$11:$AR$45,MATCH('Phase III Pro Forma'!F$7,'Taxes and TIF'!$AG$11:$AG$45,0)),0)*'Loan Sizing'!$M$17*F12</f>
        <v>0</v>
      </c>
      <c r="G23" s="150">
        <f ca="1">+IFERROR(INDEX('Taxes and TIF'!$AR$11:$AR$45,MATCH('Phase III Pro Forma'!G$7,'Taxes and TIF'!$AG$11:$AG$45,0)),0)*'Loan Sizing'!$M$17*G12</f>
        <v>0</v>
      </c>
      <c r="H23" s="150">
        <f ca="1">+IFERROR(INDEX('Taxes and TIF'!$AR$11:$AR$45,MATCH('Phase III Pro Forma'!H$7,'Taxes and TIF'!$AG$11:$AG$45,0)),0)*'Loan Sizing'!$M$17*H12</f>
        <v>0</v>
      </c>
      <c r="I23" s="150">
        <f ca="1">+IFERROR(INDEX('Taxes and TIF'!$AR$11:$AR$45,MATCH('Phase III Pro Forma'!I$7,'Taxes and TIF'!$AG$11:$AG$45,0)),0)*'Loan Sizing'!$M$17*I12</f>
        <v>44970.587906614965</v>
      </c>
      <c r="J23" s="150">
        <f ca="1">+IFERROR(INDEX('Taxes and TIF'!$AR$11:$AR$45,MATCH('Phase III Pro Forma'!J$7,'Taxes and TIF'!$AG$11:$AG$45,0)),0)*'Loan Sizing'!$M$17*J12</f>
        <v>91739.999329494545</v>
      </c>
      <c r="K23" s="150">
        <f ca="1">+IFERROR(INDEX('Taxes and TIF'!$AR$11:$AR$45,MATCH('Phase III Pro Forma'!K$7,'Taxes and TIF'!$AG$11:$AG$45,0)),0)*'Loan Sizing'!$M$17*K12</f>
        <v>91739.999329494545</v>
      </c>
      <c r="L23" s="150">
        <f ca="1">+IFERROR(INDEX('Taxes and TIF'!$AR$11:$AR$45,MATCH('Phase III Pro Forma'!L$7,'Taxes and TIF'!$AG$11:$AG$45,0)),0)*'Loan Sizing'!$M$17*L12</f>
        <v>91739.999329494545</v>
      </c>
      <c r="M23" s="150">
        <f ca="1">+IFERROR(INDEX('Taxes and TIF'!$AR$11:$AR$45,MATCH('Phase III Pro Forma'!M$7,'Taxes and TIF'!$AG$11:$AG$45,0)),0)*'Loan Sizing'!$M$17*M12</f>
        <v>93574.799316084405</v>
      </c>
      <c r="N23" s="150">
        <f ca="1">+IFERROR(INDEX('Taxes and TIF'!$AR$11:$AR$45,MATCH('Phase III Pro Forma'!N$7,'Taxes and TIF'!$AG$11:$AG$45,0)),0)*'Loan Sizing'!$M$17*N12</f>
        <v>93574.799316084405</v>
      </c>
      <c r="O23" s="150">
        <f ca="1">+IFERROR(INDEX('Taxes and TIF'!$AR$11:$AR$45,MATCH('Phase III Pro Forma'!O$7,'Taxes and TIF'!$AG$11:$AG$45,0)),0)*'Loan Sizing'!$M$17*O12</f>
        <v>93574.799316084405</v>
      </c>
      <c r="P23" s="150">
        <f ca="1">+IFERROR(INDEX('Taxes and TIF'!$AR$11:$AR$45,MATCH('Phase III Pro Forma'!P$7,'Taxes and TIF'!$AG$11:$AG$45,0)),0)*'Loan Sizing'!$M$17*P12</f>
        <v>95446.295302406113</v>
      </c>
      <c r="Q23" s="150">
        <f ca="1">+IFERROR(INDEX('Taxes and TIF'!$AR$11:$AR$45,MATCH('Phase III Pro Forma'!Q$7,'Taxes and TIF'!$AG$11:$AG$45,0)),0)*'Loan Sizing'!$M$17*Q12</f>
        <v>95446.295302406113</v>
      </c>
      <c r="R23" s="150">
        <f ca="1">+IFERROR(INDEX('Taxes and TIF'!$AR$11:$AR$45,MATCH('Phase III Pro Forma'!R$7,'Taxes and TIF'!$AG$11:$AG$45,0)),0)*'Loan Sizing'!$M$17*R12</f>
        <v>95446.295302406113</v>
      </c>
      <c r="S23" s="150">
        <f ca="1">+IFERROR(INDEX('Taxes and TIF'!$AR$11:$AR$45,MATCH('Phase III Pro Forma'!S$7,'Taxes and TIF'!$AG$11:$AG$45,0)),0)*'Loan Sizing'!$M$17*S12</f>
        <v>97355.221208454226</v>
      </c>
      <c r="T23" s="150">
        <f ca="1">+IFERROR(INDEX('Taxes and TIF'!$AR$11:$AR$45,MATCH('Phase III Pro Forma'!T$7,'Taxes and TIF'!$AG$11:$AG$45,0)),0)*'Loan Sizing'!$M$17*T12</f>
        <v>97355.221208454226</v>
      </c>
      <c r="U23" s="150">
        <f ca="1">+IFERROR(INDEX('Taxes and TIF'!$AR$11:$AR$45,MATCH('Phase III Pro Forma'!U$7,'Taxes and TIF'!$AG$11:$AG$45,0)),0)*'Loan Sizing'!$M$17*U12</f>
        <v>97355.221208454226</v>
      </c>
      <c r="V23" s="150">
        <f ca="1">+IFERROR(INDEX('Taxes and TIF'!$AR$11:$AR$45,MATCH('Phase III Pro Forma'!V$7,'Taxes and TIF'!$AG$11:$AG$45,0)),0)*'Loan Sizing'!$M$17*V12</f>
        <v>99302.325632623339</v>
      </c>
      <c r="W23" s="150">
        <f ca="1">+IFERROR(INDEX('Taxes and TIF'!$AR$11:$AR$45,MATCH('Phase III Pro Forma'!W$7,'Taxes and TIF'!$AG$11:$AG$45,0)),0)*'Loan Sizing'!$M$17*W12</f>
        <v>99302.325632623339</v>
      </c>
      <c r="X23" s="150">
        <f ca="1">+IFERROR(INDEX('Taxes and TIF'!$AR$11:$AR$45,MATCH('Phase III Pro Forma'!X$7,'Taxes and TIF'!$AG$11:$AG$45,0)),0)*'Loan Sizing'!$M$17*X12</f>
        <v>99302.325632623339</v>
      </c>
      <c r="Y23" s="150">
        <f ca="1">+IFERROR(INDEX('Taxes and TIF'!$AR$11:$AR$45,MATCH('Phase III Pro Forma'!Y$7,'Taxes and TIF'!$AG$11:$AG$45,0)),0)*'Loan Sizing'!$M$17*Y12</f>
        <v>101288.3721452758</v>
      </c>
      <c r="Z23" s="150">
        <f ca="1">+IFERROR(INDEX('Taxes and TIF'!$AR$11:$AR$45,MATCH('Phase III Pro Forma'!Z$7,'Taxes and TIF'!$AG$11:$AG$45,0)),0)*'Loan Sizing'!$M$17*Z12</f>
        <v>101288.3721452758</v>
      </c>
    </row>
    <row r="24" spans="2:26" x14ac:dyDescent="0.2">
      <c r="B24" s="136" t="s">
        <v>249</v>
      </c>
      <c r="C24" s="136"/>
      <c r="D24" s="136"/>
      <c r="E24" s="136"/>
      <c r="F24" s="128">
        <f t="shared" ref="F24:Z24" ca="1" si="6">+SUM(F22:F23)</f>
        <v>0</v>
      </c>
      <c r="G24" s="128">
        <f t="shared" ca="1" si="6"/>
        <v>0</v>
      </c>
      <c r="H24" s="128">
        <f t="shared" ca="1" si="6"/>
        <v>0</v>
      </c>
      <c r="I24" s="128">
        <f t="shared" ca="1" si="6"/>
        <v>473737.70156227751</v>
      </c>
      <c r="J24" s="128">
        <f t="shared" ca="1" si="6"/>
        <v>975000.25346015941</v>
      </c>
      <c r="K24" s="128">
        <f t="shared" ca="1" si="6"/>
        <v>1001498.0610840793</v>
      </c>
      <c r="L24" s="128">
        <f t="shared" ca="1" si="6"/>
        <v>1028790.8029367169</v>
      </c>
      <c r="M24" s="128">
        <f t="shared" ca="1" si="6"/>
        <v>1058737.1270315235</v>
      </c>
      <c r="N24" s="128">
        <f t="shared" ca="1" si="6"/>
        <v>1087691.9968629868</v>
      </c>
      <c r="O24" s="128">
        <f t="shared" ca="1" si="6"/>
        <v>1117515.5127893938</v>
      </c>
      <c r="P24" s="128">
        <f t="shared" ca="1" si="6"/>
        <v>1150105.230179915</v>
      </c>
      <c r="Q24" s="128">
        <f t="shared" ca="1" si="6"/>
        <v>1181744.99822624</v>
      </c>
      <c r="R24" s="128">
        <f t="shared" ca="1" si="6"/>
        <v>1214333.9593139552</v>
      </c>
      <c r="S24" s="128">
        <f t="shared" ca="1" si="6"/>
        <v>1249809.51514035</v>
      </c>
      <c r="T24" s="128">
        <f t="shared" ca="1" si="6"/>
        <v>1284383.1439583069</v>
      </c>
      <c r="U24" s="128">
        <f t="shared" ca="1" si="6"/>
        <v>1319993.9816408022</v>
      </c>
      <c r="V24" s="128">
        <f t="shared" ca="1" si="6"/>
        <v>1358620.2488779421</v>
      </c>
      <c r="W24" s="128">
        <f t="shared" ca="1" si="6"/>
        <v>1396399.7865753016</v>
      </c>
      <c r="X24" s="128">
        <f t="shared" ca="1" si="6"/>
        <v>1435312.7104035821</v>
      </c>
      <c r="Y24" s="128">
        <f t="shared" ca="1" si="6"/>
        <v>1477379.0684593632</v>
      </c>
      <c r="Z24" s="128">
        <f t="shared" ca="1" si="6"/>
        <v>1518661.789348786</v>
      </c>
    </row>
    <row r="25" spans="2:26" x14ac:dyDescent="0.2">
      <c r="B25" s="32"/>
    </row>
    <row r="26" spans="2:26" x14ac:dyDescent="0.2">
      <c r="B26" s="137" t="s">
        <v>248</v>
      </c>
      <c r="C26" s="137"/>
      <c r="D26" s="137"/>
      <c r="E26" s="137"/>
      <c r="F26" s="138">
        <f t="shared" ref="F26:Z26" ca="1" si="7">+F20-F24</f>
        <v>0</v>
      </c>
      <c r="G26" s="138">
        <f t="shared" ca="1" si="7"/>
        <v>0</v>
      </c>
      <c r="H26" s="138">
        <f t="shared" ca="1" si="7"/>
        <v>0</v>
      </c>
      <c r="I26" s="138">
        <f t="shared" ca="1" si="7"/>
        <v>147478.20922636916</v>
      </c>
      <c r="J26" s="138">
        <f t="shared" ca="1" si="7"/>
        <v>292134.70418162493</v>
      </c>
      <c r="K26" s="138">
        <f t="shared" ca="1" si="7"/>
        <v>290834.09534348571</v>
      </c>
      <c r="L26" s="138">
        <f t="shared" ca="1" si="7"/>
        <v>289242.49625234446</v>
      </c>
      <c r="M26" s="138">
        <f t="shared" ca="1" si="7"/>
        <v>285511.33777426393</v>
      </c>
      <c r="N26" s="138">
        <f t="shared" ca="1" si="7"/>
        <v>283295.93687186157</v>
      </c>
      <c r="O26" s="138">
        <f t="shared" ca="1" si="7"/>
        <v>280746.67925309669</v>
      </c>
      <c r="P26" s="138">
        <f t="shared" ca="1" si="7"/>
        <v>275976.70533637051</v>
      </c>
      <c r="Q26" s="138">
        <f t="shared" ca="1" si="7"/>
        <v>272713.07563331607</v>
      </c>
      <c r="R26" s="138">
        <f t="shared" ca="1" si="7"/>
        <v>269067.77565573715</v>
      </c>
      <c r="S26" s="138">
        <f t="shared" ca="1" si="7"/>
        <v>263114.75416168128</v>
      </c>
      <c r="T26" s="138">
        <f t="shared" ca="1" si="7"/>
        <v>258654.11036270997</v>
      </c>
      <c r="U26" s="138">
        <f t="shared" ca="1" si="7"/>
        <v>253758.51739958022</v>
      </c>
      <c r="V26" s="138">
        <f t="shared" ca="1" si="7"/>
        <v>246461.79977619275</v>
      </c>
      <c r="W26" s="138">
        <f t="shared" ca="1" si="7"/>
        <v>240638.40268486133</v>
      </c>
      <c r="X26" s="138">
        <f t="shared" ca="1" si="7"/>
        <v>234320.74227472907</v>
      </c>
      <c r="Y26" s="138">
        <f t="shared" ca="1" si="7"/>
        <v>225501.55290545919</v>
      </c>
      <c r="Z26" s="138">
        <f t="shared" ca="1" si="7"/>
        <v>218130.94407627801</v>
      </c>
    </row>
    <row r="27" spans="2:26" x14ac:dyDescent="0.2">
      <c r="B27" s="142" t="s">
        <v>254</v>
      </c>
      <c r="C27" s="140"/>
      <c r="D27" s="140"/>
      <c r="E27" s="140"/>
      <c r="F27" s="143" t="str">
        <f t="shared" ref="F27:Z27" ca="1" si="8">+IFERROR(F26/F20,"")</f>
        <v/>
      </c>
      <c r="G27" s="143" t="str">
        <f t="shared" ca="1" si="8"/>
        <v/>
      </c>
      <c r="H27" s="143" t="str">
        <f t="shared" ca="1" si="8"/>
        <v/>
      </c>
      <c r="I27" s="144">
        <f t="shared" ca="1" si="8"/>
        <v>0.23740249833450414</v>
      </c>
      <c r="J27" s="144">
        <f t="shared" ca="1" si="8"/>
        <v>0.23054742702806139</v>
      </c>
      <c r="K27" s="144">
        <f t="shared" ca="1" si="8"/>
        <v>0.22504593257777294</v>
      </c>
      <c r="L27" s="144">
        <f t="shared" ca="1" si="8"/>
        <v>0.21945006733161065</v>
      </c>
      <c r="M27" s="144">
        <f t="shared" ca="1" si="8"/>
        <v>0.21239476573664057</v>
      </c>
      <c r="N27" s="144">
        <f t="shared" ca="1" si="8"/>
        <v>0.20663634587950469</v>
      </c>
      <c r="O27" s="144">
        <f t="shared" ca="1" si="8"/>
        <v>0.20078257200318075</v>
      </c>
      <c r="P27" s="144">
        <f t="shared" ca="1" si="8"/>
        <v>0.19352093204690826</v>
      </c>
      <c r="Q27" s="144">
        <f t="shared" ca="1" si="8"/>
        <v>0.18750150350476827</v>
      </c>
      <c r="R27" s="144">
        <f t="shared" ca="1" si="8"/>
        <v>0.18138564174002031</v>
      </c>
      <c r="S27" s="144">
        <f t="shared" ca="1" si="8"/>
        <v>0.17391138439669951</v>
      </c>
      <c r="T27" s="144">
        <f t="shared" ca="1" si="8"/>
        <v>0.16762661409398416</v>
      </c>
      <c r="U27" s="144">
        <f t="shared" ca="1" si="8"/>
        <v>0.16124423475375768</v>
      </c>
      <c r="V27" s="144">
        <f t="shared" ca="1" si="8"/>
        <v>0.15355090413156858</v>
      </c>
      <c r="W27" s="144">
        <f t="shared" ca="1" si="8"/>
        <v>0.14699620586958609</v>
      </c>
      <c r="X27" s="144">
        <f t="shared" ca="1" si="8"/>
        <v>0.1403426254420381</v>
      </c>
      <c r="Y27" s="144">
        <f t="shared" ca="1" si="8"/>
        <v>0.13242358276690266</v>
      </c>
      <c r="Z27" s="144">
        <f t="shared" ca="1" si="8"/>
        <v>0.12559411372369697</v>
      </c>
    </row>
    <row r="28" spans="2:26" x14ac:dyDescent="0.2">
      <c r="B28" s="142" t="s">
        <v>188</v>
      </c>
      <c r="C28" s="140"/>
      <c r="D28" s="140"/>
      <c r="E28" s="140"/>
      <c r="F28" s="141">
        <f ca="1">+F26/'Assumptions and Sensis'!$P$153</f>
        <v>0</v>
      </c>
      <c r="G28" s="141">
        <f ca="1">+G26/'Assumptions and Sensis'!$P$153</f>
        <v>0</v>
      </c>
      <c r="H28" s="141">
        <f ca="1">+H26/'Assumptions and Sensis'!$P$153</f>
        <v>0</v>
      </c>
      <c r="I28" s="141">
        <f ca="1">+I26/'Assumptions and Sensis'!$P$153</f>
        <v>2564838.421328159</v>
      </c>
      <c r="J28" s="141">
        <f ca="1">+J26/'Assumptions and Sensis'!$P$153</f>
        <v>5080603.5509847812</v>
      </c>
      <c r="K28" s="141">
        <f ca="1">+K26/'Assumptions and Sensis'!$P$153</f>
        <v>5057984.2668432295</v>
      </c>
      <c r="L28" s="141">
        <f ca="1">+L26/'Assumptions and Sensis'!$P$153</f>
        <v>5030304.2826494686</v>
      </c>
      <c r="M28" s="141">
        <f ca="1">+M26/'Assumptions and Sensis'!$P$153</f>
        <v>4965414.5699871983</v>
      </c>
      <c r="N28" s="141">
        <f ca="1">+N26/'Assumptions and Sensis'!$P$153</f>
        <v>4926885.8586410703</v>
      </c>
      <c r="O28" s="141">
        <f ca="1">+O26/'Assumptions and Sensis'!$P$153</f>
        <v>4882550.9435321158</v>
      </c>
      <c r="P28" s="141">
        <f ca="1">+P26/'Assumptions and Sensis'!$P$153</f>
        <v>4799594.8754151389</v>
      </c>
      <c r="Q28" s="141">
        <f ca="1">+Q26/'Assumptions and Sensis'!$P$153</f>
        <v>4742836.0979707139</v>
      </c>
      <c r="R28" s="141">
        <f ca="1">+R26/'Assumptions and Sensis'!$P$153</f>
        <v>4679439.5766215157</v>
      </c>
      <c r="S28" s="141">
        <f ca="1">+S26/'Assumptions and Sensis'!$P$153</f>
        <v>4575908.768029239</v>
      </c>
      <c r="T28" s="141">
        <f ca="1">+T26/'Assumptions and Sensis'!$P$153</f>
        <v>4498332.3541340865</v>
      </c>
      <c r="U28" s="141">
        <f ca="1">+U26/'Assumptions and Sensis'!$P$153</f>
        <v>4413191.6069492213</v>
      </c>
      <c r="V28" s="141">
        <f ca="1">+V26/'Assumptions and Sensis'!$P$153</f>
        <v>4286292.1700207433</v>
      </c>
      <c r="W28" s="141">
        <f ca="1">+W26/'Assumptions and Sensis'!$P$153</f>
        <v>4185015.6988671534</v>
      </c>
      <c r="X28" s="141">
        <f ca="1">+X26/'Assumptions and Sensis'!$P$153</f>
        <v>4075143.3439083314</v>
      </c>
      <c r="Y28" s="141">
        <f ca="1">+Y26/'Assumptions and Sensis'!$P$153</f>
        <v>3921766.1374862464</v>
      </c>
      <c r="Z28" s="141">
        <f ca="1">+Z26/'Assumptions and Sensis'!$P$153</f>
        <v>3793581.6361091826</v>
      </c>
    </row>
    <row r="30" spans="2:26" x14ac:dyDescent="0.2">
      <c r="B30" s="147" t="s">
        <v>932</v>
      </c>
      <c r="C30" s="148"/>
      <c r="D30" s="148"/>
      <c r="E30" s="148"/>
      <c r="F30" s="149">
        <f>+'Assumptions and Sensis'!$H$43</f>
        <v>45657</v>
      </c>
      <c r="G30" s="149">
        <f>+EOMONTH(F30,12)</f>
        <v>46022</v>
      </c>
      <c r="H30" s="149">
        <f t="shared" ref="H30:Z30" si="9">+EOMONTH(G30,12)</f>
        <v>46387</v>
      </c>
      <c r="I30" s="149">
        <f t="shared" si="9"/>
        <v>46752</v>
      </c>
      <c r="J30" s="149">
        <f t="shared" si="9"/>
        <v>47118</v>
      </c>
      <c r="K30" s="149">
        <f t="shared" si="9"/>
        <v>47483</v>
      </c>
      <c r="L30" s="149">
        <f t="shared" si="9"/>
        <v>47848</v>
      </c>
      <c r="M30" s="149">
        <f t="shared" si="9"/>
        <v>48213</v>
      </c>
      <c r="N30" s="149">
        <f t="shared" si="9"/>
        <v>48579</v>
      </c>
      <c r="O30" s="149">
        <f t="shared" si="9"/>
        <v>48944</v>
      </c>
      <c r="P30" s="149">
        <f t="shared" si="9"/>
        <v>49309</v>
      </c>
      <c r="Q30" s="149">
        <f t="shared" si="9"/>
        <v>49674</v>
      </c>
      <c r="R30" s="149">
        <f t="shared" si="9"/>
        <v>50040</v>
      </c>
      <c r="S30" s="149">
        <f t="shared" si="9"/>
        <v>50405</v>
      </c>
      <c r="T30" s="149">
        <f t="shared" si="9"/>
        <v>50770</v>
      </c>
      <c r="U30" s="149">
        <f t="shared" si="9"/>
        <v>51135</v>
      </c>
      <c r="V30" s="149">
        <f t="shared" si="9"/>
        <v>51501</v>
      </c>
      <c r="W30" s="149">
        <f t="shared" si="9"/>
        <v>51866</v>
      </c>
      <c r="X30" s="149">
        <f t="shared" si="9"/>
        <v>52231</v>
      </c>
      <c r="Y30" s="149">
        <f t="shared" si="9"/>
        <v>52596</v>
      </c>
      <c r="Z30" s="149">
        <f t="shared" si="9"/>
        <v>52962</v>
      </c>
    </row>
    <row r="31" spans="2:26" x14ac:dyDescent="0.2">
      <c r="B31" s="32" t="s">
        <v>756</v>
      </c>
      <c r="C31" s="32"/>
      <c r="D31" s="39"/>
      <c r="E31" s="39"/>
      <c r="F31" s="41">
        <f>+IF(AND(F30&gt;='Assumptions and Sensis'!$H$47,F30&lt;'Assumptions and Sensis'!$H$49),'Assumptions and Sensis'!$H$110/ROUNDUP(('Assumptions and Sensis'!$H$48/12),0),0)</f>
        <v>0</v>
      </c>
      <c r="G31" s="41">
        <f>+IF(AND(G30&gt;='Assumptions and Sensis'!$H$47,G30&lt;'Assumptions and Sensis'!$H$49),'Assumptions and Sensis'!$H$110/ROUNDUP(('Assumptions and Sensis'!$H$48/12),0),0)</f>
        <v>0</v>
      </c>
      <c r="H31" s="41">
        <f>+IF(AND(H30&gt;='Assumptions and Sensis'!$H$47,H30&lt;'Assumptions and Sensis'!$H$49),'Assumptions and Sensis'!$H$110/ROUNDUP(('Assumptions and Sensis'!$H$48/12),0),0)</f>
        <v>0</v>
      </c>
      <c r="I31" s="41">
        <f>+IF(AND(I30&gt;='Assumptions and Sensis'!$H$47,I30&lt;'Assumptions and Sensis'!$H$49),'Assumptions and Sensis'!$H$110/ROUNDUP(('Assumptions and Sensis'!$H$48/12),0),0)</f>
        <v>182724.71345282008</v>
      </c>
      <c r="J31" s="41">
        <f>+IF(AND(J30&gt;='Assumptions and Sensis'!$H$47,J30&lt;'Assumptions and Sensis'!$H$49),'Assumptions and Sensis'!$H$110/ROUNDUP(('Assumptions and Sensis'!$H$48/12),0),0)</f>
        <v>182724.71345282008</v>
      </c>
      <c r="K31" s="41">
        <f>+IF(AND(K30&gt;='Assumptions and Sensis'!$H$47,K30&lt;'Assumptions and Sensis'!$H$49),'Assumptions and Sensis'!$H$110/ROUNDUP(('Assumptions and Sensis'!$H$48/12),0),0)</f>
        <v>0</v>
      </c>
      <c r="L31" s="41">
        <f>+IF(AND(L30&gt;='Assumptions and Sensis'!$H$47,L30&lt;'Assumptions and Sensis'!$H$49),'Assumptions and Sensis'!$H$110/ROUNDUP(('Assumptions and Sensis'!$H$48/12),0),0)</f>
        <v>0</v>
      </c>
      <c r="M31" s="41">
        <f>+IF(AND(M30&gt;='Assumptions and Sensis'!$H$47,M30&lt;'Assumptions and Sensis'!$H$49),'Assumptions and Sensis'!$H$110/ROUNDUP(('Assumptions and Sensis'!$H$48/12),0),0)</f>
        <v>0</v>
      </c>
      <c r="N31" s="41">
        <f>+IF(AND(N30&gt;='Assumptions and Sensis'!$H$47,N30&lt;'Assumptions and Sensis'!$H$49),'Assumptions and Sensis'!$H$110/ROUNDUP(('Assumptions and Sensis'!$H$48/12),0),0)</f>
        <v>0</v>
      </c>
      <c r="O31" s="41">
        <f>+IF(AND(O30&gt;='Assumptions and Sensis'!$H$47,O30&lt;'Assumptions and Sensis'!$H$49),'Assumptions and Sensis'!$H$110/ROUNDUP(('Assumptions and Sensis'!$H$48/12),0),0)</f>
        <v>0</v>
      </c>
      <c r="P31" s="41">
        <f>+IF(AND(P30&gt;='Assumptions and Sensis'!$H$47,P30&lt;'Assumptions and Sensis'!$H$49),'Assumptions and Sensis'!$H$110/ROUNDUP(('Assumptions and Sensis'!$H$48/12),0),0)</f>
        <v>0</v>
      </c>
      <c r="Q31" s="41">
        <f>+IF(AND(Q30&gt;='Assumptions and Sensis'!$H$47,Q30&lt;'Assumptions and Sensis'!$H$49),'Assumptions and Sensis'!$H$110/ROUNDUP(('Assumptions and Sensis'!$H$48/12),0),0)</f>
        <v>0</v>
      </c>
      <c r="R31" s="41">
        <f>+IF(AND(R30&gt;='Assumptions and Sensis'!$H$47,R30&lt;'Assumptions and Sensis'!$H$49),'Assumptions and Sensis'!$H$110/ROUNDUP(('Assumptions and Sensis'!$H$48/12),0),0)</f>
        <v>0</v>
      </c>
      <c r="S31" s="41">
        <f>+IF(AND(S30&gt;='Assumptions and Sensis'!$H$47,S30&lt;'Assumptions and Sensis'!$H$49),'Assumptions and Sensis'!$H$110/ROUNDUP(('Assumptions and Sensis'!$H$48/12),0),0)</f>
        <v>0</v>
      </c>
      <c r="T31" s="41">
        <f>+IF(AND(T30&gt;='Assumptions and Sensis'!$H$47,T30&lt;'Assumptions and Sensis'!$H$49),'Assumptions and Sensis'!$H$110/ROUNDUP(('Assumptions and Sensis'!$H$48/12),0),0)</f>
        <v>0</v>
      </c>
      <c r="U31" s="41">
        <f>+IF(AND(U30&gt;='Assumptions and Sensis'!$H$47,U30&lt;'Assumptions and Sensis'!$H$49),'Assumptions and Sensis'!$H$110/ROUNDUP(('Assumptions and Sensis'!$H$48/12),0),0)</f>
        <v>0</v>
      </c>
      <c r="V31" s="41">
        <f>+IF(AND(V30&gt;='Assumptions and Sensis'!$H$47,V30&lt;'Assumptions and Sensis'!$H$49),'Assumptions and Sensis'!$H$110/ROUNDUP(('Assumptions and Sensis'!$H$48/12),0),0)</f>
        <v>0</v>
      </c>
      <c r="W31" s="41">
        <f>+IF(AND(W30&gt;='Assumptions and Sensis'!$H$47,W30&lt;'Assumptions and Sensis'!$H$49),'Assumptions and Sensis'!$H$110/ROUNDUP(('Assumptions and Sensis'!$H$48/12),0),0)</f>
        <v>0</v>
      </c>
      <c r="X31" s="41">
        <f>+IF(AND(X30&gt;='Assumptions and Sensis'!$H$47,X30&lt;'Assumptions and Sensis'!$H$49),'Assumptions and Sensis'!$H$110/ROUNDUP(('Assumptions and Sensis'!$H$48/12),0),0)</f>
        <v>0</v>
      </c>
      <c r="Y31" s="41">
        <f>+IF(AND(Y30&gt;='Assumptions and Sensis'!$H$47,Y30&lt;'Assumptions and Sensis'!$H$49),'Assumptions and Sensis'!$H$110/ROUNDUP(('Assumptions and Sensis'!$H$48/12),0),0)</f>
        <v>0</v>
      </c>
      <c r="Z31" s="41">
        <f>+IF(AND(Z30&gt;='Assumptions and Sensis'!$H$47,Z30&lt;'Assumptions and Sensis'!$H$49),'Assumptions and Sensis'!$H$110/ROUNDUP(('Assumptions and Sensis'!$H$48/12),0),0)</f>
        <v>0</v>
      </c>
    </row>
    <row r="32" spans="2:26" x14ac:dyDescent="0.2">
      <c r="B32" s="32" t="s">
        <v>246</v>
      </c>
      <c r="C32" s="32"/>
      <c r="D32" s="41">
        <v>0</v>
      </c>
      <c r="E32" s="41"/>
      <c r="F32" s="41">
        <f>+D32+F31</f>
        <v>0</v>
      </c>
      <c r="G32" s="41">
        <f t="shared" ref="G32:Z32" si="10">+F32+G31</f>
        <v>0</v>
      </c>
      <c r="H32" s="41">
        <f t="shared" si="10"/>
        <v>0</v>
      </c>
      <c r="I32" s="41">
        <f t="shared" si="10"/>
        <v>182724.71345282008</v>
      </c>
      <c r="J32" s="41">
        <f t="shared" si="10"/>
        <v>365449.42690564017</v>
      </c>
      <c r="K32" s="41">
        <f t="shared" si="10"/>
        <v>365449.42690564017</v>
      </c>
      <c r="L32" s="41">
        <f t="shared" si="10"/>
        <v>365449.42690564017</v>
      </c>
      <c r="M32" s="41">
        <f t="shared" si="10"/>
        <v>365449.42690564017</v>
      </c>
      <c r="N32" s="41">
        <f t="shared" si="10"/>
        <v>365449.42690564017</v>
      </c>
      <c r="O32" s="41">
        <f t="shared" si="10"/>
        <v>365449.42690564017</v>
      </c>
      <c r="P32" s="41">
        <f t="shared" si="10"/>
        <v>365449.42690564017</v>
      </c>
      <c r="Q32" s="41">
        <f t="shared" si="10"/>
        <v>365449.42690564017</v>
      </c>
      <c r="R32" s="41">
        <f t="shared" si="10"/>
        <v>365449.42690564017</v>
      </c>
      <c r="S32" s="41">
        <f t="shared" si="10"/>
        <v>365449.42690564017</v>
      </c>
      <c r="T32" s="41">
        <f t="shared" si="10"/>
        <v>365449.42690564017</v>
      </c>
      <c r="U32" s="41">
        <f t="shared" si="10"/>
        <v>365449.42690564017</v>
      </c>
      <c r="V32" s="41">
        <f t="shared" si="10"/>
        <v>365449.42690564017</v>
      </c>
      <c r="W32" s="41">
        <f t="shared" si="10"/>
        <v>365449.42690564017</v>
      </c>
      <c r="X32" s="41">
        <f t="shared" si="10"/>
        <v>365449.42690564017</v>
      </c>
      <c r="Y32" s="41">
        <f t="shared" si="10"/>
        <v>365449.42690564017</v>
      </c>
      <c r="Z32" s="41">
        <f t="shared" si="10"/>
        <v>365449.42690564017</v>
      </c>
    </row>
    <row r="33" spans="2:26" x14ac:dyDescent="0.2">
      <c r="B33" s="32" t="s">
        <v>490</v>
      </c>
      <c r="C33" s="32"/>
      <c r="D33" s="41"/>
      <c r="E33" s="41"/>
      <c r="F33" s="41">
        <f>+F34-E34</f>
        <v>0</v>
      </c>
      <c r="G33" s="41">
        <f t="shared" ref="G33:Z33" si="11">+G34-F34</f>
        <v>0</v>
      </c>
      <c r="H33" s="41">
        <f t="shared" si="11"/>
        <v>0</v>
      </c>
      <c r="I33" s="41">
        <f t="shared" si="11"/>
        <v>250.00063067863113</v>
      </c>
      <c r="J33" s="41">
        <f t="shared" si="11"/>
        <v>250.00063067863113</v>
      </c>
      <c r="K33" s="41">
        <f t="shared" si="11"/>
        <v>0</v>
      </c>
      <c r="L33" s="41">
        <f t="shared" si="11"/>
        <v>0</v>
      </c>
      <c r="M33" s="41">
        <f t="shared" si="11"/>
        <v>0</v>
      </c>
      <c r="N33" s="41">
        <f t="shared" si="11"/>
        <v>0</v>
      </c>
      <c r="O33" s="41">
        <f t="shared" si="11"/>
        <v>0</v>
      </c>
      <c r="P33" s="41">
        <f t="shared" si="11"/>
        <v>0</v>
      </c>
      <c r="Q33" s="41">
        <f t="shared" si="11"/>
        <v>0</v>
      </c>
      <c r="R33" s="41">
        <f t="shared" si="11"/>
        <v>0</v>
      </c>
      <c r="S33" s="41">
        <f t="shared" si="11"/>
        <v>0</v>
      </c>
      <c r="T33" s="41">
        <f t="shared" si="11"/>
        <v>0</v>
      </c>
      <c r="U33" s="41">
        <f t="shared" si="11"/>
        <v>0</v>
      </c>
      <c r="V33" s="41">
        <f t="shared" si="11"/>
        <v>0</v>
      </c>
      <c r="W33" s="41">
        <f t="shared" si="11"/>
        <v>0</v>
      </c>
      <c r="X33" s="41">
        <f t="shared" si="11"/>
        <v>0</v>
      </c>
      <c r="Y33" s="41">
        <f t="shared" si="11"/>
        <v>0</v>
      </c>
      <c r="Z33" s="41">
        <f t="shared" si="11"/>
        <v>0</v>
      </c>
    </row>
    <row r="34" spans="2:26" x14ac:dyDescent="0.2">
      <c r="B34" s="32" t="s">
        <v>247</v>
      </c>
      <c r="C34" s="32"/>
      <c r="D34" s="41"/>
      <c r="E34" s="41"/>
      <c r="F34" s="41">
        <f>+F35*'Assumptions and Sensis'!$H$111</f>
        <v>0</v>
      </c>
      <c r="G34" s="41">
        <f>+G35*'Assumptions and Sensis'!$H$111</f>
        <v>0</v>
      </c>
      <c r="H34" s="41">
        <f>+H35*'Assumptions and Sensis'!$H$111</f>
        <v>0</v>
      </c>
      <c r="I34" s="41">
        <f>+I35*'Assumptions and Sensis'!$H$111</f>
        <v>250.00063067863113</v>
      </c>
      <c r="J34" s="41">
        <f>+J35*'Assumptions and Sensis'!$H$111</f>
        <v>500.00126135726225</v>
      </c>
      <c r="K34" s="41">
        <f>+K35*'Assumptions and Sensis'!$H$111</f>
        <v>500.00126135726225</v>
      </c>
      <c r="L34" s="41">
        <f>+L35*'Assumptions and Sensis'!$H$111</f>
        <v>500.00126135726225</v>
      </c>
      <c r="M34" s="41">
        <f>+M35*'Assumptions and Sensis'!$H$111</f>
        <v>500.00126135726225</v>
      </c>
      <c r="N34" s="41">
        <f>+N35*'Assumptions and Sensis'!$H$111</f>
        <v>500.00126135726225</v>
      </c>
      <c r="O34" s="41">
        <f>+O35*'Assumptions and Sensis'!$H$111</f>
        <v>500.00126135726225</v>
      </c>
      <c r="P34" s="41">
        <f>+P35*'Assumptions and Sensis'!$H$111</f>
        <v>500.00126135726225</v>
      </c>
      <c r="Q34" s="41">
        <f>+Q35*'Assumptions and Sensis'!$H$111</f>
        <v>500.00126135726225</v>
      </c>
      <c r="R34" s="41">
        <f>+R35*'Assumptions and Sensis'!$H$111</f>
        <v>500.00126135726225</v>
      </c>
      <c r="S34" s="41">
        <f>+S35*'Assumptions and Sensis'!$H$111</f>
        <v>500.00126135726225</v>
      </c>
      <c r="T34" s="41">
        <f>+T35*'Assumptions and Sensis'!$H$111</f>
        <v>500.00126135726225</v>
      </c>
      <c r="U34" s="41">
        <f>+U35*'Assumptions and Sensis'!$H$111</f>
        <v>500.00126135726225</v>
      </c>
      <c r="V34" s="41">
        <f>+V35*'Assumptions and Sensis'!$H$111</f>
        <v>500.00126135726225</v>
      </c>
      <c r="W34" s="41">
        <f>+W35*'Assumptions and Sensis'!$H$111</f>
        <v>500.00126135726225</v>
      </c>
      <c r="X34" s="41">
        <f>+X35*'Assumptions and Sensis'!$H$111</f>
        <v>500.00126135726225</v>
      </c>
      <c r="Y34" s="41">
        <f>+Y35*'Assumptions and Sensis'!$H$111</f>
        <v>500.00126135726225</v>
      </c>
      <c r="Z34" s="41">
        <f>+Z35*'Assumptions and Sensis'!$H$111</f>
        <v>500.00126135726225</v>
      </c>
    </row>
    <row r="35" spans="2:26" x14ac:dyDescent="0.2">
      <c r="B35" s="32" t="s">
        <v>301</v>
      </c>
      <c r="C35" s="32"/>
      <c r="D35" s="41"/>
      <c r="E35" s="41"/>
      <c r="F35" s="107">
        <f>+F32/SUM($F31:$Z31)</f>
        <v>0</v>
      </c>
      <c r="G35" s="107">
        <f t="shared" ref="G35:Z35" si="12">+G32/SUM($F31:$Z31)</f>
        <v>0</v>
      </c>
      <c r="H35" s="107">
        <f t="shared" si="12"/>
        <v>0</v>
      </c>
      <c r="I35" s="107">
        <f t="shared" si="12"/>
        <v>0.5</v>
      </c>
      <c r="J35" s="107">
        <f t="shared" si="12"/>
        <v>1</v>
      </c>
      <c r="K35" s="107">
        <f t="shared" si="12"/>
        <v>1</v>
      </c>
      <c r="L35" s="107">
        <f t="shared" si="12"/>
        <v>1</v>
      </c>
      <c r="M35" s="107">
        <f t="shared" si="12"/>
        <v>1</v>
      </c>
      <c r="N35" s="107">
        <f t="shared" si="12"/>
        <v>1</v>
      </c>
      <c r="O35" s="107">
        <f t="shared" si="12"/>
        <v>1</v>
      </c>
      <c r="P35" s="107">
        <f t="shared" si="12"/>
        <v>1</v>
      </c>
      <c r="Q35" s="107">
        <f t="shared" si="12"/>
        <v>1</v>
      </c>
      <c r="R35" s="107">
        <f t="shared" si="12"/>
        <v>1</v>
      </c>
      <c r="S35" s="107">
        <f t="shared" si="12"/>
        <v>1</v>
      </c>
      <c r="T35" s="107">
        <f t="shared" si="12"/>
        <v>1</v>
      </c>
      <c r="U35" s="107">
        <f t="shared" si="12"/>
        <v>1</v>
      </c>
      <c r="V35" s="107">
        <f t="shared" si="12"/>
        <v>1</v>
      </c>
      <c r="W35" s="107">
        <f t="shared" si="12"/>
        <v>1</v>
      </c>
      <c r="X35" s="107">
        <f t="shared" si="12"/>
        <v>1</v>
      </c>
      <c r="Y35" s="107">
        <f t="shared" si="12"/>
        <v>1</v>
      </c>
      <c r="Z35" s="107">
        <f t="shared" si="12"/>
        <v>1</v>
      </c>
    </row>
    <row r="36" spans="2:26" x14ac:dyDescent="0.2">
      <c r="B36" s="32"/>
      <c r="C36" s="32"/>
      <c r="D36" s="39"/>
      <c r="E36" s="39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 spans="2:26" x14ac:dyDescent="0.2">
      <c r="B37" s="32" t="s">
        <v>251</v>
      </c>
      <c r="C37" s="32"/>
      <c r="D37" s="41"/>
      <c r="E37" s="41"/>
      <c r="F37" s="107">
        <v>1</v>
      </c>
      <c r="G37" s="107">
        <f>+F37*(1+'Assumptions and Sensis'!$P$86)</f>
        <v>1.03</v>
      </c>
      <c r="H37" s="107">
        <f>+G37*(1+'Assumptions and Sensis'!$P$86)</f>
        <v>1.0609</v>
      </c>
      <c r="I37" s="107">
        <f>+H37*(1+'Assumptions and Sensis'!$P$86)</f>
        <v>1.092727</v>
      </c>
      <c r="J37" s="107">
        <f>+I37*(1+'Assumptions and Sensis'!$P$86)</f>
        <v>1.1255088100000001</v>
      </c>
      <c r="K37" s="107">
        <f>+J37*(1+'Assumptions and Sensis'!$P$86)</f>
        <v>1.1592740743000001</v>
      </c>
      <c r="L37" s="107">
        <f>+K37*(1+'Assumptions and Sensis'!$P$86)</f>
        <v>1.1940522965290001</v>
      </c>
      <c r="M37" s="107">
        <f>+L37*(1+'Assumptions and Sensis'!$P$86)</f>
        <v>1.2298738654248702</v>
      </c>
      <c r="N37" s="107">
        <f>+M37*(1+'Assumptions and Sensis'!$P$86)</f>
        <v>1.2667700813876164</v>
      </c>
      <c r="O37" s="107">
        <f>+N37*(1+'Assumptions and Sensis'!$P$86)</f>
        <v>1.3047731838292449</v>
      </c>
      <c r="P37" s="107">
        <f>+O37*(1+'Assumptions and Sensis'!$P$86)</f>
        <v>1.3439163793441222</v>
      </c>
      <c r="Q37" s="107">
        <f>+P37*(1+'Assumptions and Sensis'!$P$86)</f>
        <v>1.3842338707244459</v>
      </c>
      <c r="R37" s="107">
        <f>+Q37*(1+'Assumptions and Sensis'!$P$86)</f>
        <v>1.4257608868461793</v>
      </c>
      <c r="S37" s="107">
        <f>+R37*(1+'Assumptions and Sensis'!$P$86)</f>
        <v>1.4685337134515648</v>
      </c>
      <c r="T37" s="107">
        <f>+S37*(1+'Assumptions and Sensis'!$P$86)</f>
        <v>1.5125897248551119</v>
      </c>
      <c r="U37" s="107">
        <f>+T37*(1+'Assumptions and Sensis'!$P$86)</f>
        <v>1.5579674166007653</v>
      </c>
      <c r="V37" s="107">
        <f>+U37*(1+'Assumptions and Sensis'!$P$86)</f>
        <v>1.6047064390987884</v>
      </c>
      <c r="W37" s="107">
        <f>+V37*(1+'Assumptions and Sensis'!$P$86)</f>
        <v>1.652847632271752</v>
      </c>
      <c r="X37" s="107">
        <f>+W37*(1+'Assumptions and Sensis'!$P$86)</f>
        <v>1.7024330612399046</v>
      </c>
      <c r="Y37" s="107">
        <f>+X37*(1+'Assumptions and Sensis'!$P$86)</f>
        <v>1.7535060530771018</v>
      </c>
      <c r="Z37" s="107">
        <f>+Y37*(1+'Assumptions and Sensis'!$P$86)</f>
        <v>1.806111234669415</v>
      </c>
    </row>
    <row r="38" spans="2:26" x14ac:dyDescent="0.2">
      <c r="B38" s="32" t="s">
        <v>252</v>
      </c>
      <c r="C38" s="32"/>
      <c r="D38" s="41"/>
      <c r="E38" s="41"/>
      <c r="F38" s="107">
        <v>1</v>
      </c>
      <c r="G38" s="107">
        <f>+F38*(1+'Assumptions and Sensis'!$P$99)</f>
        <v>1.03</v>
      </c>
      <c r="H38" s="107">
        <f>+G38*(1+'Assumptions and Sensis'!$P$99)</f>
        <v>1.0609</v>
      </c>
      <c r="I38" s="107">
        <f>+H38*(1+'Assumptions and Sensis'!$P$99)</f>
        <v>1.092727</v>
      </c>
      <c r="J38" s="107">
        <f>+I38*(1+'Assumptions and Sensis'!$P$99)</f>
        <v>1.1255088100000001</v>
      </c>
      <c r="K38" s="107">
        <f>+J38*(1+'Assumptions and Sensis'!$P$99)</f>
        <v>1.1592740743000001</v>
      </c>
      <c r="L38" s="107">
        <f>+K38*(1+'Assumptions and Sensis'!$P$99)</f>
        <v>1.1940522965290001</v>
      </c>
      <c r="M38" s="107">
        <f>+L38*(1+'Assumptions and Sensis'!$P$99)</f>
        <v>1.2298738654248702</v>
      </c>
      <c r="N38" s="107">
        <f>+M38*(1+'Assumptions and Sensis'!$P$99)</f>
        <v>1.2667700813876164</v>
      </c>
      <c r="O38" s="107">
        <f>+N38*(1+'Assumptions and Sensis'!$P$99)</f>
        <v>1.3047731838292449</v>
      </c>
      <c r="P38" s="107">
        <f>+O38*(1+'Assumptions and Sensis'!$P$99)</f>
        <v>1.3439163793441222</v>
      </c>
      <c r="Q38" s="107">
        <f>+P38*(1+'Assumptions and Sensis'!$P$99)</f>
        <v>1.3842338707244459</v>
      </c>
      <c r="R38" s="107">
        <f>+Q38*(1+'Assumptions and Sensis'!$P$99)</f>
        <v>1.4257608868461793</v>
      </c>
      <c r="S38" s="107">
        <f>+R38*(1+'Assumptions and Sensis'!$P$99)</f>
        <v>1.4685337134515648</v>
      </c>
      <c r="T38" s="107">
        <f>+S38*(1+'Assumptions and Sensis'!$P$99)</f>
        <v>1.5125897248551119</v>
      </c>
      <c r="U38" s="107">
        <f>+T38*(1+'Assumptions and Sensis'!$P$99)</f>
        <v>1.5579674166007653</v>
      </c>
      <c r="V38" s="107">
        <f>+U38*(1+'Assumptions and Sensis'!$P$99)</f>
        <v>1.6047064390987884</v>
      </c>
      <c r="W38" s="107">
        <f>+V38*(1+'Assumptions and Sensis'!$P$99)</f>
        <v>1.652847632271752</v>
      </c>
      <c r="X38" s="107">
        <f>+W38*(1+'Assumptions and Sensis'!$P$99)</f>
        <v>1.7024330612399046</v>
      </c>
      <c r="Y38" s="107">
        <f>+X38*(1+'Assumptions and Sensis'!$P$99)</f>
        <v>1.7535060530771018</v>
      </c>
      <c r="Z38" s="107">
        <f>+Y38*(1+'Assumptions and Sensis'!$P$99)</f>
        <v>1.806111234669415</v>
      </c>
    </row>
    <row r="39" spans="2:26" x14ac:dyDescent="0.2">
      <c r="B39" s="32"/>
      <c r="C39" s="32"/>
      <c r="D39" s="39"/>
      <c r="E39" s="39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 spans="2:26" x14ac:dyDescent="0.2">
      <c r="B40" s="32" t="s">
        <v>243</v>
      </c>
      <c r="C40" s="32"/>
      <c r="D40" s="39"/>
      <c r="E40" s="39"/>
      <c r="F40" s="33">
        <f>+F35*'Assumptions and Sensis'!$H$109*F37</f>
        <v>0</v>
      </c>
      <c r="G40" s="33">
        <f>+G35*'Assumptions and Sensis'!$H$109*G37</f>
        <v>0</v>
      </c>
      <c r="H40" s="33">
        <f>+H35*'Assumptions and Sensis'!$H$109*H37</f>
        <v>0</v>
      </c>
      <c r="I40" s="33">
        <f>+I35*'Assumptions and Sensis'!$H$109*I37</f>
        <v>6232718.6983090518</v>
      </c>
      <c r="J40" s="33">
        <f>+J35*'Assumptions and Sensis'!$H$109*J37</f>
        <v>12839400.518516649</v>
      </c>
      <c r="K40" s="33">
        <f>+K35*'Assumptions and Sensis'!$H$109*K37</f>
        <v>13224582.534072148</v>
      </c>
      <c r="L40" s="33">
        <f>+L35*'Assumptions and Sensis'!$H$109*L37</f>
        <v>13621320.010094313</v>
      </c>
      <c r="M40" s="33">
        <f>+M35*'Assumptions and Sensis'!$H$109*M37</f>
        <v>14029959.610397143</v>
      </c>
      <c r="N40" s="33">
        <f>+N35*'Assumptions and Sensis'!$H$109*N37</f>
        <v>14450858.398709057</v>
      </c>
      <c r="O40" s="33">
        <f>+O35*'Assumptions and Sensis'!$H$109*O37</f>
        <v>14884384.150670329</v>
      </c>
      <c r="P40" s="33">
        <f>+P35*'Assumptions and Sensis'!$H$109*P37</f>
        <v>15330915.675190439</v>
      </c>
      <c r="Q40" s="33">
        <f>+Q35*'Assumptions and Sensis'!$H$109*Q37</f>
        <v>15790843.145446153</v>
      </c>
      <c r="R40" s="33">
        <f>+R35*'Assumptions and Sensis'!$H$109*R37</f>
        <v>16264568.439809538</v>
      </c>
      <c r="S40" s="33">
        <f>+S35*'Assumptions and Sensis'!$H$109*S37</f>
        <v>16752505.493003825</v>
      </c>
      <c r="T40" s="33">
        <f>+T35*'Assumptions and Sensis'!$H$109*T37</f>
        <v>17255080.657793943</v>
      </c>
      <c r="U40" s="33">
        <f>+U35*'Assumptions and Sensis'!$H$109*U37</f>
        <v>17772733.077527761</v>
      </c>
      <c r="V40" s="33">
        <f>+V35*'Assumptions and Sensis'!$H$109*V37</f>
        <v>18305915.069853596</v>
      </c>
      <c r="W40" s="33">
        <f>+W35*'Assumptions and Sensis'!$H$109*W37</f>
        <v>18855092.521949202</v>
      </c>
      <c r="X40" s="33">
        <f>+X35*'Assumptions and Sensis'!$H$109*X37</f>
        <v>19420745.297607679</v>
      </c>
      <c r="Y40" s="33">
        <f>+Y35*'Assumptions and Sensis'!$H$109*Y37</f>
        <v>20003367.656535909</v>
      </c>
      <c r="Z40" s="33">
        <f>+Z35*'Assumptions and Sensis'!$H$109*Z37</f>
        <v>20603468.686231989</v>
      </c>
    </row>
    <row r="41" spans="2:26" x14ac:dyDescent="0.2">
      <c r="B41" s="32" t="s">
        <v>244</v>
      </c>
      <c r="C41" s="32"/>
      <c r="D41" s="39"/>
      <c r="E41" s="39"/>
      <c r="F41" s="41">
        <f>-F40*'Assumptions and Sensis'!$P$76</f>
        <v>0</v>
      </c>
      <c r="G41" s="41">
        <f>-G40*'Assumptions and Sensis'!$P$76</f>
        <v>0</v>
      </c>
      <c r="H41" s="41">
        <f>-H40*'Assumptions and Sensis'!$P$76</f>
        <v>0</v>
      </c>
      <c r="I41" s="41">
        <f>-I40*'Assumptions and Sensis'!$P$76</f>
        <v>-311635.93491545261</v>
      </c>
      <c r="J41" s="41">
        <f>-J40*'Assumptions and Sensis'!$P$76</f>
        <v>-641970.02592583245</v>
      </c>
      <c r="K41" s="41">
        <f>-K40*'Assumptions and Sensis'!$P$76</f>
        <v>-661229.12670360738</v>
      </c>
      <c r="L41" s="41">
        <f>-L40*'Assumptions and Sensis'!$P$76</f>
        <v>-681066.00050471572</v>
      </c>
      <c r="M41" s="41">
        <f>-M40*'Assumptions and Sensis'!$P$76</f>
        <v>-701497.98051985726</v>
      </c>
      <c r="N41" s="41">
        <f>-N40*'Assumptions and Sensis'!$P$76</f>
        <v>-722542.91993545287</v>
      </c>
      <c r="O41" s="41">
        <f>-O40*'Assumptions and Sensis'!$P$76</f>
        <v>-744219.20753351646</v>
      </c>
      <c r="P41" s="41">
        <f>-P40*'Assumptions and Sensis'!$P$76</f>
        <v>-766545.78375952202</v>
      </c>
      <c r="Q41" s="41">
        <f>-Q40*'Assumptions and Sensis'!$P$76</f>
        <v>-789542.15727230767</v>
      </c>
      <c r="R41" s="41">
        <f>-R40*'Assumptions and Sensis'!$P$76</f>
        <v>-813228.42199047701</v>
      </c>
      <c r="S41" s="41">
        <f>-S40*'Assumptions and Sensis'!$P$76</f>
        <v>-837625.27465019131</v>
      </c>
      <c r="T41" s="41">
        <f>-T40*'Assumptions and Sensis'!$P$76</f>
        <v>-862754.03288969724</v>
      </c>
      <c r="U41" s="41">
        <f>-U40*'Assumptions and Sensis'!$P$76</f>
        <v>-888636.6538763881</v>
      </c>
      <c r="V41" s="41">
        <f>-V40*'Assumptions and Sensis'!$P$76</f>
        <v>-915295.75349267991</v>
      </c>
      <c r="W41" s="41">
        <f>-W40*'Assumptions and Sensis'!$P$76</f>
        <v>-942754.62609746016</v>
      </c>
      <c r="X41" s="41">
        <f>-X40*'Assumptions and Sensis'!$P$76</f>
        <v>-971037.26488038397</v>
      </c>
      <c r="Y41" s="41">
        <f>-Y40*'Assumptions and Sensis'!$P$76</f>
        <v>-1000168.3828267955</v>
      </c>
      <c r="Z41" s="41">
        <f>-Z40*'Assumptions and Sensis'!$P$76</f>
        <v>-1030173.4343115995</v>
      </c>
    </row>
    <row r="42" spans="2:26" x14ac:dyDescent="0.2">
      <c r="B42" s="32" t="s">
        <v>344</v>
      </c>
      <c r="C42" s="32"/>
      <c r="D42" s="39"/>
      <c r="E42" s="39"/>
      <c r="F42" s="150">
        <f>+F34*'Assumptions and Sensis'!$H$117*(1-'Assumptions and Sensis'!$P$76)*12</f>
        <v>0</v>
      </c>
      <c r="G42" s="150">
        <f>+G34*'Assumptions and Sensis'!$H$117*(1-'Assumptions and Sensis'!$P$76)*12</f>
        <v>0</v>
      </c>
      <c r="H42" s="150">
        <f>+H34*'Assumptions and Sensis'!$H$117*(1-'Assumptions and Sensis'!$P$76)*12</f>
        <v>0</v>
      </c>
      <c r="I42" s="150">
        <f>+I34*'Assumptions and Sensis'!$H$117*(1-'Assumptions and Sensis'!$P$76)*12</f>
        <v>156750.3954355017</v>
      </c>
      <c r="J42" s="150">
        <f>+J34*'Assumptions and Sensis'!$H$117*(1-'Assumptions and Sensis'!$P$76)*12</f>
        <v>313500.79087100341</v>
      </c>
      <c r="K42" s="150">
        <f>+K34*'Assumptions and Sensis'!$H$117*(1-'Assumptions and Sensis'!$P$76)*12</f>
        <v>313500.79087100341</v>
      </c>
      <c r="L42" s="150">
        <f>+L34*'Assumptions and Sensis'!$H$117*(1-'Assumptions and Sensis'!$P$76)*12</f>
        <v>313500.79087100341</v>
      </c>
      <c r="M42" s="150">
        <f>+M34*'Assumptions and Sensis'!$H$117*(1-'Assumptions and Sensis'!$P$76)*12</f>
        <v>313500.79087100341</v>
      </c>
      <c r="N42" s="150">
        <f>+N34*'Assumptions and Sensis'!$H$117*(1-'Assumptions and Sensis'!$P$76)*12</f>
        <v>313500.79087100341</v>
      </c>
      <c r="O42" s="150">
        <f>+O34*'Assumptions and Sensis'!$H$117*(1-'Assumptions and Sensis'!$P$76)*12</f>
        <v>313500.79087100341</v>
      </c>
      <c r="P42" s="150">
        <f>+P34*'Assumptions and Sensis'!$H$117*(1-'Assumptions and Sensis'!$P$76)*12</f>
        <v>313500.79087100341</v>
      </c>
      <c r="Q42" s="150">
        <f>+Q34*'Assumptions and Sensis'!$H$117*(1-'Assumptions and Sensis'!$P$76)*12</f>
        <v>313500.79087100341</v>
      </c>
      <c r="R42" s="150">
        <f>+R34*'Assumptions and Sensis'!$H$117*(1-'Assumptions and Sensis'!$P$76)*12</f>
        <v>313500.79087100341</v>
      </c>
      <c r="S42" s="150">
        <f>+S34*'Assumptions and Sensis'!$H$117*(1-'Assumptions and Sensis'!$P$76)*12</f>
        <v>313500.79087100341</v>
      </c>
      <c r="T42" s="150">
        <f>+T34*'Assumptions and Sensis'!$H$117*(1-'Assumptions and Sensis'!$P$76)*12</f>
        <v>313500.79087100341</v>
      </c>
      <c r="U42" s="150">
        <f>+U34*'Assumptions and Sensis'!$H$117*(1-'Assumptions and Sensis'!$P$76)*12</f>
        <v>313500.79087100341</v>
      </c>
      <c r="V42" s="150">
        <f>+V34*'Assumptions and Sensis'!$H$117*(1-'Assumptions and Sensis'!$P$76)*12</f>
        <v>313500.79087100341</v>
      </c>
      <c r="W42" s="150">
        <f>+W34*'Assumptions and Sensis'!$H$117*(1-'Assumptions and Sensis'!$P$76)*12</f>
        <v>313500.79087100341</v>
      </c>
      <c r="X42" s="150">
        <f>+X34*'Assumptions and Sensis'!$H$117*(1-'Assumptions and Sensis'!$P$76)*12</f>
        <v>313500.79087100341</v>
      </c>
      <c r="Y42" s="150">
        <f>+Y34*'Assumptions and Sensis'!$H$117*(1-'Assumptions and Sensis'!$P$76)*12</f>
        <v>313500.79087100341</v>
      </c>
      <c r="Z42" s="150">
        <f>+Z34*'Assumptions and Sensis'!$H$117*(1-'Assumptions and Sensis'!$P$76)*12</f>
        <v>313500.79087100341</v>
      </c>
    </row>
    <row r="43" spans="2:26" x14ac:dyDescent="0.2">
      <c r="B43" s="136" t="s">
        <v>253</v>
      </c>
      <c r="C43" s="136"/>
      <c r="D43" s="136"/>
      <c r="E43" s="136"/>
      <c r="F43" s="128">
        <f t="shared" ref="F43:Z43" si="13">+SUM(F40:F42)</f>
        <v>0</v>
      </c>
      <c r="G43" s="128">
        <f t="shared" si="13"/>
        <v>0</v>
      </c>
      <c r="H43" s="128">
        <f t="shared" si="13"/>
        <v>0</v>
      </c>
      <c r="I43" s="128">
        <f t="shared" si="13"/>
        <v>6077833.1588291014</v>
      </c>
      <c r="J43" s="128">
        <f t="shared" si="13"/>
        <v>12510931.28346182</v>
      </c>
      <c r="K43" s="128">
        <f t="shared" si="13"/>
        <v>12876854.198239544</v>
      </c>
      <c r="L43" s="128">
        <f t="shared" si="13"/>
        <v>13253754.800460601</v>
      </c>
      <c r="M43" s="128">
        <f t="shared" si="13"/>
        <v>13641962.42074829</v>
      </c>
      <c r="N43" s="128">
        <f t="shared" si="13"/>
        <v>14041816.269644607</v>
      </c>
      <c r="O43" s="128">
        <f t="shared" si="13"/>
        <v>14453665.734007817</v>
      </c>
      <c r="P43" s="128">
        <f t="shared" si="13"/>
        <v>14877870.682301922</v>
      </c>
      <c r="Q43" s="128">
        <f t="shared" si="13"/>
        <v>15314801.77904485</v>
      </c>
      <c r="R43" s="128">
        <f t="shared" si="13"/>
        <v>15764840.808690066</v>
      </c>
      <c r="S43" s="128">
        <f t="shared" si="13"/>
        <v>16228381.009224636</v>
      </c>
      <c r="T43" s="128">
        <f t="shared" si="13"/>
        <v>16705827.415775249</v>
      </c>
      <c r="U43" s="128">
        <f t="shared" si="13"/>
        <v>17197597.214522377</v>
      </c>
      <c r="V43" s="128">
        <f t="shared" si="13"/>
        <v>17704120.107231919</v>
      </c>
      <c r="W43" s="128">
        <f t="shared" si="13"/>
        <v>18225838.686722744</v>
      </c>
      <c r="X43" s="128">
        <f t="shared" si="13"/>
        <v>18763208.823598295</v>
      </c>
      <c r="Y43" s="128">
        <f t="shared" si="13"/>
        <v>19316700.064580116</v>
      </c>
      <c r="Z43" s="128">
        <f t="shared" si="13"/>
        <v>19886796.042791393</v>
      </c>
    </row>
    <row r="45" spans="2:26" x14ac:dyDescent="0.2">
      <c r="B45" s="32" t="s">
        <v>389</v>
      </c>
      <c r="F45" s="33">
        <f>+F34*'Assumptions and Sensis'!$P$118*F38</f>
        <v>0</v>
      </c>
      <c r="G45" s="33">
        <f>+G34*'Assumptions and Sensis'!$P$118*G38</f>
        <v>0</v>
      </c>
      <c r="H45" s="33">
        <f>+H34*'Assumptions and Sensis'!$P$118*H38</f>
        <v>0</v>
      </c>
      <c r="I45" s="33">
        <f>+I34*'Assumptions and Sensis'!$P$118*I38</f>
        <v>1774208.7461613624</v>
      </c>
      <c r="J45" s="33">
        <f>+J34*'Assumptions and Sensis'!$P$118*J38</f>
        <v>3654870.0170924067</v>
      </c>
      <c r="K45" s="33">
        <f>+K34*'Assumptions and Sensis'!$P$118*K38</f>
        <v>3764516.1176051786</v>
      </c>
      <c r="L45" s="33">
        <f>+L34*'Assumptions and Sensis'!$P$118*L38</f>
        <v>3877451.6011333345</v>
      </c>
      <c r="M45" s="33">
        <f>+M34*'Assumptions and Sensis'!$P$118*M38</f>
        <v>3993775.1491673347</v>
      </c>
      <c r="N45" s="33">
        <f>+N34*'Assumptions and Sensis'!$P$118*N38</f>
        <v>4113588.403642355</v>
      </c>
      <c r="O45" s="33">
        <f>+O34*'Assumptions and Sensis'!$P$118*O38</f>
        <v>4236996.0557516254</v>
      </c>
      <c r="P45" s="33">
        <f>+P34*'Assumptions and Sensis'!$P$118*P38</f>
        <v>4364105.9374241745</v>
      </c>
      <c r="Q45" s="33">
        <f>+Q34*'Assumptions and Sensis'!$P$118*Q38</f>
        <v>4495029.1155468998</v>
      </c>
      <c r="R45" s="33">
        <f>+R34*'Assumptions and Sensis'!$P$118*R38</f>
        <v>4629879.9890133068</v>
      </c>
      <c r="S45" s="33">
        <f>+S34*'Assumptions and Sensis'!$P$118*S38</f>
        <v>4768776.3886837065</v>
      </c>
      <c r="T45" s="33">
        <f>+T34*'Assumptions and Sensis'!$P$118*T38</f>
        <v>4911839.6803442175</v>
      </c>
      <c r="U45" s="33">
        <f>+U34*'Assumptions and Sensis'!$P$118*U38</f>
        <v>5059194.8707545446</v>
      </c>
      <c r="V45" s="33">
        <f>+V34*'Assumptions and Sensis'!$P$118*V38</f>
        <v>5210970.7168771811</v>
      </c>
      <c r="W45" s="33">
        <f>+W34*'Assumptions and Sensis'!$P$118*W38</f>
        <v>5367299.8383834967</v>
      </c>
      <c r="X45" s="33">
        <f>+X34*'Assumptions and Sensis'!$P$118*X38</f>
        <v>5528318.8335350016</v>
      </c>
      <c r="Y45" s="33">
        <f>+Y34*'Assumptions and Sensis'!$P$118*Y38</f>
        <v>5694168.3985410519</v>
      </c>
      <c r="Z45" s="33">
        <f>+Z34*'Assumptions and Sensis'!$P$118*Z38</f>
        <v>5864993.4504972845</v>
      </c>
    </row>
    <row r="46" spans="2:26" x14ac:dyDescent="0.2">
      <c r="B46" s="32" t="s">
        <v>325</v>
      </c>
      <c r="F46" s="150">
        <f ca="1">+IFERROR(INDEX('Taxes and TIF'!$AR$11:$AR$45,MATCH('Phase III Pro Forma'!F$7,'Taxes and TIF'!$AG$11:$AG$45,0)),0)*'Loan Sizing'!$M$18*F35</f>
        <v>0</v>
      </c>
      <c r="G46" s="150">
        <f ca="1">+IFERROR(INDEX('Taxes and TIF'!$AR$11:$AR$45,MATCH('Phase III Pro Forma'!G$7,'Taxes and TIF'!$AG$11:$AG$45,0)),0)*'Loan Sizing'!$M$18*G35</f>
        <v>0</v>
      </c>
      <c r="H46" s="150">
        <f ca="1">+IFERROR(INDEX('Taxes and TIF'!$AR$11:$AR$45,MATCH('Phase III Pro Forma'!H$7,'Taxes and TIF'!$AG$11:$AG$45,0)),0)*'Loan Sizing'!$M$18*H35</f>
        <v>0</v>
      </c>
      <c r="I46" s="150">
        <f ca="1">+IFERROR(INDEX('Taxes and TIF'!$AR$11:$AR$45,MATCH('Phase III Pro Forma'!I$7,'Taxes and TIF'!$AG$11:$AG$45,0)),0)*'Loan Sizing'!$M$18*I35</f>
        <v>1071131.5961950952</v>
      </c>
      <c r="J46" s="150">
        <f ca="1">+IFERROR(INDEX('Taxes and TIF'!$AR$11:$AR$45,MATCH('Phase III Pro Forma'!J$7,'Taxes and TIF'!$AG$11:$AG$45,0)),0)*'Loan Sizing'!$M$18*J35</f>
        <v>2185108.4562379946</v>
      </c>
      <c r="K46" s="150">
        <f ca="1">+IFERROR(INDEX('Taxes and TIF'!$AR$11:$AR$45,MATCH('Phase III Pro Forma'!K$7,'Taxes and TIF'!$AG$11:$AG$45,0)),0)*'Loan Sizing'!$M$18*K35</f>
        <v>2185108.4562379946</v>
      </c>
      <c r="L46" s="150">
        <f ca="1">+IFERROR(INDEX('Taxes and TIF'!$AR$11:$AR$45,MATCH('Phase III Pro Forma'!L$7,'Taxes and TIF'!$AG$11:$AG$45,0)),0)*'Loan Sizing'!$M$18*L35</f>
        <v>2185108.4562379946</v>
      </c>
      <c r="M46" s="150">
        <f ca="1">+IFERROR(INDEX('Taxes and TIF'!$AR$11:$AR$45,MATCH('Phase III Pro Forma'!M$7,'Taxes and TIF'!$AG$11:$AG$45,0)),0)*'Loan Sizing'!$M$18*M35</f>
        <v>2228810.6253627543</v>
      </c>
      <c r="N46" s="150">
        <f ca="1">+IFERROR(INDEX('Taxes and TIF'!$AR$11:$AR$45,MATCH('Phase III Pro Forma'!N$7,'Taxes and TIF'!$AG$11:$AG$45,0)),0)*'Loan Sizing'!$M$18*N35</f>
        <v>2228810.6253627543</v>
      </c>
      <c r="O46" s="150">
        <f ca="1">+IFERROR(INDEX('Taxes and TIF'!$AR$11:$AR$45,MATCH('Phase III Pro Forma'!O$7,'Taxes and TIF'!$AG$11:$AG$45,0)),0)*'Loan Sizing'!$M$18*O35</f>
        <v>2228810.6253627543</v>
      </c>
      <c r="P46" s="150">
        <f ca="1">+IFERROR(INDEX('Taxes and TIF'!$AR$11:$AR$45,MATCH('Phase III Pro Forma'!P$7,'Taxes and TIF'!$AG$11:$AG$45,0)),0)*'Loan Sizing'!$M$18*P35</f>
        <v>2273386.8378700097</v>
      </c>
      <c r="Q46" s="150">
        <f ca="1">+IFERROR(INDEX('Taxes and TIF'!$AR$11:$AR$45,MATCH('Phase III Pro Forma'!Q$7,'Taxes and TIF'!$AG$11:$AG$45,0)),0)*'Loan Sizing'!$M$18*Q35</f>
        <v>2273386.8378700097</v>
      </c>
      <c r="R46" s="150">
        <f ca="1">+IFERROR(INDEX('Taxes and TIF'!$AR$11:$AR$45,MATCH('Phase III Pro Forma'!R$7,'Taxes and TIF'!$AG$11:$AG$45,0)),0)*'Loan Sizing'!$M$18*R35</f>
        <v>2273386.8378700097</v>
      </c>
      <c r="S46" s="150">
        <f ca="1">+IFERROR(INDEX('Taxes and TIF'!$AR$11:$AR$45,MATCH('Phase III Pro Forma'!S$7,'Taxes and TIF'!$AG$11:$AG$45,0)),0)*'Loan Sizing'!$M$18*S35</f>
        <v>2318854.5746274097</v>
      </c>
      <c r="T46" s="150">
        <f ca="1">+IFERROR(INDEX('Taxes and TIF'!$AR$11:$AR$45,MATCH('Phase III Pro Forma'!T$7,'Taxes and TIF'!$AG$11:$AG$45,0)),0)*'Loan Sizing'!$M$18*T35</f>
        <v>2318854.5746274097</v>
      </c>
      <c r="U46" s="150">
        <f ca="1">+IFERROR(INDEX('Taxes and TIF'!$AR$11:$AR$45,MATCH('Phase III Pro Forma'!U$7,'Taxes and TIF'!$AG$11:$AG$45,0)),0)*'Loan Sizing'!$M$18*U35</f>
        <v>2318854.5746274097</v>
      </c>
      <c r="V46" s="150">
        <f ca="1">+IFERROR(INDEX('Taxes and TIF'!$AR$11:$AR$45,MATCH('Phase III Pro Forma'!V$7,'Taxes and TIF'!$AG$11:$AG$45,0)),0)*'Loan Sizing'!$M$18*V35</f>
        <v>2365231.6661199583</v>
      </c>
      <c r="W46" s="150">
        <f ca="1">+IFERROR(INDEX('Taxes and TIF'!$AR$11:$AR$45,MATCH('Phase III Pro Forma'!W$7,'Taxes and TIF'!$AG$11:$AG$45,0)),0)*'Loan Sizing'!$M$18*W35</f>
        <v>2365231.6661199583</v>
      </c>
      <c r="X46" s="150">
        <f ca="1">+IFERROR(INDEX('Taxes and TIF'!$AR$11:$AR$45,MATCH('Phase III Pro Forma'!X$7,'Taxes and TIF'!$AG$11:$AG$45,0)),0)*'Loan Sizing'!$M$18*X35</f>
        <v>2365231.6661199583</v>
      </c>
      <c r="Y46" s="150">
        <f ca="1">+IFERROR(INDEX('Taxes and TIF'!$AR$11:$AR$45,MATCH('Phase III Pro Forma'!Y$7,'Taxes and TIF'!$AG$11:$AG$45,0)),0)*'Loan Sizing'!$M$18*Y35</f>
        <v>2412536.2994423574</v>
      </c>
      <c r="Z46" s="150">
        <f ca="1">+IFERROR(INDEX('Taxes and TIF'!$AR$11:$AR$45,MATCH('Phase III Pro Forma'!Z$7,'Taxes and TIF'!$AG$11:$AG$45,0)),0)*'Loan Sizing'!$M$18*Z35</f>
        <v>2412536.2994423574</v>
      </c>
    </row>
    <row r="47" spans="2:26" x14ac:dyDescent="0.2">
      <c r="B47" s="136" t="s">
        <v>249</v>
      </c>
      <c r="C47" s="136"/>
      <c r="D47" s="136"/>
      <c r="E47" s="136"/>
      <c r="F47" s="128">
        <f ca="1">+SUM(F45:F46)</f>
        <v>0</v>
      </c>
      <c r="G47" s="128">
        <f t="shared" ref="G47" ca="1" si="14">+SUM(G45:G46)</f>
        <v>0</v>
      </c>
      <c r="H47" s="128">
        <f t="shared" ref="H47:Z47" ca="1" si="15">+SUM(H45:H46)</f>
        <v>0</v>
      </c>
      <c r="I47" s="128">
        <f t="shared" ca="1" si="15"/>
        <v>2845340.3423564574</v>
      </c>
      <c r="J47" s="128">
        <f t="shared" ca="1" si="15"/>
        <v>5839978.4733304009</v>
      </c>
      <c r="K47" s="128">
        <f t="shared" ca="1" si="15"/>
        <v>5949624.5738431737</v>
      </c>
      <c r="L47" s="128">
        <f t="shared" ca="1" si="15"/>
        <v>6062560.0573713295</v>
      </c>
      <c r="M47" s="128">
        <f t="shared" ca="1" si="15"/>
        <v>6222585.7745300885</v>
      </c>
      <c r="N47" s="128">
        <f t="shared" ca="1" si="15"/>
        <v>6342399.0290051093</v>
      </c>
      <c r="O47" s="128">
        <f t="shared" ca="1" si="15"/>
        <v>6465806.6811143793</v>
      </c>
      <c r="P47" s="128">
        <f t="shared" ca="1" si="15"/>
        <v>6637492.7752941847</v>
      </c>
      <c r="Q47" s="128">
        <f t="shared" ca="1" si="15"/>
        <v>6768415.95341691</v>
      </c>
      <c r="R47" s="128">
        <f t="shared" ca="1" si="15"/>
        <v>6903266.826883316</v>
      </c>
      <c r="S47" s="128">
        <f t="shared" ca="1" si="15"/>
        <v>7087630.9633111162</v>
      </c>
      <c r="T47" s="128">
        <f t="shared" ca="1" si="15"/>
        <v>7230694.2549716271</v>
      </c>
      <c r="U47" s="128">
        <f t="shared" ca="1" si="15"/>
        <v>7378049.4453819543</v>
      </c>
      <c r="V47" s="128">
        <f t="shared" ca="1" si="15"/>
        <v>7576202.3829971394</v>
      </c>
      <c r="W47" s="128">
        <f t="shared" ca="1" si="15"/>
        <v>7732531.504503455</v>
      </c>
      <c r="X47" s="128">
        <f t="shared" ca="1" si="15"/>
        <v>7893550.4996549599</v>
      </c>
      <c r="Y47" s="128">
        <f t="shared" ca="1" si="15"/>
        <v>8106704.6979834093</v>
      </c>
      <c r="Z47" s="128">
        <f t="shared" ca="1" si="15"/>
        <v>8277529.7499396419</v>
      </c>
    </row>
    <row r="48" spans="2:26" x14ac:dyDescent="0.2">
      <c r="B48" s="32"/>
    </row>
    <row r="49" spans="1:26" x14ac:dyDescent="0.2">
      <c r="A49" s="107"/>
      <c r="B49" s="137" t="s">
        <v>248</v>
      </c>
      <c r="C49" s="137"/>
      <c r="D49" s="137"/>
      <c r="E49" s="137"/>
      <c r="F49" s="138">
        <f ca="1">+F43-F47</f>
        <v>0</v>
      </c>
      <c r="G49" s="138">
        <f t="shared" ref="G49:Z49" ca="1" si="16">+G43-G47</f>
        <v>0</v>
      </c>
      <c r="H49" s="138">
        <f t="shared" ca="1" si="16"/>
        <v>0</v>
      </c>
      <c r="I49" s="138">
        <f t="shared" ca="1" si="16"/>
        <v>3232492.816472644</v>
      </c>
      <c r="J49" s="138">
        <f t="shared" ca="1" si="16"/>
        <v>6670952.8101314195</v>
      </c>
      <c r="K49" s="138">
        <f t="shared" ca="1" si="16"/>
        <v>6927229.6243963707</v>
      </c>
      <c r="L49" s="138">
        <f t="shared" ca="1" si="16"/>
        <v>7191194.7430892717</v>
      </c>
      <c r="M49" s="138">
        <f t="shared" ca="1" si="16"/>
        <v>7419376.6462182011</v>
      </c>
      <c r="N49" s="138">
        <f t="shared" ca="1" si="16"/>
        <v>7699417.2406394975</v>
      </c>
      <c r="O49" s="138">
        <f t="shared" ca="1" si="16"/>
        <v>7987859.0528934374</v>
      </c>
      <c r="P49" s="138">
        <f t="shared" ca="1" si="16"/>
        <v>8240377.9070077371</v>
      </c>
      <c r="Q49" s="138">
        <f t="shared" ca="1" si="16"/>
        <v>8546385.8256279398</v>
      </c>
      <c r="R49" s="138">
        <f t="shared" ca="1" si="16"/>
        <v>8861573.9818067495</v>
      </c>
      <c r="S49" s="138">
        <f t="shared" ca="1" si="16"/>
        <v>9140750.0459135212</v>
      </c>
      <c r="T49" s="138">
        <f t="shared" ca="1" si="16"/>
        <v>9475133.1608036216</v>
      </c>
      <c r="U49" s="138">
        <f t="shared" ca="1" si="16"/>
        <v>9819547.7691404223</v>
      </c>
      <c r="V49" s="138">
        <f t="shared" ca="1" si="16"/>
        <v>10127917.724234778</v>
      </c>
      <c r="W49" s="138">
        <f t="shared" ca="1" si="16"/>
        <v>10493307.182219289</v>
      </c>
      <c r="X49" s="138">
        <f t="shared" ca="1" si="16"/>
        <v>10869658.323943336</v>
      </c>
      <c r="Y49" s="138">
        <f t="shared" ca="1" si="16"/>
        <v>11209995.366596706</v>
      </c>
      <c r="Z49" s="138">
        <f t="shared" ca="1" si="16"/>
        <v>11609266.29285175</v>
      </c>
    </row>
    <row r="50" spans="1:26" x14ac:dyDescent="0.2">
      <c r="B50" s="142" t="s">
        <v>254</v>
      </c>
      <c r="C50" s="140"/>
      <c r="D50" s="140"/>
      <c r="E50" s="140"/>
      <c r="F50" s="143" t="str">
        <f ca="1">+IFERROR(F49/F43,"")</f>
        <v/>
      </c>
      <c r="G50" s="143" t="str">
        <f t="shared" ref="G50:Z50" ca="1" si="17">+IFERROR(G49/G43,"")</f>
        <v/>
      </c>
      <c r="H50" s="143" t="str">
        <f t="shared" ca="1" si="17"/>
        <v/>
      </c>
      <c r="I50" s="144">
        <f t="shared" ca="1" si="17"/>
        <v>0.53184954769232029</v>
      </c>
      <c r="J50" s="144">
        <f t="shared" ca="1" si="17"/>
        <v>0.53320993129821925</v>
      </c>
      <c r="K50" s="144">
        <f t="shared" ca="1" si="17"/>
        <v>0.53795977788918548</v>
      </c>
      <c r="L50" s="144">
        <f t="shared" ca="1" si="17"/>
        <v>0.54257792235898006</v>
      </c>
      <c r="M50" s="144">
        <f t="shared" ca="1" si="17"/>
        <v>0.54386432225718107</v>
      </c>
      <c r="N50" s="144">
        <f t="shared" ca="1" si="17"/>
        <v>0.54832060844464869</v>
      </c>
      <c r="O50" s="144">
        <f t="shared" ca="1" si="17"/>
        <v>0.55265281485643614</v>
      </c>
      <c r="P50" s="144">
        <f t="shared" ca="1" si="17"/>
        <v>0.55386809597761444</v>
      </c>
      <c r="Q50" s="144">
        <f t="shared" ca="1" si="17"/>
        <v>0.55804743338708485</v>
      </c>
      <c r="R50" s="144">
        <f t="shared" ca="1" si="17"/>
        <v>0.56210995653834817</v>
      </c>
      <c r="S50" s="144">
        <f t="shared" ca="1" si="17"/>
        <v>0.56325705199537035</v>
      </c>
      <c r="T50" s="144">
        <f t="shared" ca="1" si="17"/>
        <v>0.56717532900263834</v>
      </c>
      <c r="U50" s="144">
        <f t="shared" ca="1" si="17"/>
        <v>0.57098370467988291</v>
      </c>
      <c r="V50" s="144">
        <f t="shared" ca="1" si="17"/>
        <v>0.57206557924884649</v>
      </c>
      <c r="W50" s="144">
        <f t="shared" ca="1" si="17"/>
        <v>0.57573795985934573</v>
      </c>
      <c r="X50" s="144">
        <f t="shared" ca="1" si="17"/>
        <v>0.57930700586099526</v>
      </c>
      <c r="Y50" s="144">
        <f t="shared" ca="1" si="17"/>
        <v>0.58032662562027393</v>
      </c>
      <c r="Z50" s="144">
        <f t="shared" ca="1" si="17"/>
        <v>0.5837675545055887</v>
      </c>
    </row>
    <row r="51" spans="1:26" x14ac:dyDescent="0.2">
      <c r="B51" s="142" t="s">
        <v>188</v>
      </c>
      <c r="C51" s="140"/>
      <c r="D51" s="140"/>
      <c r="E51" s="140"/>
      <c r="F51" s="141">
        <f ca="1">+F49/'Assumptions and Sensis'!$P$154</f>
        <v>0</v>
      </c>
      <c r="G51" s="141">
        <f ca="1">+G49/'Assumptions and Sensis'!$P$154</f>
        <v>0</v>
      </c>
      <c r="H51" s="141">
        <f ca="1">+H49/'Assumptions and Sensis'!$P$154</f>
        <v>0</v>
      </c>
      <c r="I51" s="141">
        <f ca="1">+I49/'Assumptions and Sensis'!$P$154</f>
        <v>58772596.663138978</v>
      </c>
      <c r="J51" s="141">
        <f ca="1">+J49/'Assumptions and Sensis'!$P$154</f>
        <v>121290051.09329854</v>
      </c>
      <c r="K51" s="141">
        <f ca="1">+K49/'Assumptions and Sensis'!$P$154</f>
        <v>125949629.53447947</v>
      </c>
      <c r="L51" s="141">
        <f ca="1">+L49/'Assumptions and Sensis'!$P$154</f>
        <v>130748995.32889585</v>
      </c>
      <c r="M51" s="141">
        <f ca="1">+M49/'Assumptions and Sensis'!$P$154</f>
        <v>134897757.2039673</v>
      </c>
      <c r="N51" s="141">
        <f ca="1">+N49/'Assumptions and Sensis'!$P$154</f>
        <v>139989404.3752636</v>
      </c>
      <c r="O51" s="141">
        <f ca="1">+O49/'Assumptions and Sensis'!$P$154</f>
        <v>145233800.96169886</v>
      </c>
      <c r="P51" s="141">
        <f ca="1">+P49/'Assumptions and Sensis'!$P$154</f>
        <v>149825052.85468614</v>
      </c>
      <c r="Q51" s="141">
        <f ca="1">+Q49/'Assumptions and Sensis'!$P$154</f>
        <v>155388833.19323528</v>
      </c>
      <c r="R51" s="141">
        <f ca="1">+R49/'Assumptions and Sensis'!$P$154</f>
        <v>161119526.9419409</v>
      </c>
      <c r="S51" s="141">
        <f ca="1">+S49/'Assumptions and Sensis'!$P$154</f>
        <v>166195455.38024583</v>
      </c>
      <c r="T51" s="141">
        <f ca="1">+T49/'Assumptions and Sensis'!$P$154</f>
        <v>172275148.37824768</v>
      </c>
      <c r="U51" s="141">
        <f ca="1">+U49/'Assumptions and Sensis'!$P$154</f>
        <v>178537232.16618949</v>
      </c>
      <c r="V51" s="141">
        <f ca="1">+V49/'Assumptions and Sensis'!$P$154</f>
        <v>184143958.62245053</v>
      </c>
      <c r="W51" s="141">
        <f ca="1">+W49/'Assumptions and Sensis'!$P$154</f>
        <v>190787403.31307799</v>
      </c>
      <c r="X51" s="141">
        <f ca="1">+X49/'Assumptions and Sensis'!$P$154</f>
        <v>197630151.34442428</v>
      </c>
      <c r="Y51" s="141">
        <f ca="1">+Y49/'Assumptions and Sensis'!$P$154</f>
        <v>203818097.57448557</v>
      </c>
      <c r="Z51" s="141">
        <f ca="1">+Z49/'Assumptions and Sensis'!$P$154</f>
        <v>211077568.9609409</v>
      </c>
    </row>
    <row r="53" spans="1:26" x14ac:dyDescent="0.2">
      <c r="B53" s="147" t="s">
        <v>25</v>
      </c>
      <c r="C53" s="148"/>
      <c r="D53" s="148"/>
      <c r="E53" s="148"/>
      <c r="F53" s="149">
        <f>+'Assumptions and Sensis'!$H$43</f>
        <v>45657</v>
      </c>
      <c r="G53" s="149">
        <f>+EOMONTH(F53,12)</f>
        <v>46022</v>
      </c>
      <c r="H53" s="149">
        <f t="shared" ref="H53:Z53" si="18">+EOMONTH(G53,12)</f>
        <v>46387</v>
      </c>
      <c r="I53" s="149">
        <f t="shared" si="18"/>
        <v>46752</v>
      </c>
      <c r="J53" s="149">
        <f t="shared" si="18"/>
        <v>47118</v>
      </c>
      <c r="K53" s="149">
        <f t="shared" si="18"/>
        <v>47483</v>
      </c>
      <c r="L53" s="149">
        <f t="shared" si="18"/>
        <v>47848</v>
      </c>
      <c r="M53" s="149">
        <f t="shared" si="18"/>
        <v>48213</v>
      </c>
      <c r="N53" s="149">
        <f t="shared" si="18"/>
        <v>48579</v>
      </c>
      <c r="O53" s="149">
        <f t="shared" si="18"/>
        <v>48944</v>
      </c>
      <c r="P53" s="149">
        <f t="shared" si="18"/>
        <v>49309</v>
      </c>
      <c r="Q53" s="149">
        <f t="shared" si="18"/>
        <v>49674</v>
      </c>
      <c r="R53" s="149">
        <f t="shared" si="18"/>
        <v>50040</v>
      </c>
      <c r="S53" s="149">
        <f t="shared" si="18"/>
        <v>50405</v>
      </c>
      <c r="T53" s="149">
        <f t="shared" si="18"/>
        <v>50770</v>
      </c>
      <c r="U53" s="149">
        <f t="shared" si="18"/>
        <v>51135</v>
      </c>
      <c r="V53" s="149">
        <f t="shared" si="18"/>
        <v>51501</v>
      </c>
      <c r="W53" s="149">
        <f t="shared" si="18"/>
        <v>51866</v>
      </c>
      <c r="X53" s="149">
        <f t="shared" si="18"/>
        <v>52231</v>
      </c>
      <c r="Y53" s="149">
        <f t="shared" si="18"/>
        <v>52596</v>
      </c>
      <c r="Z53" s="149">
        <f t="shared" si="18"/>
        <v>52962</v>
      </c>
    </row>
    <row r="54" spans="1:26" x14ac:dyDescent="0.2">
      <c r="B54" s="32" t="s">
        <v>756</v>
      </c>
      <c r="C54" s="32"/>
      <c r="D54" s="39"/>
      <c r="E54" s="39"/>
      <c r="F54" s="41">
        <f>+IF(AND(F53&gt;='Assumptions and Sensis'!$H$47,F53&lt;'Assumptions and Sensis'!$H$49),'Assumptions and Sensis'!$H$167/ROUNDUP(('Assumptions and Sensis'!$H$48/12),0),0)</f>
        <v>0</v>
      </c>
      <c r="G54" s="41">
        <f>+IF(AND(G53&gt;='Assumptions and Sensis'!$H$47,G53&lt;'Assumptions and Sensis'!$H$49),'Assumptions and Sensis'!$H$167/ROUNDUP(('Assumptions and Sensis'!$H$48/12),0),0)</f>
        <v>0</v>
      </c>
      <c r="H54" s="41">
        <f>+IF(AND(H53&gt;='Assumptions and Sensis'!$H$47,H53&lt;'Assumptions and Sensis'!$H$49),'Assumptions and Sensis'!$H$167/ROUNDUP(('Assumptions and Sensis'!$H$48/12),0),0)</f>
        <v>0</v>
      </c>
      <c r="I54" s="41">
        <f>+IF(AND(I53&gt;='Assumptions and Sensis'!$H$47,I53&lt;'Assumptions and Sensis'!$H$49),'Assumptions and Sensis'!$H$167/ROUNDUP(('Assumptions and Sensis'!$H$48/12),0),0)</f>
        <v>35248.5</v>
      </c>
      <c r="J54" s="41">
        <f>+IF(AND(J53&gt;='Assumptions and Sensis'!$H$47,J53&lt;'Assumptions and Sensis'!$H$49),'Assumptions and Sensis'!$H$167/ROUNDUP(('Assumptions and Sensis'!$H$48/12),0),0)</f>
        <v>35248.5</v>
      </c>
      <c r="K54" s="41">
        <f>+IF(AND(K53&gt;='Assumptions and Sensis'!$H$47,K53&lt;'Assumptions and Sensis'!$H$49),'Assumptions and Sensis'!$H$167/ROUNDUP(('Assumptions and Sensis'!$H$48/12),0),0)</f>
        <v>0</v>
      </c>
      <c r="L54" s="41">
        <f>+IF(AND(L53&gt;='Assumptions and Sensis'!$H$47,L53&lt;'Assumptions and Sensis'!$H$49),'Assumptions and Sensis'!$H$167/ROUNDUP(('Assumptions and Sensis'!$H$48/12),0),0)</f>
        <v>0</v>
      </c>
      <c r="M54" s="41">
        <f>+IF(AND(M53&gt;='Assumptions and Sensis'!$H$47,M53&lt;'Assumptions and Sensis'!$H$49),'Assumptions and Sensis'!$H$167/ROUNDUP(('Assumptions and Sensis'!$H$48/12),0),0)</f>
        <v>0</v>
      </c>
      <c r="N54" s="41">
        <f>+IF(AND(N53&gt;='Assumptions and Sensis'!$H$47,N53&lt;'Assumptions and Sensis'!$H$49),'Assumptions and Sensis'!$H$167/ROUNDUP(('Assumptions and Sensis'!$H$48/12),0),0)</f>
        <v>0</v>
      </c>
      <c r="O54" s="41">
        <f>+IF(AND(O53&gt;='Assumptions and Sensis'!$H$47,O53&lt;'Assumptions and Sensis'!$H$49),'Assumptions and Sensis'!$H$167/ROUNDUP(('Assumptions and Sensis'!$H$48/12),0),0)</f>
        <v>0</v>
      </c>
      <c r="P54" s="41">
        <f>+IF(AND(P53&gt;='Assumptions and Sensis'!$H$47,P53&lt;'Assumptions and Sensis'!$H$49),'Assumptions and Sensis'!$H$167/ROUNDUP(('Assumptions and Sensis'!$H$48/12),0),0)</f>
        <v>0</v>
      </c>
      <c r="Q54" s="41">
        <f>+IF(AND(Q53&gt;='Assumptions and Sensis'!$H$47,Q53&lt;'Assumptions and Sensis'!$H$49),'Assumptions and Sensis'!$H$167/ROUNDUP(('Assumptions and Sensis'!$H$48/12),0),0)</f>
        <v>0</v>
      </c>
      <c r="R54" s="41">
        <f>+IF(AND(R53&gt;='Assumptions and Sensis'!$H$47,R53&lt;'Assumptions and Sensis'!$H$49),'Assumptions and Sensis'!$H$167/ROUNDUP(('Assumptions and Sensis'!$H$48/12),0),0)</f>
        <v>0</v>
      </c>
      <c r="S54" s="41">
        <f>+IF(AND(S53&gt;='Assumptions and Sensis'!$H$47,S53&lt;'Assumptions and Sensis'!$H$49),'Assumptions and Sensis'!$H$167/ROUNDUP(('Assumptions and Sensis'!$H$48/12),0),0)</f>
        <v>0</v>
      </c>
      <c r="T54" s="41">
        <f>+IF(AND(T53&gt;='Assumptions and Sensis'!$H$47,T53&lt;'Assumptions and Sensis'!$H$49),'Assumptions and Sensis'!$H$167/ROUNDUP(('Assumptions and Sensis'!$H$48/12),0),0)</f>
        <v>0</v>
      </c>
      <c r="U54" s="41">
        <f>+IF(AND(U53&gt;='Assumptions and Sensis'!$H$47,U53&lt;'Assumptions and Sensis'!$H$49),'Assumptions and Sensis'!$H$167/ROUNDUP(('Assumptions and Sensis'!$H$48/12),0),0)</f>
        <v>0</v>
      </c>
      <c r="V54" s="41">
        <f>+IF(AND(V53&gt;='Assumptions and Sensis'!$H$47,V53&lt;'Assumptions and Sensis'!$H$49),'Assumptions and Sensis'!$H$167/ROUNDUP(('Assumptions and Sensis'!$H$48/12),0),0)</f>
        <v>0</v>
      </c>
      <c r="W54" s="41">
        <f>+IF(AND(W53&gt;='Assumptions and Sensis'!$H$47,W53&lt;'Assumptions and Sensis'!$H$49),'Assumptions and Sensis'!$H$167/ROUNDUP(('Assumptions and Sensis'!$H$48/12),0),0)</f>
        <v>0</v>
      </c>
      <c r="X54" s="41">
        <f>+IF(AND(X53&gt;='Assumptions and Sensis'!$H$47,X53&lt;'Assumptions and Sensis'!$H$49),'Assumptions and Sensis'!$H$167/ROUNDUP(('Assumptions and Sensis'!$H$48/12),0),0)</f>
        <v>0</v>
      </c>
      <c r="Y54" s="41">
        <f>+IF(AND(Y53&gt;='Assumptions and Sensis'!$H$47,Y53&lt;'Assumptions and Sensis'!$H$49),'Assumptions and Sensis'!$H$167/ROUNDUP(('Assumptions and Sensis'!$H$48/12),0),0)</f>
        <v>0</v>
      </c>
      <c r="Z54" s="41">
        <f>+IF(AND(Z53&gt;='Assumptions and Sensis'!$H$47,Z53&lt;'Assumptions and Sensis'!$H$49),'Assumptions and Sensis'!$H$167/ROUNDUP(('Assumptions and Sensis'!$H$48/12),0),0)</f>
        <v>0</v>
      </c>
    </row>
    <row r="55" spans="1:26" x14ac:dyDescent="0.2">
      <c r="B55" s="32" t="s">
        <v>246</v>
      </c>
      <c r="C55" s="32"/>
      <c r="D55" s="41">
        <v>0</v>
      </c>
      <c r="E55" s="41"/>
      <c r="F55" s="41">
        <f>+D55+F54</f>
        <v>0</v>
      </c>
      <c r="G55" s="41">
        <f t="shared" ref="G55:Z55" si="19">+F55+G54</f>
        <v>0</v>
      </c>
      <c r="H55" s="41">
        <f t="shared" si="19"/>
        <v>0</v>
      </c>
      <c r="I55" s="41">
        <f t="shared" si="19"/>
        <v>35248.5</v>
      </c>
      <c r="J55" s="41">
        <f t="shared" si="19"/>
        <v>70497</v>
      </c>
      <c r="K55" s="41">
        <f t="shared" si="19"/>
        <v>70497</v>
      </c>
      <c r="L55" s="41">
        <f t="shared" si="19"/>
        <v>70497</v>
      </c>
      <c r="M55" s="41">
        <f t="shared" si="19"/>
        <v>70497</v>
      </c>
      <c r="N55" s="41">
        <f t="shared" si="19"/>
        <v>70497</v>
      </c>
      <c r="O55" s="41">
        <f t="shared" si="19"/>
        <v>70497</v>
      </c>
      <c r="P55" s="41">
        <f t="shared" si="19"/>
        <v>70497</v>
      </c>
      <c r="Q55" s="41">
        <f t="shared" si="19"/>
        <v>70497</v>
      </c>
      <c r="R55" s="41">
        <f t="shared" si="19"/>
        <v>70497</v>
      </c>
      <c r="S55" s="41">
        <f t="shared" si="19"/>
        <v>70497</v>
      </c>
      <c r="T55" s="41">
        <f t="shared" si="19"/>
        <v>70497</v>
      </c>
      <c r="U55" s="41">
        <f t="shared" si="19"/>
        <v>70497</v>
      </c>
      <c r="V55" s="41">
        <f t="shared" si="19"/>
        <v>70497</v>
      </c>
      <c r="W55" s="41">
        <f t="shared" si="19"/>
        <v>70497</v>
      </c>
      <c r="X55" s="41">
        <f t="shared" si="19"/>
        <v>70497</v>
      </c>
      <c r="Y55" s="41">
        <f t="shared" si="19"/>
        <v>70497</v>
      </c>
      <c r="Z55" s="41">
        <f t="shared" si="19"/>
        <v>70497</v>
      </c>
    </row>
    <row r="56" spans="1:26" x14ac:dyDescent="0.2">
      <c r="B56" s="32" t="s">
        <v>301</v>
      </c>
      <c r="C56" s="32"/>
      <c r="D56" s="41"/>
      <c r="E56" s="41"/>
      <c r="F56" s="107">
        <f t="shared" ref="F56:Z56" si="20">+F55/SUM($F54:$Z54)</f>
        <v>0</v>
      </c>
      <c r="G56" s="107">
        <f t="shared" si="20"/>
        <v>0</v>
      </c>
      <c r="H56" s="107">
        <f t="shared" si="20"/>
        <v>0</v>
      </c>
      <c r="I56" s="107">
        <f t="shared" si="20"/>
        <v>0.5</v>
      </c>
      <c r="J56" s="107">
        <f t="shared" si="20"/>
        <v>1</v>
      </c>
      <c r="K56" s="107">
        <f t="shared" si="20"/>
        <v>1</v>
      </c>
      <c r="L56" s="107">
        <f t="shared" si="20"/>
        <v>1</v>
      </c>
      <c r="M56" s="107">
        <f t="shared" si="20"/>
        <v>1</v>
      </c>
      <c r="N56" s="107">
        <f t="shared" si="20"/>
        <v>1</v>
      </c>
      <c r="O56" s="107">
        <f t="shared" si="20"/>
        <v>1</v>
      </c>
      <c r="P56" s="107">
        <f t="shared" si="20"/>
        <v>1</v>
      </c>
      <c r="Q56" s="107">
        <f t="shared" si="20"/>
        <v>1</v>
      </c>
      <c r="R56" s="107">
        <f t="shared" si="20"/>
        <v>1</v>
      </c>
      <c r="S56" s="107">
        <f t="shared" si="20"/>
        <v>1</v>
      </c>
      <c r="T56" s="107">
        <f t="shared" si="20"/>
        <v>1</v>
      </c>
      <c r="U56" s="107">
        <f t="shared" si="20"/>
        <v>1</v>
      </c>
      <c r="V56" s="107">
        <f t="shared" si="20"/>
        <v>1</v>
      </c>
      <c r="W56" s="107">
        <f t="shared" si="20"/>
        <v>1</v>
      </c>
      <c r="X56" s="107">
        <f t="shared" si="20"/>
        <v>1</v>
      </c>
      <c r="Y56" s="107">
        <f t="shared" si="20"/>
        <v>1</v>
      </c>
      <c r="Z56" s="107">
        <f t="shared" si="20"/>
        <v>1</v>
      </c>
    </row>
    <row r="57" spans="1:26" x14ac:dyDescent="0.2">
      <c r="B57" s="32"/>
      <c r="C57" s="32"/>
      <c r="D57" s="39"/>
      <c r="E57" s="39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x14ac:dyDescent="0.2">
      <c r="B58" s="32" t="s">
        <v>251</v>
      </c>
      <c r="C58" s="32"/>
      <c r="D58" s="41"/>
      <c r="E58" s="41"/>
      <c r="F58" s="107">
        <v>1</v>
      </c>
      <c r="G58" s="107">
        <f>+IF(MOD(G$2,'Assumptions and Sensis'!$P$88)=('Assumptions and Sensis'!$P$88-1),F58*(1+'Assumptions and Sensis'!$P$87),'Phase III Pro Forma'!F58)</f>
        <v>1</v>
      </c>
      <c r="H58" s="107">
        <f>+IF(MOD(H$2,'Assumptions and Sensis'!$P$88)=('Assumptions and Sensis'!$P$88-1),G58*(1+'Assumptions and Sensis'!$P$87),'Phase III Pro Forma'!G58)</f>
        <v>1</v>
      </c>
      <c r="I58" s="107">
        <f>+IF(MOD(I$2,'Assumptions and Sensis'!$P$88)=('Assumptions and Sensis'!$P$88-1),H58*(1+'Assumptions and Sensis'!$P$87),'Phase III Pro Forma'!H58)</f>
        <v>1</v>
      </c>
      <c r="J58" s="107">
        <f>+IF(MOD(J$2,'Assumptions and Sensis'!$P$88)=('Assumptions and Sensis'!$P$88-1),I58*(1+'Assumptions and Sensis'!$P$87),'Phase III Pro Forma'!I58)</f>
        <v>1</v>
      </c>
      <c r="K58" s="107">
        <f>+IF(MOD(K$2,'Assumptions and Sensis'!$P$88)=('Assumptions and Sensis'!$P$88-1),J58*(1+'Assumptions and Sensis'!$P$87),'Phase III Pro Forma'!J58)</f>
        <v>1</v>
      </c>
      <c r="L58" s="107">
        <f>+IF(MOD(L$2,'Assumptions and Sensis'!$P$88)=('Assumptions and Sensis'!$P$88-1),K58*(1+'Assumptions and Sensis'!$P$87),'Phase III Pro Forma'!K58)</f>
        <v>1.1000000000000001</v>
      </c>
      <c r="M58" s="107">
        <f>+IF(MOD(M$2,'Assumptions and Sensis'!$P$88)=('Assumptions and Sensis'!$P$88-1),L58*(1+'Assumptions and Sensis'!$P$87),'Phase III Pro Forma'!L58)</f>
        <v>1.1000000000000001</v>
      </c>
      <c r="N58" s="107">
        <f>+IF(MOD(N$2,'Assumptions and Sensis'!$P$88)=('Assumptions and Sensis'!$P$88-1),M58*(1+'Assumptions and Sensis'!$P$87),'Phase III Pro Forma'!M58)</f>
        <v>1.1000000000000001</v>
      </c>
      <c r="O58" s="107">
        <f>+IF(MOD(O$2,'Assumptions and Sensis'!$P$88)=('Assumptions and Sensis'!$P$88-1),N58*(1+'Assumptions and Sensis'!$P$87),'Phase III Pro Forma'!N58)</f>
        <v>1.1000000000000001</v>
      </c>
      <c r="P58" s="107">
        <f>+IF(MOD(P$2,'Assumptions and Sensis'!$P$88)=('Assumptions and Sensis'!$P$88-1),O58*(1+'Assumptions and Sensis'!$P$87),'Phase III Pro Forma'!O58)</f>
        <v>1.1000000000000001</v>
      </c>
      <c r="Q58" s="107">
        <f>+IF(MOD(Q$2,'Assumptions and Sensis'!$P$88)=('Assumptions and Sensis'!$P$88-1),P58*(1+'Assumptions and Sensis'!$P$87),'Phase III Pro Forma'!P58)</f>
        <v>1.2100000000000002</v>
      </c>
      <c r="R58" s="107">
        <f>+IF(MOD(R$2,'Assumptions and Sensis'!$P$88)=('Assumptions and Sensis'!$P$88-1),Q58*(1+'Assumptions and Sensis'!$P$87),'Phase III Pro Forma'!Q58)</f>
        <v>1.2100000000000002</v>
      </c>
      <c r="S58" s="107">
        <f>+IF(MOD(S$2,'Assumptions and Sensis'!$P$88)=('Assumptions and Sensis'!$P$88-1),R58*(1+'Assumptions and Sensis'!$P$87),'Phase III Pro Forma'!R58)</f>
        <v>1.2100000000000002</v>
      </c>
      <c r="T58" s="107">
        <f>+IF(MOD(T$2,'Assumptions and Sensis'!$P$88)=('Assumptions and Sensis'!$P$88-1),S58*(1+'Assumptions and Sensis'!$P$87),'Phase III Pro Forma'!S58)</f>
        <v>1.2100000000000002</v>
      </c>
      <c r="U58" s="107">
        <f>+IF(MOD(U$2,'Assumptions and Sensis'!$P$88)=('Assumptions and Sensis'!$P$88-1),T58*(1+'Assumptions and Sensis'!$P$87),'Phase III Pro Forma'!T58)</f>
        <v>1.2100000000000002</v>
      </c>
      <c r="V58" s="107">
        <f>+IF(MOD(V$2,'Assumptions and Sensis'!$P$88)=('Assumptions and Sensis'!$P$88-1),U58*(1+'Assumptions and Sensis'!$P$87),'Phase III Pro Forma'!U58)</f>
        <v>1.3310000000000004</v>
      </c>
      <c r="W58" s="107">
        <f>+IF(MOD(W$2,'Assumptions and Sensis'!$P$88)=('Assumptions and Sensis'!$P$88-1),V58*(1+'Assumptions and Sensis'!$P$87),'Phase III Pro Forma'!V58)</f>
        <v>1.3310000000000004</v>
      </c>
      <c r="X58" s="107">
        <f>+IF(MOD(X$2,'Assumptions and Sensis'!$P$88)=('Assumptions and Sensis'!$P$88-1),W58*(1+'Assumptions and Sensis'!$P$87),'Phase III Pro Forma'!W58)</f>
        <v>1.3310000000000004</v>
      </c>
      <c r="Y58" s="107">
        <f>+IF(MOD(Y$2,'Assumptions and Sensis'!$P$88)=('Assumptions and Sensis'!$P$88-1),X58*(1+'Assumptions and Sensis'!$P$87),'Phase III Pro Forma'!X58)</f>
        <v>1.3310000000000004</v>
      </c>
      <c r="Z58" s="107">
        <f>+IF(MOD(Z$2,'Assumptions and Sensis'!$P$88)=('Assumptions and Sensis'!$P$88-1),Y58*(1+'Assumptions and Sensis'!$P$87),'Phase III Pro Forma'!Y58)</f>
        <v>1.3310000000000004</v>
      </c>
    </row>
    <row r="59" spans="1:26" x14ac:dyDescent="0.2">
      <c r="B59" s="32" t="s">
        <v>252</v>
      </c>
      <c r="C59" s="32"/>
      <c r="D59" s="41"/>
      <c r="E59" s="41"/>
      <c r="F59" s="107">
        <v>1</v>
      </c>
      <c r="G59" s="107">
        <f>+F59*(1+'Assumptions and Sensis'!$P$100)</f>
        <v>1.03</v>
      </c>
      <c r="H59" s="107">
        <f>+G59*(1+'Assumptions and Sensis'!$P$100)</f>
        <v>1.0609</v>
      </c>
      <c r="I59" s="107">
        <f>+H59*(1+'Assumptions and Sensis'!$P$100)</f>
        <v>1.092727</v>
      </c>
      <c r="J59" s="107">
        <f>+I59*(1+'Assumptions and Sensis'!$P$100)</f>
        <v>1.1255088100000001</v>
      </c>
      <c r="K59" s="107">
        <f>+J59*(1+'Assumptions and Sensis'!$P$100)</f>
        <v>1.1592740743000001</v>
      </c>
      <c r="L59" s="107">
        <f>+K59*(1+'Assumptions and Sensis'!$P$100)</f>
        <v>1.1940522965290001</v>
      </c>
      <c r="M59" s="107">
        <f>+L59*(1+'Assumptions and Sensis'!$P$100)</f>
        <v>1.2298738654248702</v>
      </c>
      <c r="N59" s="107">
        <f>+M59*(1+'Assumptions and Sensis'!$P$100)</f>
        <v>1.2667700813876164</v>
      </c>
      <c r="O59" s="107">
        <f>+N59*(1+'Assumptions and Sensis'!$P$100)</f>
        <v>1.3047731838292449</v>
      </c>
      <c r="P59" s="107">
        <f>+O59*(1+'Assumptions and Sensis'!$P$100)</f>
        <v>1.3439163793441222</v>
      </c>
      <c r="Q59" s="107">
        <f>+P59*(1+'Assumptions and Sensis'!$P$100)</f>
        <v>1.3842338707244459</v>
      </c>
      <c r="R59" s="107">
        <f>+Q59*(1+'Assumptions and Sensis'!$P$100)</f>
        <v>1.4257608868461793</v>
      </c>
      <c r="S59" s="107">
        <f>+R59*(1+'Assumptions and Sensis'!$P$100)</f>
        <v>1.4685337134515648</v>
      </c>
      <c r="T59" s="107">
        <f>+S59*(1+'Assumptions and Sensis'!$P$100)</f>
        <v>1.5125897248551119</v>
      </c>
      <c r="U59" s="107">
        <f>+T59*(1+'Assumptions and Sensis'!$P$100)</f>
        <v>1.5579674166007653</v>
      </c>
      <c r="V59" s="107">
        <f>+U59*(1+'Assumptions and Sensis'!$P$100)</f>
        <v>1.6047064390987884</v>
      </c>
      <c r="W59" s="107">
        <f>+V59*(1+'Assumptions and Sensis'!$P$100)</f>
        <v>1.652847632271752</v>
      </c>
      <c r="X59" s="107">
        <f>+W59*(1+'Assumptions and Sensis'!$P$100)</f>
        <v>1.7024330612399046</v>
      </c>
      <c r="Y59" s="107">
        <f>+X59*(1+'Assumptions and Sensis'!$P$100)</f>
        <v>1.7535060530771018</v>
      </c>
      <c r="Z59" s="107">
        <f>+Y59*(1+'Assumptions and Sensis'!$P$100)</f>
        <v>1.806111234669415</v>
      </c>
    </row>
    <row r="60" spans="1:26" x14ac:dyDescent="0.2">
      <c r="B60" s="32"/>
      <c r="C60" s="32"/>
      <c r="D60" s="39"/>
      <c r="E60" s="39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x14ac:dyDescent="0.2">
      <c r="B61" s="32" t="s">
        <v>243</v>
      </c>
      <c r="C61" s="32"/>
      <c r="D61" s="39"/>
      <c r="E61" s="39"/>
      <c r="F61" s="33">
        <f>+F56*'Assumptions and Sensis'!$H$166*F58</f>
        <v>0</v>
      </c>
      <c r="G61" s="33">
        <f>+G56*'Assumptions and Sensis'!$H$166*G58</f>
        <v>0</v>
      </c>
      <c r="H61" s="33">
        <f>+H56*'Assumptions and Sensis'!$H$166*H58</f>
        <v>0</v>
      </c>
      <c r="I61" s="33">
        <f>+I56*'Assumptions and Sensis'!$H$166*I58</f>
        <v>877544.52981047996</v>
      </c>
      <c r="J61" s="33">
        <f>+J56*'Assumptions and Sensis'!$H$166*J58</f>
        <v>1755089.0596209599</v>
      </c>
      <c r="K61" s="33">
        <f>+K56*'Assumptions and Sensis'!$H$166*K58</f>
        <v>1755089.0596209599</v>
      </c>
      <c r="L61" s="33">
        <f>+L56*'Assumptions and Sensis'!$H$166*L58</f>
        <v>1930597.965583056</v>
      </c>
      <c r="M61" s="33">
        <f>+M56*'Assumptions and Sensis'!$H$166*M58</f>
        <v>1930597.965583056</v>
      </c>
      <c r="N61" s="33">
        <f>+N56*'Assumptions and Sensis'!$H$166*N58</f>
        <v>1930597.965583056</v>
      </c>
      <c r="O61" s="33">
        <f>+O56*'Assumptions and Sensis'!$H$166*O58</f>
        <v>1930597.965583056</v>
      </c>
      <c r="P61" s="33">
        <f>+P56*'Assumptions and Sensis'!$H$166*P58</f>
        <v>1930597.965583056</v>
      </c>
      <c r="Q61" s="33">
        <f>+Q56*'Assumptions and Sensis'!$H$166*Q58</f>
        <v>2123657.7621413618</v>
      </c>
      <c r="R61" s="33">
        <f>+R56*'Assumptions and Sensis'!$H$166*R58</f>
        <v>2123657.7621413618</v>
      </c>
      <c r="S61" s="33">
        <f>+S56*'Assumptions and Sensis'!$H$166*S58</f>
        <v>2123657.7621413618</v>
      </c>
      <c r="T61" s="33">
        <f>+T56*'Assumptions and Sensis'!$H$166*T58</f>
        <v>2123657.7621413618</v>
      </c>
      <c r="U61" s="33">
        <f>+U56*'Assumptions and Sensis'!$H$166*U58</f>
        <v>2123657.7621413618</v>
      </c>
      <c r="V61" s="33">
        <f>+V56*'Assumptions and Sensis'!$H$166*V58</f>
        <v>2336023.5383554986</v>
      </c>
      <c r="W61" s="33">
        <f>+W56*'Assumptions and Sensis'!$H$166*W58</f>
        <v>2336023.5383554986</v>
      </c>
      <c r="X61" s="33">
        <f>+X56*'Assumptions and Sensis'!$H$166*X58</f>
        <v>2336023.5383554986</v>
      </c>
      <c r="Y61" s="33">
        <f>+Y56*'Assumptions and Sensis'!$H$166*Y58</f>
        <v>2336023.5383554986</v>
      </c>
      <c r="Z61" s="33">
        <f>+Z56*'Assumptions and Sensis'!$H$166*Z58</f>
        <v>2336023.5383554986</v>
      </c>
    </row>
    <row r="62" spans="1:26" x14ac:dyDescent="0.2">
      <c r="B62" s="32" t="s">
        <v>244</v>
      </c>
      <c r="C62" s="32"/>
      <c r="D62" s="39"/>
      <c r="E62" s="39"/>
      <c r="F62" s="41">
        <f>-F61*'Assumptions and Sensis'!$P$77</f>
        <v>0</v>
      </c>
      <c r="G62" s="41">
        <f>-G61*'Assumptions and Sensis'!$P$77</f>
        <v>0</v>
      </c>
      <c r="H62" s="41">
        <f>-H61*'Assumptions and Sensis'!$P$77</f>
        <v>0</v>
      </c>
      <c r="I62" s="41">
        <f>-I61*'Assumptions and Sensis'!$P$77</f>
        <v>-87754.452981048002</v>
      </c>
      <c r="J62" s="41">
        <f>-J61*'Assumptions and Sensis'!$P$77</f>
        <v>-175508.905962096</v>
      </c>
      <c r="K62" s="41">
        <f>-K61*'Assumptions and Sensis'!$P$77</f>
        <v>-175508.905962096</v>
      </c>
      <c r="L62" s="41">
        <f>-L61*'Assumptions and Sensis'!$P$77</f>
        <v>-193059.79655830562</v>
      </c>
      <c r="M62" s="41">
        <f>-M61*'Assumptions and Sensis'!$P$77</f>
        <v>-193059.79655830562</v>
      </c>
      <c r="N62" s="41">
        <f>-N61*'Assumptions and Sensis'!$P$77</f>
        <v>-193059.79655830562</v>
      </c>
      <c r="O62" s="41">
        <f>-O61*'Assumptions and Sensis'!$P$77</f>
        <v>-193059.79655830562</v>
      </c>
      <c r="P62" s="41">
        <f>-P61*'Assumptions and Sensis'!$P$77</f>
        <v>-193059.79655830562</v>
      </c>
      <c r="Q62" s="41">
        <f>-Q61*'Assumptions and Sensis'!$P$77</f>
        <v>-212365.77621413619</v>
      </c>
      <c r="R62" s="41">
        <f>-R61*'Assumptions and Sensis'!$P$77</f>
        <v>-212365.77621413619</v>
      </c>
      <c r="S62" s="41">
        <f>-S61*'Assumptions and Sensis'!$P$77</f>
        <v>-212365.77621413619</v>
      </c>
      <c r="T62" s="41">
        <f>-T61*'Assumptions and Sensis'!$P$77</f>
        <v>-212365.77621413619</v>
      </c>
      <c r="U62" s="41">
        <f>-U61*'Assumptions and Sensis'!$P$77</f>
        <v>-212365.77621413619</v>
      </c>
      <c r="V62" s="41">
        <f>-V61*'Assumptions and Sensis'!$P$77</f>
        <v>-233602.35383554987</v>
      </c>
      <c r="W62" s="41">
        <f>-W61*'Assumptions and Sensis'!$P$77</f>
        <v>-233602.35383554987</v>
      </c>
      <c r="X62" s="41">
        <f>-X61*'Assumptions and Sensis'!$P$77</f>
        <v>-233602.35383554987</v>
      </c>
      <c r="Y62" s="41">
        <f>-Y61*'Assumptions and Sensis'!$P$77</f>
        <v>-233602.35383554987</v>
      </c>
      <c r="Z62" s="41">
        <f>-Z61*'Assumptions and Sensis'!$P$77</f>
        <v>-233602.35383554987</v>
      </c>
    </row>
    <row r="63" spans="1:26" x14ac:dyDescent="0.2">
      <c r="B63" s="32" t="s">
        <v>259</v>
      </c>
      <c r="C63" s="32"/>
      <c r="D63" s="39"/>
      <c r="E63" s="39"/>
      <c r="F63" s="150">
        <f ca="1">+F68*'Assumptions and Sensis'!$P$111</f>
        <v>0</v>
      </c>
      <c r="G63" s="150">
        <f ca="1">+G68*'Assumptions and Sensis'!$P$111</f>
        <v>0</v>
      </c>
      <c r="H63" s="150">
        <f ca="1">+H68*'Assumptions and Sensis'!$P$111</f>
        <v>0</v>
      </c>
      <c r="I63" s="150">
        <f ca="1">+I68*'Assumptions and Sensis'!$P$111</f>
        <v>467403.97590235953</v>
      </c>
      <c r="J63" s="150">
        <f ca="1">+J68*'Assumptions and Sensis'!$P$111</f>
        <v>958757.3061355832</v>
      </c>
      <c r="K63" s="150">
        <f ca="1">+K68*'Assumptions and Sensis'!$P$111</f>
        <v>974989.67959642143</v>
      </c>
      <c r="L63" s="150">
        <f ca="1">+L68*'Assumptions and Sensis'!$P$111</f>
        <v>991709.02426108508</v>
      </c>
      <c r="M63" s="150">
        <f ca="1">+M68*'Assumptions and Sensis'!$P$111</f>
        <v>1017283.5130811747</v>
      </c>
      <c r="N63" s="150">
        <f ca="1">+N68*'Assumptions and Sensis'!$P$111</f>
        <v>1035021.0658359163</v>
      </c>
      <c r="O63" s="150">
        <f ca="1">+O68*'Assumptions and Sensis'!$P$111</f>
        <v>1053290.7451733002</v>
      </c>
      <c r="P63" s="150">
        <f ca="1">+P68*'Assumptions and Sensis'!$P$111</f>
        <v>1080629.1499826012</v>
      </c>
      <c r="Q63" s="150">
        <f ca="1">+Q68*'Assumptions and Sensis'!$P$111</f>
        <v>1100011.4527916317</v>
      </c>
      <c r="R63" s="150">
        <f ca="1">+R68*'Assumptions and Sensis'!$P$111</f>
        <v>1119975.224684933</v>
      </c>
      <c r="S63" s="150">
        <f ca="1">+S68*'Assumptions and Sensis'!$P$111</f>
        <v>1149228.9575286652</v>
      </c>
      <c r="T63" s="150">
        <f ca="1">+T68*'Assumptions and Sensis'!$P$111</f>
        <v>1170408.5231302688</v>
      </c>
      <c r="U63" s="150">
        <f ca="1">+U68*'Assumptions and Sensis'!$P$111</f>
        <v>1192223.4756999204</v>
      </c>
      <c r="V63" s="150">
        <f ca="1">+V68*'Assumptions and Sensis'!$P$111</f>
        <v>1223557.745596166</v>
      </c>
      <c r="W63" s="150">
        <f ca="1">+W68*'Assumptions and Sensis'!$P$111</f>
        <v>1246701.2287773094</v>
      </c>
      <c r="X63" s="150">
        <f ca="1">+X68*'Assumptions and Sensis'!$P$111</f>
        <v>1270539.0164538869</v>
      </c>
      <c r="Y63" s="150">
        <f ca="1">+Y68*'Assumptions and Sensis'!$P$111</f>
        <v>1304134.1038852567</v>
      </c>
      <c r="Z63" s="150">
        <f ca="1">+Z68*'Assumptions and Sensis'!$P$111</f>
        <v>1329423.6128313378</v>
      </c>
    </row>
    <row r="64" spans="1:26" x14ac:dyDescent="0.2">
      <c r="B64" s="136" t="s">
        <v>253</v>
      </c>
      <c r="C64" s="136"/>
      <c r="D64" s="136"/>
      <c r="E64" s="136"/>
      <c r="F64" s="128">
        <f t="shared" ref="F64:Z64" ca="1" si="21">+SUM(F61:F63)</f>
        <v>0</v>
      </c>
      <c r="G64" s="128">
        <f t="shared" ca="1" si="21"/>
        <v>0</v>
      </c>
      <c r="H64" s="128">
        <f t="shared" ca="1" si="21"/>
        <v>0</v>
      </c>
      <c r="I64" s="128">
        <f t="shared" ca="1" si="21"/>
        <v>1257194.0527317915</v>
      </c>
      <c r="J64" s="128">
        <f t="shared" ca="1" si="21"/>
        <v>2538337.4597944468</v>
      </c>
      <c r="K64" s="128">
        <f t="shared" ca="1" si="21"/>
        <v>2554569.8332552854</v>
      </c>
      <c r="L64" s="128">
        <f t="shared" ca="1" si="21"/>
        <v>2729247.1932858354</v>
      </c>
      <c r="M64" s="128">
        <f t="shared" ca="1" si="21"/>
        <v>2754821.6821059249</v>
      </c>
      <c r="N64" s="128">
        <f t="shared" ca="1" si="21"/>
        <v>2772559.2348606666</v>
      </c>
      <c r="O64" s="128">
        <f t="shared" ca="1" si="21"/>
        <v>2790828.9141980503</v>
      </c>
      <c r="P64" s="128">
        <f t="shared" ca="1" si="21"/>
        <v>2818167.3190073515</v>
      </c>
      <c r="Q64" s="128">
        <f t="shared" ca="1" si="21"/>
        <v>3011303.4387188572</v>
      </c>
      <c r="R64" s="128">
        <f t="shared" ca="1" si="21"/>
        <v>3031267.2106121583</v>
      </c>
      <c r="S64" s="128">
        <f t="shared" ca="1" si="21"/>
        <v>3060520.9434558908</v>
      </c>
      <c r="T64" s="128">
        <f t="shared" ca="1" si="21"/>
        <v>3081700.5090574943</v>
      </c>
      <c r="U64" s="128">
        <f t="shared" ca="1" si="21"/>
        <v>3103515.4616271462</v>
      </c>
      <c r="V64" s="128">
        <f t="shared" ca="1" si="21"/>
        <v>3325978.9301161151</v>
      </c>
      <c r="W64" s="128">
        <f t="shared" ca="1" si="21"/>
        <v>3349122.4132972583</v>
      </c>
      <c r="X64" s="128">
        <f t="shared" ca="1" si="21"/>
        <v>3372960.2009738358</v>
      </c>
      <c r="Y64" s="128">
        <f t="shared" ca="1" si="21"/>
        <v>3406555.2884052056</v>
      </c>
      <c r="Z64" s="128">
        <f t="shared" ca="1" si="21"/>
        <v>3431844.7973512867</v>
      </c>
    </row>
    <row r="66" spans="2:26" x14ac:dyDescent="0.2">
      <c r="B66" s="32" t="s">
        <v>389</v>
      </c>
      <c r="F66" s="33">
        <f>+F55*'Assumptions and Sensis'!$P$145*'Phase III Pro Forma'!F59</f>
        <v>0</v>
      </c>
      <c r="G66" s="33">
        <f>+G55*'Assumptions and Sensis'!$P$145*'Phase III Pro Forma'!G59</f>
        <v>0</v>
      </c>
      <c r="H66" s="33">
        <f>+H55*'Assumptions and Sensis'!$P$145*'Phase III Pro Forma'!H59</f>
        <v>0</v>
      </c>
      <c r="I66" s="33">
        <f>+I55*'Assumptions and Sensis'!$P$145*'Phase III Pro Forma'!I59</f>
        <v>291844.18304276152</v>
      </c>
      <c r="J66" s="33">
        <f>+J55*'Assumptions and Sensis'!$P$145*'Phase III Pro Forma'!J59</f>
        <v>601199.01706808875</v>
      </c>
      <c r="K66" s="33">
        <f>+K55*'Assumptions and Sensis'!$P$145*'Phase III Pro Forma'!K59</f>
        <v>619234.98758013139</v>
      </c>
      <c r="L66" s="33">
        <f>+L55*'Assumptions and Sensis'!$P$145*'Phase III Pro Forma'!L59</f>
        <v>637812.03720753535</v>
      </c>
      <c r="M66" s="33">
        <f>+M55*'Assumptions and Sensis'!$P$145*'Phase III Pro Forma'!M59</f>
        <v>656946.39832376153</v>
      </c>
      <c r="N66" s="33">
        <f>+N55*'Assumptions and Sensis'!$P$145*'Phase III Pro Forma'!N59</f>
        <v>676654.79027347441</v>
      </c>
      <c r="O66" s="33">
        <f>+O55*'Assumptions and Sensis'!$P$145*'Phase III Pro Forma'!O59</f>
        <v>696954.43398167868</v>
      </c>
      <c r="P66" s="33">
        <f>+P55*'Assumptions and Sensis'!$P$145*'Phase III Pro Forma'!P59</f>
        <v>717863.06700112892</v>
      </c>
      <c r="Q66" s="33">
        <f>+Q55*'Assumptions and Sensis'!$P$145*'Phase III Pro Forma'!Q59</f>
        <v>739398.95901116286</v>
      </c>
      <c r="R66" s="33">
        <f>+R55*'Assumptions and Sensis'!$P$145*'Phase III Pro Forma'!R59</f>
        <v>761580.92778149771</v>
      </c>
      <c r="S66" s="33">
        <f>+S55*'Assumptions and Sensis'!$P$145*'Phase III Pro Forma'!S59</f>
        <v>784428.35561494273</v>
      </c>
      <c r="T66" s="33">
        <f>+T55*'Assumptions and Sensis'!$P$145*'Phase III Pro Forma'!T59</f>
        <v>807961.2062833911</v>
      </c>
      <c r="U66" s="33">
        <f>+U55*'Assumptions and Sensis'!$P$145*'Phase III Pro Forma'!U59</f>
        <v>832200.0424718929</v>
      </c>
      <c r="V66" s="33">
        <f>+V55*'Assumptions and Sensis'!$P$145*'Phase III Pro Forma'!V59</f>
        <v>857166.04374604975</v>
      </c>
      <c r="W66" s="33">
        <f>+W55*'Assumptions and Sensis'!$P$145*'Phase III Pro Forma'!W59</f>
        <v>882881.0250584312</v>
      </c>
      <c r="X66" s="33">
        <f>+X55*'Assumptions and Sensis'!$P$145*'Phase III Pro Forma'!X59</f>
        <v>909367.45581018412</v>
      </c>
      <c r="Y66" s="33">
        <f>+Y55*'Assumptions and Sensis'!$P$145*'Phase III Pro Forma'!Y59</f>
        <v>936648.47948448977</v>
      </c>
      <c r="Z66" s="33">
        <f>+Z55*'Assumptions and Sensis'!$P$145*'Phase III Pro Forma'!Z59</f>
        <v>964747.93386902451</v>
      </c>
    </row>
    <row r="67" spans="2:26" x14ac:dyDescent="0.2">
      <c r="B67" s="32" t="s">
        <v>325</v>
      </c>
      <c r="F67" s="150">
        <f ca="1">+IFERROR(INDEX('Taxes and TIF'!$AR$11:$AR$45,MATCH('Phase III Pro Forma'!F$7,'Taxes and TIF'!$AG$11:$AG$45,0)),0)*'Loan Sizing'!$M$19*F56</f>
        <v>0</v>
      </c>
      <c r="G67" s="150">
        <f ca="1">+IFERROR(INDEX('Taxes and TIF'!$AR$11:$AR$45,MATCH('Phase III Pro Forma'!G$7,'Taxes and TIF'!$AG$11:$AG$45,0)),0)*'Loan Sizing'!$M$19*G56</f>
        <v>0</v>
      </c>
      <c r="H67" s="150">
        <f ca="1">+IFERROR(INDEX('Taxes and TIF'!$AR$11:$AR$45,MATCH('Phase III Pro Forma'!H$7,'Taxes and TIF'!$AG$11:$AG$45,0)),0)*'Loan Sizing'!$M$19*H56</f>
        <v>0</v>
      </c>
      <c r="I67" s="150">
        <f ca="1">+IFERROR(INDEX('Taxes and TIF'!$AR$11:$AR$45,MATCH('Phase III Pro Forma'!I$7,'Taxes and TIF'!$AG$11:$AG$45,0)),0)*'Loan Sizing'!$M$19*I56</f>
        <v>227493.5679598602</v>
      </c>
      <c r="J67" s="150">
        <f ca="1">+IFERROR(INDEX('Taxes and TIF'!$AR$11:$AR$45,MATCH('Phase III Pro Forma'!J$7,'Taxes and TIF'!$AG$11:$AG$45,0)),0)*'Loan Sizing'!$M$19*J56</f>
        <v>464086.8786381149</v>
      </c>
      <c r="K67" s="150">
        <f ca="1">+IFERROR(INDEX('Taxes and TIF'!$AR$11:$AR$45,MATCH('Phase III Pro Forma'!K$7,'Taxes and TIF'!$AG$11:$AG$45,0)),0)*'Loan Sizing'!$M$19*K56</f>
        <v>464086.8786381149</v>
      </c>
      <c r="L67" s="150">
        <f ca="1">+IFERROR(INDEX('Taxes and TIF'!$AR$11:$AR$45,MATCH('Phase III Pro Forma'!L$7,'Taxes and TIF'!$AG$11:$AG$45,0)),0)*'Loan Sizing'!$M$19*L56</f>
        <v>464086.8786381149</v>
      </c>
      <c r="M67" s="150">
        <f ca="1">+IFERROR(INDEX('Taxes and TIF'!$AR$11:$AR$45,MATCH('Phase III Pro Forma'!M$7,'Taxes and TIF'!$AG$11:$AG$45,0)),0)*'Loan Sizing'!$M$19*M56</f>
        <v>473368.61621087708</v>
      </c>
      <c r="N67" s="150">
        <f ca="1">+IFERROR(INDEX('Taxes and TIF'!$AR$11:$AR$45,MATCH('Phase III Pro Forma'!N$7,'Taxes and TIF'!$AG$11:$AG$45,0)),0)*'Loan Sizing'!$M$19*N56</f>
        <v>473368.61621087708</v>
      </c>
      <c r="O67" s="150">
        <f ca="1">+IFERROR(INDEX('Taxes and TIF'!$AR$11:$AR$45,MATCH('Phase III Pro Forma'!O$7,'Taxes and TIF'!$AG$11:$AG$45,0)),0)*'Loan Sizing'!$M$19*O56</f>
        <v>473368.61621087708</v>
      </c>
      <c r="P67" s="150">
        <f ca="1">+IFERROR(INDEX('Taxes and TIF'!$AR$11:$AR$45,MATCH('Phase III Pro Forma'!P$7,'Taxes and TIF'!$AG$11:$AG$45,0)),0)*'Loan Sizing'!$M$19*P56</f>
        <v>482835.98853509472</v>
      </c>
      <c r="Q67" s="150">
        <f ca="1">+IFERROR(INDEX('Taxes and TIF'!$AR$11:$AR$45,MATCH('Phase III Pro Forma'!Q$7,'Taxes and TIF'!$AG$11:$AG$45,0)),0)*'Loan Sizing'!$M$19*Q56</f>
        <v>482835.98853509472</v>
      </c>
      <c r="R67" s="150">
        <f ca="1">+IFERROR(INDEX('Taxes and TIF'!$AR$11:$AR$45,MATCH('Phase III Pro Forma'!R$7,'Taxes and TIF'!$AG$11:$AG$45,0)),0)*'Loan Sizing'!$M$19*R56</f>
        <v>482835.98853509472</v>
      </c>
      <c r="S67" s="150">
        <f ca="1">+IFERROR(INDEX('Taxes and TIF'!$AR$11:$AR$45,MATCH('Phase III Pro Forma'!S$7,'Taxes and TIF'!$AG$11:$AG$45,0)),0)*'Loan Sizing'!$M$19*S56</f>
        <v>492492.70830579655</v>
      </c>
      <c r="T67" s="150">
        <f ca="1">+IFERROR(INDEX('Taxes and TIF'!$AR$11:$AR$45,MATCH('Phase III Pro Forma'!T$7,'Taxes and TIF'!$AG$11:$AG$45,0)),0)*'Loan Sizing'!$M$19*T56</f>
        <v>492492.70830579655</v>
      </c>
      <c r="U67" s="150">
        <f ca="1">+IFERROR(INDEX('Taxes and TIF'!$AR$11:$AR$45,MATCH('Phase III Pro Forma'!U$7,'Taxes and TIF'!$AG$11:$AG$45,0)),0)*'Loan Sizing'!$M$19*U56</f>
        <v>492492.70830579655</v>
      </c>
      <c r="V67" s="150">
        <f ca="1">+IFERROR(INDEX('Taxes and TIF'!$AR$11:$AR$45,MATCH('Phase III Pro Forma'!V$7,'Taxes and TIF'!$AG$11:$AG$45,0)),0)*'Loan Sizing'!$M$19*V56</f>
        <v>502342.56247191259</v>
      </c>
      <c r="W67" s="150">
        <f ca="1">+IFERROR(INDEX('Taxes and TIF'!$AR$11:$AR$45,MATCH('Phase III Pro Forma'!W$7,'Taxes and TIF'!$AG$11:$AG$45,0)),0)*'Loan Sizing'!$M$19*W56</f>
        <v>502342.56247191259</v>
      </c>
      <c r="X67" s="150">
        <f ca="1">+IFERROR(INDEX('Taxes and TIF'!$AR$11:$AR$45,MATCH('Phase III Pro Forma'!X$7,'Taxes and TIF'!$AG$11:$AG$45,0)),0)*'Loan Sizing'!$M$19*X56</f>
        <v>502342.56247191259</v>
      </c>
      <c r="Y67" s="150">
        <f ca="1">+IFERROR(INDEX('Taxes and TIF'!$AR$11:$AR$45,MATCH('Phase III Pro Forma'!Y$7,'Taxes and TIF'!$AG$11:$AG$45,0)),0)*'Loan Sizing'!$M$19*Y56</f>
        <v>512389.41372135084</v>
      </c>
      <c r="Z67" s="150">
        <f ca="1">+IFERROR(INDEX('Taxes and TIF'!$AR$11:$AR$45,MATCH('Phase III Pro Forma'!Z$7,'Taxes and TIF'!$AG$11:$AG$45,0)),0)*'Loan Sizing'!$M$19*Z56</f>
        <v>512389.41372135084</v>
      </c>
    </row>
    <row r="68" spans="2:26" x14ac:dyDescent="0.2">
      <c r="B68" s="136" t="s">
        <v>249</v>
      </c>
      <c r="C68" s="136"/>
      <c r="D68" s="136"/>
      <c r="E68" s="136"/>
      <c r="F68" s="128">
        <f ca="1">+SUM(F66:F67)</f>
        <v>0</v>
      </c>
      <c r="G68" s="128">
        <f t="shared" ref="G68" ca="1" si="22">+SUM(G66:G67)</f>
        <v>0</v>
      </c>
      <c r="H68" s="128">
        <f t="shared" ref="H68:Z68" ca="1" si="23">+SUM(H66:H67)</f>
        <v>0</v>
      </c>
      <c r="I68" s="128">
        <f t="shared" ca="1" si="23"/>
        <v>519337.75100262172</v>
      </c>
      <c r="J68" s="128">
        <f t="shared" ca="1" si="23"/>
        <v>1065285.8957062038</v>
      </c>
      <c r="K68" s="128">
        <f t="shared" ca="1" si="23"/>
        <v>1083321.8662182463</v>
      </c>
      <c r="L68" s="128">
        <f t="shared" ca="1" si="23"/>
        <v>1101898.9158456502</v>
      </c>
      <c r="M68" s="128">
        <f t="shared" ca="1" si="23"/>
        <v>1130315.0145346387</v>
      </c>
      <c r="N68" s="128">
        <f t="shared" ca="1" si="23"/>
        <v>1150023.4064843515</v>
      </c>
      <c r="O68" s="128">
        <f t="shared" ca="1" si="23"/>
        <v>1170323.0501925559</v>
      </c>
      <c r="P68" s="128">
        <f t="shared" ca="1" si="23"/>
        <v>1200699.0555362236</v>
      </c>
      <c r="Q68" s="128">
        <f t="shared" ca="1" si="23"/>
        <v>1222234.9475462576</v>
      </c>
      <c r="R68" s="128">
        <f t="shared" ca="1" si="23"/>
        <v>1244416.9163165924</v>
      </c>
      <c r="S68" s="128">
        <f t="shared" ca="1" si="23"/>
        <v>1276921.0639207393</v>
      </c>
      <c r="T68" s="128">
        <f t="shared" ca="1" si="23"/>
        <v>1300453.9145891876</v>
      </c>
      <c r="U68" s="128">
        <f t="shared" ca="1" si="23"/>
        <v>1324692.7507776895</v>
      </c>
      <c r="V68" s="128">
        <f t="shared" ca="1" si="23"/>
        <v>1359508.6062179622</v>
      </c>
      <c r="W68" s="128">
        <f t="shared" ca="1" si="23"/>
        <v>1385223.5875303438</v>
      </c>
      <c r="X68" s="128">
        <f t="shared" ca="1" si="23"/>
        <v>1411710.0182820968</v>
      </c>
      <c r="Y68" s="128">
        <f t="shared" ca="1" si="23"/>
        <v>1449037.8932058406</v>
      </c>
      <c r="Z68" s="128">
        <f t="shared" ca="1" si="23"/>
        <v>1477137.3475903752</v>
      </c>
    </row>
    <row r="69" spans="2:26" x14ac:dyDescent="0.2">
      <c r="B69" s="32"/>
    </row>
    <row r="70" spans="2:26" x14ac:dyDescent="0.2">
      <c r="B70" s="137" t="s">
        <v>248</v>
      </c>
      <c r="C70" s="137"/>
      <c r="D70" s="137"/>
      <c r="E70" s="137"/>
      <c r="F70" s="138">
        <f ca="1">+F64-F68</f>
        <v>0</v>
      </c>
      <c r="G70" s="138">
        <f t="shared" ref="G70:Z70" ca="1" si="24">+G64-G68</f>
        <v>0</v>
      </c>
      <c r="H70" s="138">
        <f t="shared" ca="1" si="24"/>
        <v>0</v>
      </c>
      <c r="I70" s="138">
        <f t="shared" ca="1" si="24"/>
        <v>737856.30172916979</v>
      </c>
      <c r="J70" s="138">
        <f t="shared" ca="1" si="24"/>
        <v>1473051.5640882431</v>
      </c>
      <c r="K70" s="138">
        <f t="shared" ca="1" si="24"/>
        <v>1471247.9670370391</v>
      </c>
      <c r="L70" s="138">
        <f t="shared" ca="1" si="24"/>
        <v>1627348.2774401852</v>
      </c>
      <c r="M70" s="138">
        <f t="shared" ca="1" si="24"/>
        <v>1624506.6675712862</v>
      </c>
      <c r="N70" s="138">
        <f t="shared" ca="1" si="24"/>
        <v>1622535.8283763151</v>
      </c>
      <c r="O70" s="138">
        <f t="shared" ca="1" si="24"/>
        <v>1620505.8640054944</v>
      </c>
      <c r="P70" s="138">
        <f t="shared" ca="1" si="24"/>
        <v>1617468.263471128</v>
      </c>
      <c r="Q70" s="138">
        <f t="shared" ca="1" si="24"/>
        <v>1789068.4911725996</v>
      </c>
      <c r="R70" s="138">
        <f t="shared" ca="1" si="24"/>
        <v>1786850.2942955659</v>
      </c>
      <c r="S70" s="138">
        <f t="shared" ca="1" si="24"/>
        <v>1783599.8795351514</v>
      </c>
      <c r="T70" s="138">
        <f t="shared" ca="1" si="24"/>
        <v>1781246.5944683068</v>
      </c>
      <c r="U70" s="138">
        <f t="shared" ca="1" si="24"/>
        <v>1778822.7108494567</v>
      </c>
      <c r="V70" s="138">
        <f t="shared" ca="1" si="24"/>
        <v>1966470.3238981529</v>
      </c>
      <c r="W70" s="138">
        <f t="shared" ca="1" si="24"/>
        <v>1963898.8257669145</v>
      </c>
      <c r="X70" s="138">
        <f t="shared" ca="1" si="24"/>
        <v>1961250.1826917389</v>
      </c>
      <c r="Y70" s="138">
        <f t="shared" ca="1" si="24"/>
        <v>1957517.395199365</v>
      </c>
      <c r="Z70" s="138">
        <f t="shared" ca="1" si="24"/>
        <v>1954707.4497609115</v>
      </c>
    </row>
    <row r="71" spans="2:26" x14ac:dyDescent="0.2">
      <c r="B71" s="142" t="s">
        <v>254</v>
      </c>
      <c r="C71" s="140"/>
      <c r="D71" s="140"/>
      <c r="E71" s="140"/>
      <c r="F71" s="143" t="str">
        <f ca="1">+IFERROR(F70/F64,"")</f>
        <v/>
      </c>
      <c r="G71" s="143" t="str">
        <f t="shared" ref="G71:Z71" ca="1" si="25">+IFERROR(G70/G64,"")</f>
        <v/>
      </c>
      <c r="H71" s="143" t="str">
        <f t="shared" ca="1" si="25"/>
        <v/>
      </c>
      <c r="I71" s="144">
        <f t="shared" ca="1" si="25"/>
        <v>0.58690724803053396</v>
      </c>
      <c r="J71" s="144">
        <f t="shared" ca="1" si="25"/>
        <v>0.58032140620401595</v>
      </c>
      <c r="K71" s="144">
        <f t="shared" ca="1" si="25"/>
        <v>0.57592787164570469</v>
      </c>
      <c r="L71" s="144">
        <f t="shared" ca="1" si="25"/>
        <v>0.59626269157428868</v>
      </c>
      <c r="M71" s="144">
        <f t="shared" ca="1" si="25"/>
        <v>0.58969576075407948</v>
      </c>
      <c r="N71" s="144">
        <f t="shared" ca="1" si="25"/>
        <v>0.58521232223839381</v>
      </c>
      <c r="O71" s="144">
        <f t="shared" ca="1" si="25"/>
        <v>0.58065396118025736</v>
      </c>
      <c r="P71" s="144">
        <f t="shared" ca="1" si="25"/>
        <v>0.57394330441701802</v>
      </c>
      <c r="Q71" s="144">
        <f t="shared" ca="1" si="25"/>
        <v>0.59411763961381092</v>
      </c>
      <c r="R71" s="144">
        <f t="shared" ca="1" si="25"/>
        <v>0.58947303887957636</v>
      </c>
      <c r="S71" s="144">
        <f t="shared" ca="1" si="25"/>
        <v>0.58277656401891476</v>
      </c>
      <c r="T71" s="144">
        <f t="shared" ca="1" si="25"/>
        <v>0.57800769063476654</v>
      </c>
      <c r="U71" s="144">
        <f t="shared" ca="1" si="25"/>
        <v>0.57316379855147725</v>
      </c>
      <c r="V71" s="144">
        <f t="shared" ca="1" si="25"/>
        <v>0.5912455746764157</v>
      </c>
      <c r="W71" s="144">
        <f t="shared" ca="1" si="25"/>
        <v>0.58639207034341523</v>
      </c>
      <c r="X71" s="144">
        <f t="shared" ca="1" si="25"/>
        <v>0.58146259245083587</v>
      </c>
      <c r="Y71" s="144">
        <f t="shared" ca="1" si="25"/>
        <v>0.57463250394382581</v>
      </c>
      <c r="Z71" s="144">
        <f t="shared" ca="1" si="25"/>
        <v>0.56957921036218295</v>
      </c>
    </row>
    <row r="72" spans="2:26" x14ac:dyDescent="0.2">
      <c r="B72" s="142" t="s">
        <v>188</v>
      </c>
      <c r="C72" s="140"/>
      <c r="D72" s="140"/>
      <c r="E72" s="140"/>
      <c r="F72" s="141">
        <f ca="1">+F70/'Assumptions and Sensis'!$P$155</f>
        <v>0</v>
      </c>
      <c r="G72" s="141">
        <f ca="1">+G70/'Assumptions and Sensis'!$P$155</f>
        <v>0</v>
      </c>
      <c r="H72" s="141">
        <f ca="1">+H70/'Assumptions and Sensis'!$P$155</f>
        <v>0</v>
      </c>
      <c r="I72" s="141">
        <f ca="1">+I70/'Assumptions and Sensis'!$P$155</f>
        <v>11351635.411217997</v>
      </c>
      <c r="J72" s="141">
        <f ca="1">+J70/'Assumptions and Sensis'!$P$155</f>
        <v>22662331.755203739</v>
      </c>
      <c r="K72" s="141">
        <f ca="1">+K70/'Assumptions and Sensis'!$P$155</f>
        <v>22634584.10826214</v>
      </c>
      <c r="L72" s="141">
        <f ca="1">+L70/'Assumptions and Sensis'!$P$155</f>
        <v>25036127.345233619</v>
      </c>
      <c r="M72" s="141">
        <f ca="1">+M70/'Assumptions and Sensis'!$P$155</f>
        <v>24992410.270327479</v>
      </c>
      <c r="N72" s="141">
        <f ca="1">+N70/'Assumptions and Sensis'!$P$155</f>
        <v>24962089.667327922</v>
      </c>
      <c r="O72" s="141">
        <f ca="1">+O70/'Assumptions and Sensis'!$P$155</f>
        <v>24930859.446238376</v>
      </c>
      <c r="P72" s="141">
        <f ca="1">+P70/'Assumptions and Sensis'!$P$155</f>
        <v>24884127.130325045</v>
      </c>
      <c r="Q72" s="141">
        <f ca="1">+Q70/'Assumptions and Sensis'!$P$155</f>
        <v>27524130.63342461</v>
      </c>
      <c r="R72" s="141">
        <f ca="1">+R70/'Assumptions and Sensis'!$P$155</f>
        <v>27490004.527624089</v>
      </c>
      <c r="S72" s="141">
        <f ca="1">+S70/'Assumptions and Sensis'!$P$155</f>
        <v>27439998.146694638</v>
      </c>
      <c r="T72" s="141">
        <f ca="1">+T70/'Assumptions and Sensis'!$P$155</f>
        <v>27403793.761050873</v>
      </c>
      <c r="U72" s="141">
        <f ca="1">+U70/'Assumptions and Sensis'!$P$155</f>
        <v>27366503.243837796</v>
      </c>
      <c r="V72" s="141">
        <f ca="1">+V70/'Assumptions and Sensis'!$P$155</f>
        <v>30253389.598433122</v>
      </c>
      <c r="W72" s="141">
        <f ca="1">+W70/'Assumptions and Sensis'!$P$155</f>
        <v>30213828.08872176</v>
      </c>
      <c r="X72" s="141">
        <f ca="1">+X70/'Assumptions and Sensis'!$P$155</f>
        <v>30173079.733719058</v>
      </c>
      <c r="Y72" s="141">
        <f ca="1">+Y70/'Assumptions and Sensis'!$P$155</f>
        <v>30115652.233836383</v>
      </c>
      <c r="Z72" s="141">
        <f ca="1">+Z70/'Assumptions and Sensis'!$P$155</f>
        <v>30072422.304014023</v>
      </c>
    </row>
    <row r="74" spans="2:26" x14ac:dyDescent="0.2">
      <c r="B74" s="147" t="s">
        <v>145</v>
      </c>
      <c r="C74" s="148"/>
      <c r="D74" s="148"/>
      <c r="E74" s="148"/>
      <c r="F74" s="149">
        <f>+'Assumptions and Sensis'!$H$43</f>
        <v>45657</v>
      </c>
      <c r="G74" s="149">
        <f>+EOMONTH(F74,12)</f>
        <v>46022</v>
      </c>
      <c r="H74" s="149">
        <f t="shared" ref="H74:Z74" si="26">+EOMONTH(G74,12)</f>
        <v>46387</v>
      </c>
      <c r="I74" s="149">
        <f t="shared" si="26"/>
        <v>46752</v>
      </c>
      <c r="J74" s="149">
        <f t="shared" si="26"/>
        <v>47118</v>
      </c>
      <c r="K74" s="149">
        <f t="shared" si="26"/>
        <v>47483</v>
      </c>
      <c r="L74" s="149">
        <f t="shared" si="26"/>
        <v>47848</v>
      </c>
      <c r="M74" s="149">
        <f t="shared" si="26"/>
        <v>48213</v>
      </c>
      <c r="N74" s="149">
        <f t="shared" si="26"/>
        <v>48579</v>
      </c>
      <c r="O74" s="149">
        <f t="shared" si="26"/>
        <v>48944</v>
      </c>
      <c r="P74" s="149">
        <f t="shared" si="26"/>
        <v>49309</v>
      </c>
      <c r="Q74" s="149">
        <f t="shared" si="26"/>
        <v>49674</v>
      </c>
      <c r="R74" s="149">
        <f t="shared" si="26"/>
        <v>50040</v>
      </c>
      <c r="S74" s="149">
        <f t="shared" si="26"/>
        <v>50405</v>
      </c>
      <c r="T74" s="149">
        <f t="shared" si="26"/>
        <v>50770</v>
      </c>
      <c r="U74" s="149">
        <f t="shared" si="26"/>
        <v>51135</v>
      </c>
      <c r="V74" s="149">
        <f t="shared" si="26"/>
        <v>51501</v>
      </c>
      <c r="W74" s="149">
        <f t="shared" si="26"/>
        <v>51866</v>
      </c>
      <c r="X74" s="149">
        <f t="shared" si="26"/>
        <v>52231</v>
      </c>
      <c r="Y74" s="149">
        <f t="shared" si="26"/>
        <v>52596</v>
      </c>
      <c r="Z74" s="149">
        <f t="shared" si="26"/>
        <v>52962</v>
      </c>
    </row>
    <row r="75" spans="2:26" x14ac:dyDescent="0.2">
      <c r="B75" s="32" t="s">
        <v>756</v>
      </c>
      <c r="C75" s="32"/>
      <c r="D75" s="39"/>
      <c r="E75" s="39"/>
      <c r="F75" s="41">
        <f>+IF(AND(F74&gt;='Assumptions and Sensis'!$H$47,F74&lt;'Assumptions and Sensis'!$H$49),'Assumptions and Sensis'!$H$184/ROUNDUP(('Assumptions and Sensis'!$H$48/12),0),0)</f>
        <v>0</v>
      </c>
      <c r="G75" s="41">
        <f>+IF(AND(G74&gt;='Assumptions and Sensis'!$H$47,G74&lt;'Assumptions and Sensis'!$H$49),'Assumptions and Sensis'!$H$184/ROUNDUP(('Assumptions and Sensis'!$H$48/12),0),0)</f>
        <v>0</v>
      </c>
      <c r="H75" s="41">
        <f>+IF(AND(H74&gt;='Assumptions and Sensis'!$H$47,H74&lt;'Assumptions and Sensis'!$H$49),'Assumptions and Sensis'!$H$184/ROUNDUP(('Assumptions and Sensis'!$H$48/12),0),0)</f>
        <v>0</v>
      </c>
      <c r="I75" s="41">
        <f>+IF(AND(I74&gt;='Assumptions and Sensis'!$H$47,I74&lt;'Assumptions and Sensis'!$H$49),'Assumptions and Sensis'!$H$184/ROUNDUP(('Assumptions and Sensis'!$H$48/12),0),0)</f>
        <v>39105</v>
      </c>
      <c r="J75" s="41">
        <f>+IF(AND(J74&gt;='Assumptions and Sensis'!$H$47,J74&lt;'Assumptions and Sensis'!$H$49),'Assumptions and Sensis'!$H$184/ROUNDUP(('Assumptions and Sensis'!$H$48/12),0),0)</f>
        <v>39105</v>
      </c>
      <c r="K75" s="41">
        <f>+IF(AND(K74&gt;='Assumptions and Sensis'!$H$47,K74&lt;'Assumptions and Sensis'!$H$49),'Assumptions and Sensis'!$H$184/ROUNDUP(('Assumptions and Sensis'!$H$48/12),0),0)</f>
        <v>0</v>
      </c>
      <c r="L75" s="41">
        <f>+IF(AND(L74&gt;='Assumptions and Sensis'!$H$47,L74&lt;'Assumptions and Sensis'!$H$49),'Assumptions and Sensis'!$H$184/ROUNDUP(('Assumptions and Sensis'!$H$48/12),0),0)</f>
        <v>0</v>
      </c>
      <c r="M75" s="41">
        <f>+IF(AND(M74&gt;='Assumptions and Sensis'!$H$47,M74&lt;'Assumptions and Sensis'!$H$49),'Assumptions and Sensis'!$H$184/ROUNDUP(('Assumptions and Sensis'!$H$48/12),0),0)</f>
        <v>0</v>
      </c>
      <c r="N75" s="41">
        <f>+IF(AND(N74&gt;='Assumptions and Sensis'!$H$47,N74&lt;'Assumptions and Sensis'!$H$49),'Assumptions and Sensis'!$H$184/ROUNDUP(('Assumptions and Sensis'!$H$48/12),0),0)</f>
        <v>0</v>
      </c>
      <c r="O75" s="41">
        <f>+IF(AND(O74&gt;='Assumptions and Sensis'!$H$47,O74&lt;'Assumptions and Sensis'!$H$49),'Assumptions and Sensis'!$H$184/ROUNDUP(('Assumptions and Sensis'!$H$48/12),0),0)</f>
        <v>0</v>
      </c>
      <c r="P75" s="41">
        <f>+IF(AND(P74&gt;='Assumptions and Sensis'!$H$47,P74&lt;'Assumptions and Sensis'!$H$49),'Assumptions and Sensis'!$H$184/ROUNDUP(('Assumptions and Sensis'!$H$48/12),0),0)</f>
        <v>0</v>
      </c>
      <c r="Q75" s="41">
        <f>+IF(AND(Q74&gt;='Assumptions and Sensis'!$H$47,Q74&lt;'Assumptions and Sensis'!$H$49),'Assumptions and Sensis'!$H$184/ROUNDUP(('Assumptions and Sensis'!$H$48/12),0),0)</f>
        <v>0</v>
      </c>
      <c r="R75" s="41">
        <f>+IF(AND(R74&gt;='Assumptions and Sensis'!$H$47,R74&lt;'Assumptions and Sensis'!$H$49),'Assumptions and Sensis'!$H$184/ROUNDUP(('Assumptions and Sensis'!$H$48/12),0),0)</f>
        <v>0</v>
      </c>
      <c r="S75" s="41">
        <f>+IF(AND(S74&gt;='Assumptions and Sensis'!$H$47,S74&lt;'Assumptions and Sensis'!$H$49),'Assumptions and Sensis'!$H$184/ROUNDUP(('Assumptions and Sensis'!$H$48/12),0),0)</f>
        <v>0</v>
      </c>
      <c r="T75" s="41">
        <f>+IF(AND(T74&gt;='Assumptions and Sensis'!$H$47,T74&lt;'Assumptions and Sensis'!$H$49),'Assumptions and Sensis'!$H$184/ROUNDUP(('Assumptions and Sensis'!$H$48/12),0),0)</f>
        <v>0</v>
      </c>
      <c r="U75" s="41">
        <f>+IF(AND(U74&gt;='Assumptions and Sensis'!$H$47,U74&lt;'Assumptions and Sensis'!$H$49),'Assumptions and Sensis'!$H$184/ROUNDUP(('Assumptions and Sensis'!$H$48/12),0),0)</f>
        <v>0</v>
      </c>
      <c r="V75" s="41">
        <f>+IF(AND(V74&gt;='Assumptions and Sensis'!$H$47,V74&lt;'Assumptions and Sensis'!$H$49),'Assumptions and Sensis'!$H$184/ROUNDUP(('Assumptions and Sensis'!$H$48/12),0),0)</f>
        <v>0</v>
      </c>
      <c r="W75" s="41">
        <f>+IF(AND(W74&gt;='Assumptions and Sensis'!$H$47,W74&lt;'Assumptions and Sensis'!$H$49),'Assumptions and Sensis'!$H$184/ROUNDUP(('Assumptions and Sensis'!$H$48/12),0),0)</f>
        <v>0</v>
      </c>
      <c r="X75" s="41">
        <f>+IF(AND(X74&gt;='Assumptions and Sensis'!$H$47,X74&lt;'Assumptions and Sensis'!$H$49),'Assumptions and Sensis'!$H$184/ROUNDUP(('Assumptions and Sensis'!$H$48/12),0),0)</f>
        <v>0</v>
      </c>
      <c r="Y75" s="41">
        <f>+IF(AND(Y74&gt;='Assumptions and Sensis'!$H$47,Y74&lt;'Assumptions and Sensis'!$H$49),'Assumptions and Sensis'!$H$184/ROUNDUP(('Assumptions and Sensis'!$H$48/12),0),0)</f>
        <v>0</v>
      </c>
      <c r="Z75" s="41">
        <f>+IF(AND(Z74&gt;='Assumptions and Sensis'!$H$47,Z74&lt;'Assumptions and Sensis'!$H$49),'Assumptions and Sensis'!$H$184/ROUNDUP(('Assumptions and Sensis'!$H$48/12),0),0)</f>
        <v>0</v>
      </c>
    </row>
    <row r="76" spans="2:26" x14ac:dyDescent="0.2">
      <c r="B76" s="32" t="s">
        <v>246</v>
      </c>
      <c r="C76" s="32"/>
      <c r="D76" s="41"/>
      <c r="E76" s="41"/>
      <c r="F76" s="41">
        <f>+D76+F75</f>
        <v>0</v>
      </c>
      <c r="G76" s="41">
        <f t="shared" ref="G76:Z76" si="27">+F76+G75</f>
        <v>0</v>
      </c>
      <c r="H76" s="41">
        <f t="shared" si="27"/>
        <v>0</v>
      </c>
      <c r="I76" s="41">
        <f t="shared" si="27"/>
        <v>39105</v>
      </c>
      <c r="J76" s="41">
        <f t="shared" si="27"/>
        <v>78210</v>
      </c>
      <c r="K76" s="41">
        <f t="shared" si="27"/>
        <v>78210</v>
      </c>
      <c r="L76" s="41">
        <f t="shared" si="27"/>
        <v>78210</v>
      </c>
      <c r="M76" s="41">
        <f t="shared" si="27"/>
        <v>78210</v>
      </c>
      <c r="N76" s="41">
        <f t="shared" si="27"/>
        <v>78210</v>
      </c>
      <c r="O76" s="41">
        <f t="shared" si="27"/>
        <v>78210</v>
      </c>
      <c r="P76" s="41">
        <f t="shared" si="27"/>
        <v>78210</v>
      </c>
      <c r="Q76" s="41">
        <f t="shared" si="27"/>
        <v>78210</v>
      </c>
      <c r="R76" s="41">
        <f t="shared" si="27"/>
        <v>78210</v>
      </c>
      <c r="S76" s="41">
        <f t="shared" si="27"/>
        <v>78210</v>
      </c>
      <c r="T76" s="41">
        <f t="shared" si="27"/>
        <v>78210</v>
      </c>
      <c r="U76" s="41">
        <f t="shared" si="27"/>
        <v>78210</v>
      </c>
      <c r="V76" s="41">
        <f t="shared" si="27"/>
        <v>78210</v>
      </c>
      <c r="W76" s="41">
        <f t="shared" si="27"/>
        <v>78210</v>
      </c>
      <c r="X76" s="41">
        <f t="shared" si="27"/>
        <v>78210</v>
      </c>
      <c r="Y76" s="41">
        <f t="shared" si="27"/>
        <v>78210</v>
      </c>
      <c r="Z76" s="41">
        <f t="shared" si="27"/>
        <v>78210</v>
      </c>
    </row>
    <row r="77" spans="2:26" x14ac:dyDescent="0.2">
      <c r="B77" s="32" t="s">
        <v>301</v>
      </c>
      <c r="C77" s="32"/>
      <c r="D77" s="41"/>
      <c r="E77" s="41"/>
      <c r="F77" s="107">
        <f t="shared" ref="F77:Z77" si="28">+F76/SUM($F75:$Z75)</f>
        <v>0</v>
      </c>
      <c r="G77" s="107">
        <f t="shared" si="28"/>
        <v>0</v>
      </c>
      <c r="H77" s="107">
        <f t="shared" si="28"/>
        <v>0</v>
      </c>
      <c r="I77" s="107">
        <f t="shared" si="28"/>
        <v>0.5</v>
      </c>
      <c r="J77" s="107">
        <f t="shared" si="28"/>
        <v>1</v>
      </c>
      <c r="K77" s="107">
        <f t="shared" si="28"/>
        <v>1</v>
      </c>
      <c r="L77" s="107">
        <f t="shared" si="28"/>
        <v>1</v>
      </c>
      <c r="M77" s="107">
        <f t="shared" si="28"/>
        <v>1</v>
      </c>
      <c r="N77" s="107">
        <f t="shared" si="28"/>
        <v>1</v>
      </c>
      <c r="O77" s="107">
        <f t="shared" si="28"/>
        <v>1</v>
      </c>
      <c r="P77" s="107">
        <f t="shared" si="28"/>
        <v>1</v>
      </c>
      <c r="Q77" s="107">
        <f t="shared" si="28"/>
        <v>1</v>
      </c>
      <c r="R77" s="107">
        <f t="shared" si="28"/>
        <v>1</v>
      </c>
      <c r="S77" s="107">
        <f t="shared" si="28"/>
        <v>1</v>
      </c>
      <c r="T77" s="107">
        <f t="shared" si="28"/>
        <v>1</v>
      </c>
      <c r="U77" s="107">
        <f t="shared" si="28"/>
        <v>1</v>
      </c>
      <c r="V77" s="107">
        <f t="shared" si="28"/>
        <v>1</v>
      </c>
      <c r="W77" s="107">
        <f t="shared" si="28"/>
        <v>1</v>
      </c>
      <c r="X77" s="107">
        <f t="shared" si="28"/>
        <v>1</v>
      </c>
      <c r="Y77" s="107">
        <f t="shared" si="28"/>
        <v>1</v>
      </c>
      <c r="Z77" s="107">
        <f t="shared" si="28"/>
        <v>1</v>
      </c>
    </row>
    <row r="78" spans="2:26" x14ac:dyDescent="0.2">
      <c r="B78" s="32"/>
      <c r="C78" s="32"/>
      <c r="D78" s="39"/>
      <c r="E78" s="39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 spans="2:26" x14ac:dyDescent="0.2">
      <c r="B79" s="32" t="s">
        <v>251</v>
      </c>
      <c r="C79" s="32"/>
      <c r="D79" s="41"/>
      <c r="E79" s="41"/>
      <c r="F79" s="107">
        <v>1</v>
      </c>
      <c r="G79" s="107">
        <f>+IF(MOD(G$2,'Assumptions and Sensis'!$P$91)=('Assumptions and Sensis'!$P$91-1),F79*(1+'Assumptions and Sensis'!$P$90),'Phase III Pro Forma'!F79)</f>
        <v>1</v>
      </c>
      <c r="H79" s="107">
        <f>+IF(MOD(H$2,'Assumptions and Sensis'!$P$91)=('Assumptions and Sensis'!$P$91-1),G79*(1+'Assumptions and Sensis'!$P$90),'Phase III Pro Forma'!G79)</f>
        <v>1</v>
      </c>
      <c r="I79" s="107">
        <f>+IF(MOD(I$2,'Assumptions and Sensis'!$P$91)=('Assumptions and Sensis'!$P$91-1),H79*(1+'Assumptions and Sensis'!$P$90),'Phase III Pro Forma'!H79)</f>
        <v>1</v>
      </c>
      <c r="J79" s="107">
        <f>+IF(MOD(J$2,'Assumptions and Sensis'!$P$91)=('Assumptions and Sensis'!$P$91-1),I79*(1+'Assumptions and Sensis'!$P$90),'Phase III Pro Forma'!I79)</f>
        <v>1</v>
      </c>
      <c r="K79" s="107">
        <f>+IF(MOD(K$2,'Assumptions and Sensis'!$P$91)=('Assumptions and Sensis'!$P$91-1),J79*(1+'Assumptions and Sensis'!$P$90),'Phase III Pro Forma'!J79)</f>
        <v>1</v>
      </c>
      <c r="L79" s="107">
        <f>+IF(MOD(L$2,'Assumptions and Sensis'!$P$91)=('Assumptions and Sensis'!$P$91-1),K79*(1+'Assumptions and Sensis'!$P$90),'Phase III Pro Forma'!K79)</f>
        <v>1.05</v>
      </c>
      <c r="M79" s="107">
        <f>+IF(MOD(M$2,'Assumptions and Sensis'!$P$91)=('Assumptions and Sensis'!$P$91-1),L79*(1+'Assumptions and Sensis'!$P$90),'Phase III Pro Forma'!L79)</f>
        <v>1.05</v>
      </c>
      <c r="N79" s="107">
        <f>+IF(MOD(N$2,'Assumptions and Sensis'!$P$91)=('Assumptions and Sensis'!$P$91-1),M79*(1+'Assumptions and Sensis'!$P$90),'Phase III Pro Forma'!M79)</f>
        <v>1.05</v>
      </c>
      <c r="O79" s="107">
        <f>+IF(MOD(O$2,'Assumptions and Sensis'!$P$91)=('Assumptions and Sensis'!$P$91-1),N79*(1+'Assumptions and Sensis'!$P$90),'Phase III Pro Forma'!N79)</f>
        <v>1.05</v>
      </c>
      <c r="P79" s="107">
        <f>+IF(MOD(P$2,'Assumptions and Sensis'!$P$91)=('Assumptions and Sensis'!$P$91-1),O79*(1+'Assumptions and Sensis'!$P$90),'Phase III Pro Forma'!O79)</f>
        <v>1.05</v>
      </c>
      <c r="Q79" s="107">
        <f>+IF(MOD(Q$2,'Assumptions and Sensis'!$P$91)=('Assumptions and Sensis'!$P$91-1),P79*(1+'Assumptions and Sensis'!$P$90),'Phase III Pro Forma'!P79)</f>
        <v>1.1025</v>
      </c>
      <c r="R79" s="107">
        <f>+IF(MOD(R$2,'Assumptions and Sensis'!$P$91)=('Assumptions and Sensis'!$P$91-1),Q79*(1+'Assumptions and Sensis'!$P$90),'Phase III Pro Forma'!Q79)</f>
        <v>1.1025</v>
      </c>
      <c r="S79" s="107">
        <f>+IF(MOD(S$2,'Assumptions and Sensis'!$P$91)=('Assumptions and Sensis'!$P$91-1),R79*(1+'Assumptions and Sensis'!$P$90),'Phase III Pro Forma'!R79)</f>
        <v>1.1025</v>
      </c>
      <c r="T79" s="107">
        <f>+IF(MOD(T$2,'Assumptions and Sensis'!$P$91)=('Assumptions and Sensis'!$P$91-1),S79*(1+'Assumptions and Sensis'!$P$90),'Phase III Pro Forma'!S79)</f>
        <v>1.1025</v>
      </c>
      <c r="U79" s="107">
        <f>+IF(MOD(U$2,'Assumptions and Sensis'!$P$91)=('Assumptions and Sensis'!$P$91-1),T79*(1+'Assumptions and Sensis'!$P$90),'Phase III Pro Forma'!T79)</f>
        <v>1.1025</v>
      </c>
      <c r="V79" s="107">
        <f>+IF(MOD(V$2,'Assumptions and Sensis'!$P$91)=('Assumptions and Sensis'!$P$91-1),U79*(1+'Assumptions and Sensis'!$P$90),'Phase III Pro Forma'!U79)</f>
        <v>1.1576250000000001</v>
      </c>
      <c r="W79" s="107">
        <f>+IF(MOD(W$2,'Assumptions and Sensis'!$P$91)=('Assumptions and Sensis'!$P$91-1),V79*(1+'Assumptions and Sensis'!$P$90),'Phase III Pro Forma'!V79)</f>
        <v>1.1576250000000001</v>
      </c>
      <c r="X79" s="107">
        <f>+IF(MOD(X$2,'Assumptions and Sensis'!$P$91)=('Assumptions and Sensis'!$P$91-1),W79*(1+'Assumptions and Sensis'!$P$90),'Phase III Pro Forma'!W79)</f>
        <v>1.1576250000000001</v>
      </c>
      <c r="Y79" s="107">
        <f>+IF(MOD(Y$2,'Assumptions and Sensis'!$P$91)=('Assumptions and Sensis'!$P$91-1),X79*(1+'Assumptions and Sensis'!$P$90),'Phase III Pro Forma'!X79)</f>
        <v>1.1576250000000001</v>
      </c>
      <c r="Z79" s="107">
        <f>+IF(MOD(Z$2,'Assumptions and Sensis'!$P$91)=('Assumptions and Sensis'!$P$91-1),Y79*(1+'Assumptions and Sensis'!$P$90),'Phase III Pro Forma'!Y79)</f>
        <v>1.1576250000000001</v>
      </c>
    </row>
    <row r="80" spans="2:26" x14ac:dyDescent="0.2">
      <c r="B80" s="32" t="s">
        <v>252</v>
      </c>
      <c r="C80" s="32"/>
      <c r="D80" s="41"/>
      <c r="E80" s="41"/>
      <c r="F80" s="107">
        <v>1</v>
      </c>
      <c r="G80" s="107">
        <f>+F80*(1+'Assumptions and Sensis'!$P$101)</f>
        <v>1.03</v>
      </c>
      <c r="H80" s="107">
        <f>+G80*(1+'Assumptions and Sensis'!$P$101)</f>
        <v>1.0609</v>
      </c>
      <c r="I80" s="107">
        <f>+H80*(1+'Assumptions and Sensis'!$P$101)</f>
        <v>1.092727</v>
      </c>
      <c r="J80" s="107">
        <f>+I80*(1+'Assumptions and Sensis'!$P$101)</f>
        <v>1.1255088100000001</v>
      </c>
      <c r="K80" s="107">
        <f>+J80*(1+'Assumptions and Sensis'!$P$101)</f>
        <v>1.1592740743000001</v>
      </c>
      <c r="L80" s="107">
        <f>+K80*(1+'Assumptions and Sensis'!$P$101)</f>
        <v>1.1940522965290001</v>
      </c>
      <c r="M80" s="107">
        <f>+L80*(1+'Assumptions and Sensis'!$P$101)</f>
        <v>1.2298738654248702</v>
      </c>
      <c r="N80" s="107">
        <f>+M80*(1+'Assumptions and Sensis'!$P$101)</f>
        <v>1.2667700813876164</v>
      </c>
      <c r="O80" s="107">
        <f>+N80*(1+'Assumptions and Sensis'!$P$101)</f>
        <v>1.3047731838292449</v>
      </c>
      <c r="P80" s="107">
        <f>+O80*(1+'Assumptions and Sensis'!$P$101)</f>
        <v>1.3439163793441222</v>
      </c>
      <c r="Q80" s="107">
        <f>+P80*(1+'Assumptions and Sensis'!$P$101)</f>
        <v>1.3842338707244459</v>
      </c>
      <c r="R80" s="107">
        <f>+Q80*(1+'Assumptions and Sensis'!$P$101)</f>
        <v>1.4257608868461793</v>
      </c>
      <c r="S80" s="107">
        <f>+R80*(1+'Assumptions and Sensis'!$P$101)</f>
        <v>1.4685337134515648</v>
      </c>
      <c r="T80" s="107">
        <f>+S80*(1+'Assumptions and Sensis'!$P$101)</f>
        <v>1.5125897248551119</v>
      </c>
      <c r="U80" s="107">
        <f>+T80*(1+'Assumptions and Sensis'!$P$101)</f>
        <v>1.5579674166007653</v>
      </c>
      <c r="V80" s="107">
        <f>+U80*(1+'Assumptions and Sensis'!$P$101)</f>
        <v>1.6047064390987884</v>
      </c>
      <c r="W80" s="107">
        <f>+V80*(1+'Assumptions and Sensis'!$P$101)</f>
        <v>1.652847632271752</v>
      </c>
      <c r="X80" s="107">
        <f>+W80*(1+'Assumptions and Sensis'!$P$101)</f>
        <v>1.7024330612399046</v>
      </c>
      <c r="Y80" s="107">
        <f>+X80*(1+'Assumptions and Sensis'!$P$101)</f>
        <v>1.7535060530771018</v>
      </c>
      <c r="Z80" s="107">
        <f>+Y80*(1+'Assumptions and Sensis'!$P$101)</f>
        <v>1.806111234669415</v>
      </c>
    </row>
    <row r="81" spans="2:26" x14ac:dyDescent="0.2">
      <c r="B81" s="32"/>
      <c r="C81" s="32"/>
      <c r="D81" s="39"/>
      <c r="E81" s="39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 spans="2:26" x14ac:dyDescent="0.2">
      <c r="B82" s="32" t="s">
        <v>243</v>
      </c>
      <c r="C82" s="32"/>
      <c r="D82" s="39"/>
      <c r="E82" s="39"/>
      <c r="F82" s="33">
        <f>+F77*'Assumptions and Sensis'!$H$183*F79</f>
        <v>0</v>
      </c>
      <c r="G82" s="33">
        <f>+G77*'Assumptions and Sensis'!$H$183*G79</f>
        <v>0</v>
      </c>
      <c r="H82" s="33">
        <f>+H77*'Assumptions and Sensis'!$H$183*H79</f>
        <v>0</v>
      </c>
      <c r="I82" s="33">
        <f>+I77*'Assumptions and Sensis'!$H$183*I79</f>
        <v>391050</v>
      </c>
      <c r="J82" s="33">
        <f>+J77*'Assumptions and Sensis'!$H$183*J79</f>
        <v>782100</v>
      </c>
      <c r="K82" s="33">
        <f>+K77*'Assumptions and Sensis'!$H$183*K79</f>
        <v>782100</v>
      </c>
      <c r="L82" s="33">
        <f>+L77*'Assumptions and Sensis'!$H$183*L79</f>
        <v>821205</v>
      </c>
      <c r="M82" s="33">
        <f>+M77*'Assumptions and Sensis'!$H$183*M79</f>
        <v>821205</v>
      </c>
      <c r="N82" s="33">
        <f>+N77*'Assumptions and Sensis'!$H$183*N79</f>
        <v>821205</v>
      </c>
      <c r="O82" s="33">
        <f>+O77*'Assumptions and Sensis'!$H$183*O79</f>
        <v>821205</v>
      </c>
      <c r="P82" s="33">
        <f>+P77*'Assumptions and Sensis'!$H$183*P79</f>
        <v>821205</v>
      </c>
      <c r="Q82" s="33">
        <f>+Q77*'Assumptions and Sensis'!$H$183*Q79</f>
        <v>862265.25</v>
      </c>
      <c r="R82" s="33">
        <f>+R77*'Assumptions and Sensis'!$H$183*R79</f>
        <v>862265.25</v>
      </c>
      <c r="S82" s="33">
        <f>+S77*'Assumptions and Sensis'!$H$183*S79</f>
        <v>862265.25</v>
      </c>
      <c r="T82" s="33">
        <f>+T77*'Assumptions and Sensis'!$H$183*T79</f>
        <v>862265.25</v>
      </c>
      <c r="U82" s="33">
        <f>+U77*'Assumptions and Sensis'!$H$183*U79</f>
        <v>862265.25</v>
      </c>
      <c r="V82" s="33">
        <f>+V77*'Assumptions and Sensis'!$H$183*V79</f>
        <v>905378.51250000007</v>
      </c>
      <c r="W82" s="33">
        <f>+W77*'Assumptions and Sensis'!$H$183*W79</f>
        <v>905378.51250000007</v>
      </c>
      <c r="X82" s="33">
        <f>+X77*'Assumptions and Sensis'!$H$183*X79</f>
        <v>905378.51250000007</v>
      </c>
      <c r="Y82" s="33">
        <f>+Y77*'Assumptions and Sensis'!$H$183*Y79</f>
        <v>905378.51250000007</v>
      </c>
      <c r="Z82" s="33">
        <f>+Z77*'Assumptions and Sensis'!$H$183*Z79</f>
        <v>905378.51250000007</v>
      </c>
    </row>
    <row r="83" spans="2:26" x14ac:dyDescent="0.2">
      <c r="B83" s="32" t="s">
        <v>244</v>
      </c>
      <c r="C83" s="32"/>
      <c r="D83" s="39"/>
      <c r="E83" s="39"/>
      <c r="F83" s="41">
        <f>-F82*'Assumptions and Sensis'!$P$78</f>
        <v>0</v>
      </c>
      <c r="G83" s="41">
        <f>-G82*'Assumptions and Sensis'!$P$78</f>
        <v>0</v>
      </c>
      <c r="H83" s="41">
        <f>-H82*'Assumptions and Sensis'!$P$78</f>
        <v>0</v>
      </c>
      <c r="I83" s="41">
        <f>-I82*'Assumptions and Sensis'!$P$78</f>
        <v>-19552.5</v>
      </c>
      <c r="J83" s="41">
        <f>-J82*'Assumptions and Sensis'!$P$78</f>
        <v>-39105</v>
      </c>
      <c r="K83" s="41">
        <f>-K82*'Assumptions and Sensis'!$P$78</f>
        <v>-39105</v>
      </c>
      <c r="L83" s="41">
        <f>-L82*'Assumptions and Sensis'!$P$78</f>
        <v>-41060.25</v>
      </c>
      <c r="M83" s="41">
        <f>-M82*'Assumptions and Sensis'!$P$78</f>
        <v>-41060.25</v>
      </c>
      <c r="N83" s="41">
        <f>-N82*'Assumptions and Sensis'!$P$78</f>
        <v>-41060.25</v>
      </c>
      <c r="O83" s="41">
        <f>-O82*'Assumptions and Sensis'!$P$78</f>
        <v>-41060.25</v>
      </c>
      <c r="P83" s="41">
        <f>-P82*'Assumptions and Sensis'!$P$78</f>
        <v>-41060.25</v>
      </c>
      <c r="Q83" s="41">
        <f>-Q82*'Assumptions and Sensis'!$P$78</f>
        <v>-43113.262500000004</v>
      </c>
      <c r="R83" s="41">
        <f>-R82*'Assumptions and Sensis'!$P$78</f>
        <v>-43113.262500000004</v>
      </c>
      <c r="S83" s="41">
        <f>-S82*'Assumptions and Sensis'!$P$78</f>
        <v>-43113.262500000004</v>
      </c>
      <c r="T83" s="41">
        <f>-T82*'Assumptions and Sensis'!$P$78</f>
        <v>-43113.262500000004</v>
      </c>
      <c r="U83" s="41">
        <f>-U82*'Assumptions and Sensis'!$P$78</f>
        <v>-43113.262500000004</v>
      </c>
      <c r="V83" s="41">
        <f>-V82*'Assumptions and Sensis'!$P$78</f>
        <v>-45268.925625000003</v>
      </c>
      <c r="W83" s="41">
        <f>-W82*'Assumptions and Sensis'!$P$78</f>
        <v>-45268.925625000003</v>
      </c>
      <c r="X83" s="41">
        <f>-X82*'Assumptions and Sensis'!$P$78</f>
        <v>-45268.925625000003</v>
      </c>
      <c r="Y83" s="41">
        <f>-Y82*'Assumptions and Sensis'!$P$78</f>
        <v>-45268.925625000003</v>
      </c>
      <c r="Z83" s="41">
        <f>-Z82*'Assumptions and Sensis'!$P$78</f>
        <v>-45268.925625000003</v>
      </c>
    </row>
    <row r="84" spans="2:26" x14ac:dyDescent="0.2">
      <c r="B84" s="32" t="s">
        <v>259</v>
      </c>
      <c r="C84" s="32"/>
      <c r="D84" s="39"/>
      <c r="E84" s="39"/>
      <c r="F84" s="150">
        <f ca="1">+F89*'Assumptions and Sensis'!$P$112</f>
        <v>0</v>
      </c>
      <c r="G84" s="150">
        <f ca="1">+G89*'Assumptions and Sensis'!$P$112</f>
        <v>0</v>
      </c>
      <c r="H84" s="150">
        <f ca="1">+H89*'Assumptions and Sensis'!$P$112</f>
        <v>0</v>
      </c>
      <c r="I84" s="150">
        <f ca="1">+I89*'Assumptions and Sensis'!$P$112</f>
        <v>438661.07397351327</v>
      </c>
      <c r="J84" s="150">
        <f ca="1">+J89*'Assumptions and Sensis'!$P$112</f>
        <v>901344.08165189228</v>
      </c>
      <c r="K84" s="150">
        <f ca="1">+K89*'Assumptions and Sensis'!$P$112</f>
        <v>921353.34805680101</v>
      </c>
      <c r="L84" s="150">
        <f ca="1">+L89*'Assumptions and Sensis'!$P$112</f>
        <v>941962.89245385723</v>
      </c>
      <c r="M84" s="150">
        <f ca="1">+M89*'Assumptions and Sensis'!$P$112</f>
        <v>967878.09387925698</v>
      </c>
      <c r="N84" s="150">
        <f ca="1">+N89*'Assumptions and Sensis'!$P$112</f>
        <v>989742.75953009375</v>
      </c>
      <c r="O84" s="150">
        <f ca="1">+O89*'Assumptions and Sensis'!$P$112</f>
        <v>1012263.3651504557</v>
      </c>
      <c r="P84" s="150">
        <f ca="1">+P89*'Assumptions and Sensis'!$P$112</f>
        <v>1040240.707049789</v>
      </c>
      <c r="Q84" s="150">
        <f ca="1">+Q89*'Assumptions and Sensis'!$P$112</f>
        <v>1064132.817552431</v>
      </c>
      <c r="R84" s="150">
        <f ca="1">+R89*'Assumptions and Sensis'!$P$112</f>
        <v>1088741.6913701522</v>
      </c>
      <c r="S84" s="150">
        <f ca="1">+S89*'Assumptions and Sensis'!$P$112</f>
        <v>1118965.5718749729</v>
      </c>
      <c r="T84" s="150">
        <f ca="1">+T89*'Assumptions and Sensis'!$P$112</f>
        <v>1145073.1261081933</v>
      </c>
      <c r="U84" s="150">
        <f ca="1">+U89*'Assumptions and Sensis'!$P$112</f>
        <v>1171963.9069684104</v>
      </c>
      <c r="V84" s="150">
        <f ca="1">+V89*'Assumptions and Sensis'!$P$112</f>
        <v>1204635.6865364534</v>
      </c>
      <c r="W84" s="150">
        <f ca="1">+W89*'Assumptions and Sensis'!$P$112</f>
        <v>1233164.1159510575</v>
      </c>
      <c r="X84" s="150">
        <f ca="1">+X89*'Assumptions and Sensis'!$P$112</f>
        <v>1262548.3982481</v>
      </c>
      <c r="Y84" s="150">
        <f ca="1">+Y89*'Assumptions and Sensis'!$P$112</f>
        <v>1297887.9698017132</v>
      </c>
      <c r="Z84" s="150">
        <f ca="1">+Z89*'Assumptions and Sensis'!$P$112</f>
        <v>1329061.7548906456</v>
      </c>
    </row>
    <row r="85" spans="2:26" x14ac:dyDescent="0.2">
      <c r="B85" s="136" t="s">
        <v>253</v>
      </c>
      <c r="C85" s="136"/>
      <c r="D85" s="136"/>
      <c r="E85" s="136"/>
      <c r="F85" s="128">
        <f t="shared" ref="F85:Z85" ca="1" si="29">+SUM(F82:F84)</f>
        <v>0</v>
      </c>
      <c r="G85" s="128">
        <f t="shared" ca="1" si="29"/>
        <v>0</v>
      </c>
      <c r="H85" s="128">
        <f t="shared" ca="1" si="29"/>
        <v>0</v>
      </c>
      <c r="I85" s="128">
        <f t="shared" ca="1" si="29"/>
        <v>810158.57397351321</v>
      </c>
      <c r="J85" s="128">
        <f t="shared" ca="1" si="29"/>
        <v>1644339.0816518923</v>
      </c>
      <c r="K85" s="128">
        <f t="shared" ca="1" si="29"/>
        <v>1664348.3480568011</v>
      </c>
      <c r="L85" s="128">
        <f t="shared" ca="1" si="29"/>
        <v>1722107.6424538572</v>
      </c>
      <c r="M85" s="128">
        <f t="shared" ca="1" si="29"/>
        <v>1748022.8438792569</v>
      </c>
      <c r="N85" s="128">
        <f t="shared" ca="1" si="29"/>
        <v>1769887.5095300938</v>
      </c>
      <c r="O85" s="128">
        <f t="shared" ca="1" si="29"/>
        <v>1792408.1151504559</v>
      </c>
      <c r="P85" s="128">
        <f t="shared" ca="1" si="29"/>
        <v>1820385.4570497889</v>
      </c>
      <c r="Q85" s="128">
        <f t="shared" ca="1" si="29"/>
        <v>1883284.8050524311</v>
      </c>
      <c r="R85" s="128">
        <f t="shared" ca="1" si="29"/>
        <v>1907893.6788701522</v>
      </c>
      <c r="S85" s="128">
        <f t="shared" ca="1" si="29"/>
        <v>1938117.5593749729</v>
      </c>
      <c r="T85" s="128">
        <f t="shared" ca="1" si="29"/>
        <v>1964225.1136081934</v>
      </c>
      <c r="U85" s="128">
        <f t="shared" ca="1" si="29"/>
        <v>1991115.8944684104</v>
      </c>
      <c r="V85" s="128">
        <f t="shared" ca="1" si="29"/>
        <v>2064745.2734114535</v>
      </c>
      <c r="W85" s="128">
        <f t="shared" ca="1" si="29"/>
        <v>2093273.7028260576</v>
      </c>
      <c r="X85" s="128">
        <f t="shared" ca="1" si="29"/>
        <v>2122657.9851230998</v>
      </c>
      <c r="Y85" s="128">
        <f t="shared" ca="1" si="29"/>
        <v>2157997.5566767133</v>
      </c>
      <c r="Z85" s="128">
        <f t="shared" ca="1" si="29"/>
        <v>2189171.3417656459</v>
      </c>
    </row>
    <row r="87" spans="2:26" x14ac:dyDescent="0.2">
      <c r="B87" s="32" t="s">
        <v>389</v>
      </c>
      <c r="F87" s="33">
        <f>+F76*'Assumptions and Sensis'!$P$146*'Phase III Pro Forma'!F80</f>
        <v>0</v>
      </c>
      <c r="G87" s="33">
        <f>+G76*'Assumptions and Sensis'!$P$146*'Phase III Pro Forma'!G80</f>
        <v>0</v>
      </c>
      <c r="H87" s="33">
        <f>+H76*'Assumptions and Sensis'!$P$146*'Phase III Pro Forma'!H80</f>
        <v>0</v>
      </c>
      <c r="I87" s="33">
        <f>+I76*'Assumptions and Sensis'!$P$146*'Phase III Pro Forma'!I80</f>
        <v>323774.53729625914</v>
      </c>
      <c r="J87" s="33">
        <f>+J76*'Assumptions and Sensis'!$P$146*'Phase III Pro Forma'!J80</f>
        <v>666975.54683029384</v>
      </c>
      <c r="K87" s="33">
        <f>+K76*'Assumptions and Sensis'!$P$146*'Phase III Pro Forma'!K80</f>
        <v>686984.81323520257</v>
      </c>
      <c r="L87" s="33">
        <f>+L76*'Assumptions and Sensis'!$P$146*'Phase III Pro Forma'!L80</f>
        <v>707594.35763225879</v>
      </c>
      <c r="M87" s="33">
        <f>+M76*'Assumptions and Sensis'!$P$146*'Phase III Pro Forma'!M80</f>
        <v>728822.18836122658</v>
      </c>
      <c r="N87" s="33">
        <f>+N76*'Assumptions and Sensis'!$P$146*'Phase III Pro Forma'!N80</f>
        <v>750686.85401206336</v>
      </c>
      <c r="O87" s="33">
        <f>+O76*'Assumptions and Sensis'!$P$146*'Phase III Pro Forma'!O80</f>
        <v>773207.45963242534</v>
      </c>
      <c r="P87" s="33">
        <f>+P76*'Assumptions and Sensis'!$P$146*'Phase III Pro Forma'!P80</f>
        <v>796403.68342139805</v>
      </c>
      <c r="Q87" s="33">
        <f>+Q76*'Assumptions and Sensis'!$P$146*'Phase III Pro Forma'!Q80</f>
        <v>820295.79392404004</v>
      </c>
      <c r="R87" s="33">
        <f>+R76*'Assumptions and Sensis'!$P$146*'Phase III Pro Forma'!R80</f>
        <v>844904.66774176119</v>
      </c>
      <c r="S87" s="33">
        <f>+S76*'Assumptions and Sensis'!$P$146*'Phase III Pro Forma'!S80</f>
        <v>870251.80777401407</v>
      </c>
      <c r="T87" s="33">
        <f>+T76*'Assumptions and Sensis'!$P$146*'Phase III Pro Forma'!T80</f>
        <v>896359.36200723459</v>
      </c>
      <c r="U87" s="33">
        <f>+U76*'Assumptions and Sensis'!$P$146*'Phase III Pro Forma'!U80</f>
        <v>923250.14286745165</v>
      </c>
      <c r="V87" s="33">
        <f>+V76*'Assumptions and Sensis'!$P$146*'Phase III Pro Forma'!V80</f>
        <v>950947.64715347532</v>
      </c>
      <c r="W87" s="33">
        <f>+W76*'Assumptions and Sensis'!$P$146*'Phase III Pro Forma'!W80</f>
        <v>979476.07656807953</v>
      </c>
      <c r="X87" s="33">
        <f>+X76*'Assumptions and Sensis'!$P$146*'Phase III Pro Forma'!X80</f>
        <v>1008860.358865122</v>
      </c>
      <c r="Y87" s="33">
        <f>+Y76*'Assumptions and Sensis'!$P$146*'Phase III Pro Forma'!Y80</f>
        <v>1039126.1696310757</v>
      </c>
      <c r="Z87" s="33">
        <f>+Z76*'Assumptions and Sensis'!$P$146*'Phase III Pro Forma'!Z80</f>
        <v>1070299.954720008</v>
      </c>
    </row>
    <row r="88" spans="2:26" x14ac:dyDescent="0.2">
      <c r="B88" s="32" t="s">
        <v>325</v>
      </c>
      <c r="F88" s="150">
        <f ca="1">+IFERROR(INDEX('Taxes and TIF'!$AR$11:$AR$45,MATCH('Phase III Pro Forma'!F$7,'Taxes and TIF'!$AG$11:$AG$45,0)),0)*'Loan Sizing'!$M$20*F77</f>
        <v>0</v>
      </c>
      <c r="G88" s="150">
        <f ca="1">+IFERROR(INDEX('Taxes and TIF'!$AR$11:$AR$45,MATCH('Phase III Pro Forma'!G$7,'Taxes and TIF'!$AG$11:$AG$45,0)),0)*'Loan Sizing'!$M$20*G77</f>
        <v>0</v>
      </c>
      <c r="H88" s="150">
        <f ca="1">+IFERROR(INDEX('Taxes and TIF'!$AR$11:$AR$45,MATCH('Phase III Pro Forma'!H$7,'Taxes and TIF'!$AG$11:$AG$45,0)),0)*'Loan Sizing'!$M$20*H77</f>
        <v>0</v>
      </c>
      <c r="I88" s="150">
        <f ca="1">+IFERROR(INDEX('Taxes and TIF'!$AR$11:$AR$45,MATCH('Phase III Pro Forma'!I$7,'Taxes and TIF'!$AG$11:$AG$45,0)),0)*'Loan Sizing'!$M$20*I77</f>
        <v>114886.53667725403</v>
      </c>
      <c r="J88" s="150">
        <f ca="1">+IFERROR(INDEX('Taxes and TIF'!$AR$11:$AR$45,MATCH('Phase III Pro Forma'!J$7,'Taxes and TIF'!$AG$11:$AG$45,0)),0)*'Loan Sizing'!$M$20*J77</f>
        <v>234368.53482159824</v>
      </c>
      <c r="K88" s="150">
        <f ca="1">+IFERROR(INDEX('Taxes and TIF'!$AR$11:$AR$45,MATCH('Phase III Pro Forma'!K$7,'Taxes and TIF'!$AG$11:$AG$45,0)),0)*'Loan Sizing'!$M$20*K77</f>
        <v>234368.53482159824</v>
      </c>
      <c r="L88" s="150">
        <f ca="1">+IFERROR(INDEX('Taxes and TIF'!$AR$11:$AR$45,MATCH('Phase III Pro Forma'!L$7,'Taxes and TIF'!$AG$11:$AG$45,0)),0)*'Loan Sizing'!$M$20*L77</f>
        <v>234368.53482159824</v>
      </c>
      <c r="M88" s="150">
        <f ca="1">+IFERROR(INDEX('Taxes and TIF'!$AR$11:$AR$45,MATCH('Phase III Pro Forma'!M$7,'Taxes and TIF'!$AG$11:$AG$45,0)),0)*'Loan Sizing'!$M$20*M77</f>
        <v>239055.90551803017</v>
      </c>
      <c r="N88" s="150">
        <f ca="1">+IFERROR(INDEX('Taxes and TIF'!$AR$11:$AR$45,MATCH('Phase III Pro Forma'!N$7,'Taxes and TIF'!$AG$11:$AG$45,0)),0)*'Loan Sizing'!$M$20*N77</f>
        <v>239055.90551803017</v>
      </c>
      <c r="O88" s="150">
        <f ca="1">+IFERROR(INDEX('Taxes and TIF'!$AR$11:$AR$45,MATCH('Phase III Pro Forma'!O$7,'Taxes and TIF'!$AG$11:$AG$45,0)),0)*'Loan Sizing'!$M$20*O77</f>
        <v>239055.90551803017</v>
      </c>
      <c r="P88" s="150">
        <f ca="1">+IFERROR(INDEX('Taxes and TIF'!$AR$11:$AR$45,MATCH('Phase III Pro Forma'!P$7,'Taxes and TIF'!$AG$11:$AG$45,0)),0)*'Loan Sizing'!$M$20*P77</f>
        <v>243837.0236283908</v>
      </c>
      <c r="Q88" s="150">
        <f ca="1">+IFERROR(INDEX('Taxes and TIF'!$AR$11:$AR$45,MATCH('Phase III Pro Forma'!Q$7,'Taxes and TIF'!$AG$11:$AG$45,0)),0)*'Loan Sizing'!$M$20*Q77</f>
        <v>243837.0236283908</v>
      </c>
      <c r="R88" s="150">
        <f ca="1">+IFERROR(INDEX('Taxes and TIF'!$AR$11:$AR$45,MATCH('Phase III Pro Forma'!R$7,'Taxes and TIF'!$AG$11:$AG$45,0)),0)*'Loan Sizing'!$M$20*R77</f>
        <v>243837.0236283908</v>
      </c>
      <c r="S88" s="150">
        <f ca="1">+IFERROR(INDEX('Taxes and TIF'!$AR$11:$AR$45,MATCH('Phase III Pro Forma'!S$7,'Taxes and TIF'!$AG$11:$AG$45,0)),0)*'Loan Sizing'!$M$20*S77</f>
        <v>248713.76410095862</v>
      </c>
      <c r="T88" s="150">
        <f ca="1">+IFERROR(INDEX('Taxes and TIF'!$AR$11:$AR$45,MATCH('Phase III Pro Forma'!T$7,'Taxes and TIF'!$AG$11:$AG$45,0)),0)*'Loan Sizing'!$M$20*T77</f>
        <v>248713.76410095862</v>
      </c>
      <c r="U88" s="150">
        <f ca="1">+IFERROR(INDEX('Taxes and TIF'!$AR$11:$AR$45,MATCH('Phase III Pro Forma'!U$7,'Taxes and TIF'!$AG$11:$AG$45,0)),0)*'Loan Sizing'!$M$20*U77</f>
        <v>248713.76410095862</v>
      </c>
      <c r="V88" s="150">
        <f ca="1">+IFERROR(INDEX('Taxes and TIF'!$AR$11:$AR$45,MATCH('Phase III Pro Forma'!V$7,'Taxes and TIF'!$AG$11:$AG$45,0)),0)*'Loan Sizing'!$M$20*V77</f>
        <v>253688.03938297785</v>
      </c>
      <c r="W88" s="150">
        <f ca="1">+IFERROR(INDEX('Taxes and TIF'!$AR$11:$AR$45,MATCH('Phase III Pro Forma'!W$7,'Taxes and TIF'!$AG$11:$AG$45,0)),0)*'Loan Sizing'!$M$20*W77</f>
        <v>253688.03938297785</v>
      </c>
      <c r="X88" s="150">
        <f ca="1">+IFERROR(INDEX('Taxes and TIF'!$AR$11:$AR$45,MATCH('Phase III Pro Forma'!X$7,'Taxes and TIF'!$AG$11:$AG$45,0)),0)*'Loan Sizing'!$M$20*X77</f>
        <v>253688.03938297785</v>
      </c>
      <c r="Y88" s="150">
        <f ca="1">+IFERROR(INDEX('Taxes and TIF'!$AR$11:$AR$45,MATCH('Phase III Pro Forma'!Y$7,'Taxes and TIF'!$AG$11:$AG$45,0)),0)*'Loan Sizing'!$M$20*Y77</f>
        <v>258761.80017063738</v>
      </c>
      <c r="Z88" s="150">
        <f ca="1">+IFERROR(INDEX('Taxes and TIF'!$AR$11:$AR$45,MATCH('Phase III Pro Forma'!Z$7,'Taxes and TIF'!$AG$11:$AG$45,0)),0)*'Loan Sizing'!$M$20*Z77</f>
        <v>258761.80017063738</v>
      </c>
    </row>
    <row r="89" spans="2:26" x14ac:dyDescent="0.2">
      <c r="B89" s="136" t="s">
        <v>249</v>
      </c>
      <c r="C89" s="136"/>
      <c r="D89" s="136"/>
      <c r="E89" s="136"/>
      <c r="F89" s="128">
        <f ca="1">+SUM(F87:F88)</f>
        <v>0</v>
      </c>
      <c r="G89" s="128">
        <f t="shared" ref="G89" ca="1" si="30">+SUM(G87:G88)</f>
        <v>0</v>
      </c>
      <c r="H89" s="128">
        <f t="shared" ref="H89:Z89" ca="1" si="31">+SUM(H87:H88)</f>
        <v>0</v>
      </c>
      <c r="I89" s="128">
        <f t="shared" ca="1" si="31"/>
        <v>438661.07397351315</v>
      </c>
      <c r="J89" s="128">
        <f t="shared" ca="1" si="31"/>
        <v>901344.08165189205</v>
      </c>
      <c r="K89" s="128">
        <f t="shared" ca="1" si="31"/>
        <v>921353.34805680078</v>
      </c>
      <c r="L89" s="128">
        <f t="shared" ca="1" si="31"/>
        <v>941962.892453857</v>
      </c>
      <c r="M89" s="128">
        <f t="shared" ca="1" si="31"/>
        <v>967878.09387925675</v>
      </c>
      <c r="N89" s="128">
        <f t="shared" ca="1" si="31"/>
        <v>989742.75953009352</v>
      </c>
      <c r="O89" s="128">
        <f t="shared" ca="1" si="31"/>
        <v>1012263.3651504555</v>
      </c>
      <c r="P89" s="128">
        <f t="shared" ca="1" si="31"/>
        <v>1040240.7070497889</v>
      </c>
      <c r="Q89" s="128">
        <f t="shared" ca="1" si="31"/>
        <v>1064132.8175524308</v>
      </c>
      <c r="R89" s="128">
        <f t="shared" ca="1" si="31"/>
        <v>1088741.6913701519</v>
      </c>
      <c r="S89" s="128">
        <f t="shared" ca="1" si="31"/>
        <v>1118965.5718749727</v>
      </c>
      <c r="T89" s="128">
        <f t="shared" ca="1" si="31"/>
        <v>1145073.1261081933</v>
      </c>
      <c r="U89" s="128">
        <f t="shared" ca="1" si="31"/>
        <v>1171963.9069684104</v>
      </c>
      <c r="V89" s="128">
        <f t="shared" ca="1" si="31"/>
        <v>1204635.6865364532</v>
      </c>
      <c r="W89" s="128">
        <f t="shared" ca="1" si="31"/>
        <v>1233164.1159510573</v>
      </c>
      <c r="X89" s="128">
        <f t="shared" ca="1" si="31"/>
        <v>1262548.3982480997</v>
      </c>
      <c r="Y89" s="128">
        <f t="shared" ca="1" si="31"/>
        <v>1297887.969801713</v>
      </c>
      <c r="Z89" s="128">
        <f t="shared" ca="1" si="31"/>
        <v>1329061.7548906454</v>
      </c>
    </row>
    <row r="90" spans="2:26" x14ac:dyDescent="0.2">
      <c r="B90" s="32"/>
    </row>
    <row r="91" spans="2:26" x14ac:dyDescent="0.2">
      <c r="B91" s="137" t="s">
        <v>248</v>
      </c>
      <c r="C91" s="137"/>
      <c r="D91" s="137"/>
      <c r="E91" s="137"/>
      <c r="F91" s="138">
        <f ca="1">+F85-F89</f>
        <v>0</v>
      </c>
      <c r="G91" s="138">
        <f t="shared" ref="G91:Z91" ca="1" si="32">+G85-G89</f>
        <v>0</v>
      </c>
      <c r="H91" s="138">
        <f t="shared" ca="1" si="32"/>
        <v>0</v>
      </c>
      <c r="I91" s="138">
        <f t="shared" ca="1" si="32"/>
        <v>371497.50000000006</v>
      </c>
      <c r="J91" s="138">
        <f t="shared" ca="1" si="32"/>
        <v>742995.00000000023</v>
      </c>
      <c r="K91" s="138">
        <f t="shared" ca="1" si="32"/>
        <v>742995.00000000035</v>
      </c>
      <c r="L91" s="138">
        <f t="shared" ca="1" si="32"/>
        <v>780144.75000000023</v>
      </c>
      <c r="M91" s="138">
        <f t="shared" ca="1" si="32"/>
        <v>780144.75000000012</v>
      </c>
      <c r="N91" s="138">
        <f t="shared" ca="1" si="32"/>
        <v>780144.75000000023</v>
      </c>
      <c r="O91" s="138">
        <f t="shared" ca="1" si="32"/>
        <v>780144.75000000035</v>
      </c>
      <c r="P91" s="138">
        <f t="shared" ca="1" si="32"/>
        <v>780144.75</v>
      </c>
      <c r="Q91" s="138">
        <f t="shared" ca="1" si="32"/>
        <v>819151.98750000028</v>
      </c>
      <c r="R91" s="138">
        <f t="shared" ca="1" si="32"/>
        <v>819151.98750000028</v>
      </c>
      <c r="S91" s="138">
        <f t="shared" ca="1" si="32"/>
        <v>819151.98750000028</v>
      </c>
      <c r="T91" s="138">
        <f t="shared" ca="1" si="32"/>
        <v>819151.98750000005</v>
      </c>
      <c r="U91" s="138">
        <f t="shared" ca="1" si="32"/>
        <v>819151.98750000005</v>
      </c>
      <c r="V91" s="138">
        <f t="shared" ca="1" si="32"/>
        <v>860109.58687500027</v>
      </c>
      <c r="W91" s="138">
        <f t="shared" ca="1" si="32"/>
        <v>860109.58687500027</v>
      </c>
      <c r="X91" s="138">
        <f t="shared" ca="1" si="32"/>
        <v>860109.58687500004</v>
      </c>
      <c r="Y91" s="138">
        <f t="shared" ca="1" si="32"/>
        <v>860109.58687500027</v>
      </c>
      <c r="Z91" s="138">
        <f t="shared" ca="1" si="32"/>
        <v>860109.5868750005</v>
      </c>
    </row>
    <row r="92" spans="2:26" x14ac:dyDescent="0.2">
      <c r="B92" s="142" t="s">
        <v>254</v>
      </c>
      <c r="C92" s="140"/>
      <c r="D92" s="140"/>
      <c r="E92" s="140"/>
      <c r="F92" s="143" t="str">
        <f ca="1">+IFERROR(F91/F85,"")</f>
        <v/>
      </c>
      <c r="G92" s="143" t="str">
        <f t="shared" ref="G92:Z92" ca="1" si="33">+IFERROR(G91/G85,"")</f>
        <v/>
      </c>
      <c r="H92" s="143" t="str">
        <f t="shared" ca="1" si="33"/>
        <v/>
      </c>
      <c r="I92" s="144">
        <f t="shared" ca="1" si="33"/>
        <v>0.45854911857310732</v>
      </c>
      <c r="J92" s="144">
        <f t="shared" ca="1" si="33"/>
        <v>0.45185023471776414</v>
      </c>
      <c r="K92" s="144">
        <f t="shared" ca="1" si="33"/>
        <v>0.44641796344345774</v>
      </c>
      <c r="L92" s="144">
        <f t="shared" ca="1" si="33"/>
        <v>0.45301741352727531</v>
      </c>
      <c r="M92" s="144">
        <f t="shared" ca="1" si="33"/>
        <v>0.44630123269366606</v>
      </c>
      <c r="N92" s="144">
        <f t="shared" ca="1" si="33"/>
        <v>0.44078775956056615</v>
      </c>
      <c r="O92" s="144">
        <f t="shared" ca="1" si="33"/>
        <v>0.43524950785804412</v>
      </c>
      <c r="P92" s="144">
        <f t="shared" ca="1" si="33"/>
        <v>0.42856019695100345</v>
      </c>
      <c r="Q92" s="144">
        <f t="shared" ca="1" si="33"/>
        <v>0.43495916565694104</v>
      </c>
      <c r="R92" s="144">
        <f t="shared" ca="1" si="33"/>
        <v>0.42934886601495487</v>
      </c>
      <c r="S92" s="144">
        <f t="shared" ca="1" si="33"/>
        <v>0.42265340589771555</v>
      </c>
      <c r="T92" s="144">
        <f t="shared" ca="1" si="33"/>
        <v>0.41703569607419111</v>
      </c>
      <c r="U92" s="144">
        <f t="shared" ca="1" si="33"/>
        <v>0.41140346967030661</v>
      </c>
      <c r="V92" s="144">
        <f t="shared" ca="1" si="33"/>
        <v>0.4165693453574994</v>
      </c>
      <c r="W92" s="144">
        <f t="shared" ca="1" si="33"/>
        <v>0.41089208053098625</v>
      </c>
      <c r="X92" s="144">
        <f t="shared" ca="1" si="33"/>
        <v>0.40520403800479404</v>
      </c>
      <c r="Y92" s="144">
        <f t="shared" ca="1" si="33"/>
        <v>0.39856837845523663</v>
      </c>
      <c r="Z92" s="144">
        <f t="shared" ca="1" si="33"/>
        <v>0.39289276744381779</v>
      </c>
    </row>
    <row r="93" spans="2:26" x14ac:dyDescent="0.2">
      <c r="B93" s="142" t="s">
        <v>188</v>
      </c>
      <c r="C93" s="140"/>
      <c r="D93" s="140"/>
      <c r="E93" s="140"/>
      <c r="F93" s="141">
        <f ca="1">+F91/'Assumptions and Sensis'!$P$157</f>
        <v>0</v>
      </c>
      <c r="G93" s="141">
        <f ca="1">+G91/'Assumptions and Sensis'!$P$157</f>
        <v>0</v>
      </c>
      <c r="H93" s="141">
        <f ca="1">+H91/'Assumptions and Sensis'!$P$157</f>
        <v>0</v>
      </c>
      <c r="I93" s="141">
        <f ca="1">+I91/'Assumptions and Sensis'!$P$157</f>
        <v>5503666.666666667</v>
      </c>
      <c r="J93" s="141">
        <f ca="1">+J91/'Assumptions and Sensis'!$P$157</f>
        <v>11007333.333333336</v>
      </c>
      <c r="K93" s="141">
        <f ca="1">+K91/'Assumptions and Sensis'!$P$157</f>
        <v>11007333.333333338</v>
      </c>
      <c r="L93" s="141">
        <f ca="1">+L91/'Assumptions and Sensis'!$P$157</f>
        <v>11557700.000000002</v>
      </c>
      <c r="M93" s="141">
        <f ca="1">+M91/'Assumptions and Sensis'!$P$157</f>
        <v>11557700.000000002</v>
      </c>
      <c r="N93" s="141">
        <f ca="1">+N91/'Assumptions and Sensis'!$P$157</f>
        <v>11557700.000000002</v>
      </c>
      <c r="O93" s="141">
        <f ca="1">+O91/'Assumptions and Sensis'!$P$157</f>
        <v>11557700.000000004</v>
      </c>
      <c r="P93" s="141">
        <f ca="1">+P91/'Assumptions and Sensis'!$P$157</f>
        <v>11557700</v>
      </c>
      <c r="Q93" s="141">
        <f ca="1">+Q91/'Assumptions and Sensis'!$P$157</f>
        <v>12135585.000000004</v>
      </c>
      <c r="R93" s="141">
        <f ca="1">+R91/'Assumptions and Sensis'!$P$157</f>
        <v>12135585.000000004</v>
      </c>
      <c r="S93" s="141">
        <f ca="1">+S91/'Assumptions and Sensis'!$P$157</f>
        <v>12135585.000000004</v>
      </c>
      <c r="T93" s="141">
        <f ca="1">+T91/'Assumptions and Sensis'!$P$157</f>
        <v>12135585</v>
      </c>
      <c r="U93" s="141">
        <f ca="1">+U91/'Assumptions and Sensis'!$P$157</f>
        <v>12135585</v>
      </c>
      <c r="V93" s="141">
        <f ca="1">+V91/'Assumptions and Sensis'!$P$157</f>
        <v>12742364.250000004</v>
      </c>
      <c r="W93" s="141">
        <f ca="1">+W91/'Assumptions and Sensis'!$P$157</f>
        <v>12742364.250000004</v>
      </c>
      <c r="X93" s="141">
        <f ca="1">+X91/'Assumptions and Sensis'!$P$157</f>
        <v>12742364.25</v>
      </c>
      <c r="Y93" s="141">
        <f ca="1">+Y91/'Assumptions and Sensis'!$P$157</f>
        <v>12742364.250000004</v>
      </c>
      <c r="Z93" s="141">
        <f ca="1">+Z91/'Assumptions and Sensis'!$P$157</f>
        <v>12742364.250000007</v>
      </c>
    </row>
    <row r="95" spans="2:26" x14ac:dyDescent="0.2">
      <c r="B95" s="147" t="s">
        <v>146</v>
      </c>
      <c r="C95" s="148"/>
      <c r="D95" s="148"/>
      <c r="E95" s="148"/>
      <c r="F95" s="149">
        <f>+'Assumptions and Sensis'!$H$43</f>
        <v>45657</v>
      </c>
      <c r="G95" s="149">
        <f>+EOMONTH(F95,12)</f>
        <v>46022</v>
      </c>
      <c r="H95" s="149">
        <f t="shared" ref="H95:Z95" si="34">+EOMONTH(G95,12)</f>
        <v>46387</v>
      </c>
      <c r="I95" s="149">
        <f t="shared" si="34"/>
        <v>46752</v>
      </c>
      <c r="J95" s="149">
        <f t="shared" si="34"/>
        <v>47118</v>
      </c>
      <c r="K95" s="149">
        <f t="shared" si="34"/>
        <v>47483</v>
      </c>
      <c r="L95" s="149">
        <f t="shared" si="34"/>
        <v>47848</v>
      </c>
      <c r="M95" s="149">
        <f t="shared" si="34"/>
        <v>48213</v>
      </c>
      <c r="N95" s="149">
        <f t="shared" si="34"/>
        <v>48579</v>
      </c>
      <c r="O95" s="149">
        <f t="shared" si="34"/>
        <v>48944</v>
      </c>
      <c r="P95" s="149">
        <f t="shared" si="34"/>
        <v>49309</v>
      </c>
      <c r="Q95" s="149">
        <f t="shared" si="34"/>
        <v>49674</v>
      </c>
      <c r="R95" s="149">
        <f t="shared" si="34"/>
        <v>50040</v>
      </c>
      <c r="S95" s="149">
        <f t="shared" si="34"/>
        <v>50405</v>
      </c>
      <c r="T95" s="149">
        <f t="shared" si="34"/>
        <v>50770</v>
      </c>
      <c r="U95" s="149">
        <f t="shared" si="34"/>
        <v>51135</v>
      </c>
      <c r="V95" s="149">
        <f t="shared" si="34"/>
        <v>51501</v>
      </c>
      <c r="W95" s="149">
        <f t="shared" si="34"/>
        <v>51866</v>
      </c>
      <c r="X95" s="149">
        <f t="shared" si="34"/>
        <v>52231</v>
      </c>
      <c r="Y95" s="149">
        <f t="shared" si="34"/>
        <v>52596</v>
      </c>
      <c r="Z95" s="149">
        <f t="shared" si="34"/>
        <v>52962</v>
      </c>
    </row>
    <row r="96" spans="2:26" x14ac:dyDescent="0.2">
      <c r="B96" s="32" t="s">
        <v>756</v>
      </c>
      <c r="C96" s="32"/>
      <c r="D96" s="39"/>
      <c r="E96" s="39"/>
      <c r="F96" s="41">
        <f>+IF(AND(F95&gt;='Assumptions and Sensis'!$H$47,F95&lt;'Assumptions and Sensis'!$H$49),'Assumptions and Sensis'!$H$202/ROUNDUP(('Assumptions and Sensis'!$H$48/12),0),0)</f>
        <v>0</v>
      </c>
      <c r="G96" s="41">
        <f>+IF(AND(G95&gt;='Assumptions and Sensis'!$H$47,G95&lt;'Assumptions and Sensis'!$H$49),'Assumptions and Sensis'!$H$202/ROUNDUP(('Assumptions and Sensis'!$H$48/12),0),0)</f>
        <v>0</v>
      </c>
      <c r="H96" s="41">
        <f>+IF(AND(H95&gt;='Assumptions and Sensis'!$H$47,H95&lt;'Assumptions and Sensis'!$H$49),'Assumptions and Sensis'!$H$202/ROUNDUP(('Assumptions and Sensis'!$H$48/12),0),0)</f>
        <v>0</v>
      </c>
      <c r="I96" s="41">
        <f>+IF(AND(I95&gt;='Assumptions and Sensis'!$H$47,I95&lt;'Assumptions and Sensis'!$H$49),'Assumptions and Sensis'!$H$202/ROUNDUP(('Assumptions and Sensis'!$H$48/12),0),0)</f>
        <v>294484.54999999993</v>
      </c>
      <c r="J96" s="41">
        <f>+IF(AND(J95&gt;='Assumptions and Sensis'!$H$47,J95&lt;'Assumptions and Sensis'!$H$49),'Assumptions and Sensis'!$H$202/ROUNDUP(('Assumptions and Sensis'!$H$48/12),0),0)</f>
        <v>294484.54999999993</v>
      </c>
      <c r="K96" s="41">
        <f>+IF(AND(K95&gt;='Assumptions and Sensis'!$H$47,K95&lt;'Assumptions and Sensis'!$H$49),'Assumptions and Sensis'!$H$202/ROUNDUP(('Assumptions and Sensis'!$H$48/12),0),0)</f>
        <v>0</v>
      </c>
      <c r="L96" s="41">
        <f>+IF(AND(L95&gt;='Assumptions and Sensis'!$H$47,L95&lt;'Assumptions and Sensis'!$H$49),'Assumptions and Sensis'!$H$202/ROUNDUP(('Assumptions and Sensis'!$H$48/12),0),0)</f>
        <v>0</v>
      </c>
      <c r="M96" s="41">
        <f>+IF(AND(M95&gt;='Assumptions and Sensis'!$H$47,M95&lt;'Assumptions and Sensis'!$H$49),'Assumptions and Sensis'!$H$202/ROUNDUP(('Assumptions and Sensis'!$H$48/12),0),0)</f>
        <v>0</v>
      </c>
      <c r="N96" s="41">
        <f>+IF(AND(N95&gt;='Assumptions and Sensis'!$H$47,N95&lt;'Assumptions and Sensis'!$H$49),'Assumptions and Sensis'!$H$202/ROUNDUP(('Assumptions and Sensis'!$H$48/12),0),0)</f>
        <v>0</v>
      </c>
      <c r="O96" s="41">
        <f>+IF(AND(O95&gt;='Assumptions and Sensis'!$H$47,O95&lt;'Assumptions and Sensis'!$H$49),'Assumptions and Sensis'!$H$202/ROUNDUP(('Assumptions and Sensis'!$H$48/12),0),0)</f>
        <v>0</v>
      </c>
      <c r="P96" s="41">
        <f>+IF(AND(P95&gt;='Assumptions and Sensis'!$H$47,P95&lt;'Assumptions and Sensis'!$H$49),'Assumptions and Sensis'!$H$202/ROUNDUP(('Assumptions and Sensis'!$H$48/12),0),0)</f>
        <v>0</v>
      </c>
      <c r="Q96" s="41">
        <f>+IF(AND(Q95&gt;='Assumptions and Sensis'!$H$47,Q95&lt;'Assumptions and Sensis'!$H$49),'Assumptions and Sensis'!$H$202/ROUNDUP(('Assumptions and Sensis'!$H$48/12),0),0)</f>
        <v>0</v>
      </c>
      <c r="R96" s="41">
        <f>+IF(AND(R95&gt;='Assumptions and Sensis'!$H$47,R95&lt;'Assumptions and Sensis'!$H$49),'Assumptions and Sensis'!$H$202/ROUNDUP(('Assumptions and Sensis'!$H$48/12),0),0)</f>
        <v>0</v>
      </c>
      <c r="S96" s="41">
        <f>+IF(AND(S95&gt;='Assumptions and Sensis'!$H$47,S95&lt;'Assumptions and Sensis'!$H$49),'Assumptions and Sensis'!$H$202/ROUNDUP(('Assumptions and Sensis'!$H$48/12),0),0)</f>
        <v>0</v>
      </c>
      <c r="T96" s="41">
        <f>+IF(AND(T95&gt;='Assumptions and Sensis'!$H$47,T95&lt;'Assumptions and Sensis'!$H$49),'Assumptions and Sensis'!$H$202/ROUNDUP(('Assumptions and Sensis'!$H$48/12),0),0)</f>
        <v>0</v>
      </c>
      <c r="U96" s="41">
        <f>+IF(AND(U95&gt;='Assumptions and Sensis'!$H$47,U95&lt;'Assumptions and Sensis'!$H$49),'Assumptions and Sensis'!$H$202/ROUNDUP(('Assumptions and Sensis'!$H$48/12),0),0)</f>
        <v>0</v>
      </c>
      <c r="V96" s="41">
        <f>+IF(AND(V95&gt;='Assumptions and Sensis'!$H$47,V95&lt;'Assumptions and Sensis'!$H$49),'Assumptions and Sensis'!$H$202/ROUNDUP(('Assumptions and Sensis'!$H$48/12),0),0)</f>
        <v>0</v>
      </c>
      <c r="W96" s="41">
        <f>+IF(AND(W95&gt;='Assumptions and Sensis'!$H$47,W95&lt;'Assumptions and Sensis'!$H$49),'Assumptions and Sensis'!$H$202/ROUNDUP(('Assumptions and Sensis'!$H$48/12),0),0)</f>
        <v>0</v>
      </c>
      <c r="X96" s="41">
        <f>+IF(AND(X95&gt;='Assumptions and Sensis'!$H$47,X95&lt;'Assumptions and Sensis'!$H$49),'Assumptions and Sensis'!$H$202/ROUNDUP(('Assumptions and Sensis'!$H$48/12),0),0)</f>
        <v>0</v>
      </c>
      <c r="Y96" s="41">
        <f>+IF(AND(Y95&gt;='Assumptions and Sensis'!$H$47,Y95&lt;'Assumptions and Sensis'!$H$49),'Assumptions and Sensis'!$H$202/ROUNDUP(('Assumptions and Sensis'!$H$48/12),0),0)</f>
        <v>0</v>
      </c>
      <c r="Z96" s="41">
        <f>+IF(AND(Z95&gt;='Assumptions and Sensis'!$H$47,Z95&lt;'Assumptions and Sensis'!$H$49),'Assumptions and Sensis'!$H$202/ROUNDUP(('Assumptions and Sensis'!$H$48/12),0),0)</f>
        <v>0</v>
      </c>
    </row>
    <row r="97" spans="2:26" x14ac:dyDescent="0.2">
      <c r="B97" s="32" t="s">
        <v>246</v>
      </c>
      <c r="C97" s="32"/>
      <c r="D97" s="41">
        <v>0</v>
      </c>
      <c r="E97" s="41"/>
      <c r="F97" s="41">
        <f>+D97+F96</f>
        <v>0</v>
      </c>
      <c r="G97" s="41">
        <f t="shared" ref="G97:Z97" si="35">+F97+G96</f>
        <v>0</v>
      </c>
      <c r="H97" s="41">
        <f t="shared" si="35"/>
        <v>0</v>
      </c>
      <c r="I97" s="41">
        <f t="shared" si="35"/>
        <v>294484.54999999993</v>
      </c>
      <c r="J97" s="41">
        <f t="shared" si="35"/>
        <v>588969.09999999986</v>
      </c>
      <c r="K97" s="41">
        <f t="shared" si="35"/>
        <v>588969.09999999986</v>
      </c>
      <c r="L97" s="41">
        <f t="shared" si="35"/>
        <v>588969.09999999986</v>
      </c>
      <c r="M97" s="41">
        <f t="shared" si="35"/>
        <v>588969.09999999986</v>
      </c>
      <c r="N97" s="41">
        <f t="shared" si="35"/>
        <v>588969.09999999986</v>
      </c>
      <c r="O97" s="41">
        <f t="shared" si="35"/>
        <v>588969.09999999986</v>
      </c>
      <c r="P97" s="41">
        <f t="shared" si="35"/>
        <v>588969.09999999986</v>
      </c>
      <c r="Q97" s="41">
        <f t="shared" si="35"/>
        <v>588969.09999999986</v>
      </c>
      <c r="R97" s="41">
        <f t="shared" si="35"/>
        <v>588969.09999999986</v>
      </c>
      <c r="S97" s="41">
        <f t="shared" si="35"/>
        <v>588969.09999999986</v>
      </c>
      <c r="T97" s="41">
        <f t="shared" si="35"/>
        <v>588969.09999999986</v>
      </c>
      <c r="U97" s="41">
        <f t="shared" si="35"/>
        <v>588969.09999999986</v>
      </c>
      <c r="V97" s="41">
        <f t="shared" si="35"/>
        <v>588969.09999999986</v>
      </c>
      <c r="W97" s="41">
        <f t="shared" si="35"/>
        <v>588969.09999999986</v>
      </c>
      <c r="X97" s="41">
        <f t="shared" si="35"/>
        <v>588969.09999999986</v>
      </c>
      <c r="Y97" s="41">
        <f t="shared" si="35"/>
        <v>588969.09999999986</v>
      </c>
      <c r="Z97" s="41">
        <f t="shared" si="35"/>
        <v>588969.09999999986</v>
      </c>
    </row>
    <row r="98" spans="2:26" x14ac:dyDescent="0.2">
      <c r="B98" s="32" t="s">
        <v>301</v>
      </c>
      <c r="C98" s="32"/>
      <c r="D98" s="41"/>
      <c r="E98" s="41"/>
      <c r="F98" s="107">
        <f t="shared" ref="F98:Z98" si="36">+F97/SUM($F96:$Z96)</f>
        <v>0</v>
      </c>
      <c r="G98" s="107">
        <f t="shared" si="36"/>
        <v>0</v>
      </c>
      <c r="H98" s="107">
        <f t="shared" si="36"/>
        <v>0</v>
      </c>
      <c r="I98" s="107">
        <f t="shared" si="36"/>
        <v>0.5</v>
      </c>
      <c r="J98" s="107">
        <f t="shared" si="36"/>
        <v>1</v>
      </c>
      <c r="K98" s="107">
        <f t="shared" si="36"/>
        <v>1</v>
      </c>
      <c r="L98" s="107">
        <f t="shared" si="36"/>
        <v>1</v>
      </c>
      <c r="M98" s="107">
        <f t="shared" si="36"/>
        <v>1</v>
      </c>
      <c r="N98" s="107">
        <f t="shared" si="36"/>
        <v>1</v>
      </c>
      <c r="O98" s="107">
        <f t="shared" si="36"/>
        <v>1</v>
      </c>
      <c r="P98" s="107">
        <f t="shared" si="36"/>
        <v>1</v>
      </c>
      <c r="Q98" s="107">
        <f t="shared" si="36"/>
        <v>1</v>
      </c>
      <c r="R98" s="107">
        <f t="shared" si="36"/>
        <v>1</v>
      </c>
      <c r="S98" s="107">
        <f t="shared" si="36"/>
        <v>1</v>
      </c>
      <c r="T98" s="107">
        <f t="shared" si="36"/>
        <v>1</v>
      </c>
      <c r="U98" s="107">
        <f t="shared" si="36"/>
        <v>1</v>
      </c>
      <c r="V98" s="107">
        <f t="shared" si="36"/>
        <v>1</v>
      </c>
      <c r="W98" s="107">
        <f t="shared" si="36"/>
        <v>1</v>
      </c>
      <c r="X98" s="107">
        <f t="shared" si="36"/>
        <v>1</v>
      </c>
      <c r="Y98" s="107">
        <f t="shared" si="36"/>
        <v>1</v>
      </c>
      <c r="Z98" s="107">
        <f t="shared" si="36"/>
        <v>1</v>
      </c>
    </row>
    <row r="99" spans="2:26" x14ac:dyDescent="0.2">
      <c r="B99" s="32"/>
      <c r="C99" s="32"/>
      <c r="D99" s="39"/>
      <c r="E99" s="39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 spans="2:26" x14ac:dyDescent="0.2">
      <c r="B100" s="32" t="s">
        <v>251</v>
      </c>
      <c r="C100" s="32"/>
      <c r="D100" s="41"/>
      <c r="E100" s="41"/>
      <c r="F100" s="107">
        <v>1</v>
      </c>
      <c r="G100" s="107">
        <f>+IF(MOD(G$2,'Assumptions and Sensis'!$P$93)=('Assumptions and Sensis'!$P$93-1),F100*(1+'Assumptions and Sensis'!$P$92),'Phase III Pro Forma'!F100)</f>
        <v>1</v>
      </c>
      <c r="H100" s="107">
        <f>+IF(MOD(H$2,'Assumptions and Sensis'!$P$93)=('Assumptions and Sensis'!$P$93-1),G100*(1+'Assumptions and Sensis'!$P$92),'Phase III Pro Forma'!G100)</f>
        <v>1</v>
      </c>
      <c r="I100" s="107">
        <f>+IF(MOD(I$2,'Assumptions and Sensis'!$P$93)=('Assumptions and Sensis'!$P$93-1),H100*(1+'Assumptions and Sensis'!$P$92),'Phase III Pro Forma'!H100)</f>
        <v>1</v>
      </c>
      <c r="J100" s="107">
        <f>+IF(MOD(J$2,'Assumptions and Sensis'!$P$93)=('Assumptions and Sensis'!$P$93-1),I100*(1+'Assumptions and Sensis'!$P$92),'Phase III Pro Forma'!I100)</f>
        <v>1</v>
      </c>
      <c r="K100" s="107">
        <f>+IF(MOD(K$2,'Assumptions and Sensis'!$P$93)=('Assumptions and Sensis'!$P$93-1),J100*(1+'Assumptions and Sensis'!$P$92),'Phase III Pro Forma'!J100)</f>
        <v>1</v>
      </c>
      <c r="L100" s="107">
        <f>+IF(MOD(L$2,'Assumptions and Sensis'!$P$93)=('Assumptions and Sensis'!$P$93-1),K100*(1+'Assumptions and Sensis'!$P$92),'Phase III Pro Forma'!K100)</f>
        <v>1.1000000000000001</v>
      </c>
      <c r="M100" s="107">
        <f>+IF(MOD(M$2,'Assumptions and Sensis'!$P$93)=('Assumptions and Sensis'!$P$93-1),L100*(1+'Assumptions and Sensis'!$P$92),'Phase III Pro Forma'!L100)</f>
        <v>1.1000000000000001</v>
      </c>
      <c r="N100" s="107">
        <f>+IF(MOD(N$2,'Assumptions and Sensis'!$P$93)=('Assumptions and Sensis'!$P$93-1),M100*(1+'Assumptions and Sensis'!$P$92),'Phase III Pro Forma'!M100)</f>
        <v>1.1000000000000001</v>
      </c>
      <c r="O100" s="107">
        <f>+IF(MOD(O$2,'Assumptions and Sensis'!$P$93)=('Assumptions and Sensis'!$P$93-1),N100*(1+'Assumptions and Sensis'!$P$92),'Phase III Pro Forma'!N100)</f>
        <v>1.1000000000000001</v>
      </c>
      <c r="P100" s="107">
        <f>+IF(MOD(P$2,'Assumptions and Sensis'!$P$93)=('Assumptions and Sensis'!$P$93-1),O100*(1+'Assumptions and Sensis'!$P$92),'Phase III Pro Forma'!O100)</f>
        <v>1.1000000000000001</v>
      </c>
      <c r="Q100" s="107">
        <f>+IF(MOD(Q$2,'Assumptions and Sensis'!$P$93)=('Assumptions and Sensis'!$P$93-1),P100*(1+'Assumptions and Sensis'!$P$92),'Phase III Pro Forma'!P100)</f>
        <v>1.2100000000000002</v>
      </c>
      <c r="R100" s="107">
        <f>+IF(MOD(R$2,'Assumptions and Sensis'!$P$93)=('Assumptions and Sensis'!$P$93-1),Q100*(1+'Assumptions and Sensis'!$P$92),'Phase III Pro Forma'!Q100)</f>
        <v>1.2100000000000002</v>
      </c>
      <c r="S100" s="107">
        <f>+IF(MOD(S$2,'Assumptions and Sensis'!$P$93)=('Assumptions and Sensis'!$P$93-1),R100*(1+'Assumptions and Sensis'!$P$92),'Phase III Pro Forma'!R100)</f>
        <v>1.2100000000000002</v>
      </c>
      <c r="T100" s="107">
        <f>+IF(MOD(T$2,'Assumptions and Sensis'!$P$93)=('Assumptions and Sensis'!$P$93-1),S100*(1+'Assumptions and Sensis'!$P$92),'Phase III Pro Forma'!S100)</f>
        <v>1.2100000000000002</v>
      </c>
      <c r="U100" s="107">
        <f>+IF(MOD(U$2,'Assumptions and Sensis'!$P$93)=('Assumptions and Sensis'!$P$93-1),T100*(1+'Assumptions and Sensis'!$P$92),'Phase III Pro Forma'!T100)</f>
        <v>1.2100000000000002</v>
      </c>
      <c r="V100" s="107">
        <f>+IF(MOD(V$2,'Assumptions and Sensis'!$P$93)=('Assumptions and Sensis'!$P$93-1),U100*(1+'Assumptions and Sensis'!$P$92),'Phase III Pro Forma'!U100)</f>
        <v>1.3310000000000004</v>
      </c>
      <c r="W100" s="107">
        <f>+IF(MOD(W$2,'Assumptions and Sensis'!$P$93)=('Assumptions and Sensis'!$P$93-1),V100*(1+'Assumptions and Sensis'!$P$92),'Phase III Pro Forma'!V100)</f>
        <v>1.3310000000000004</v>
      </c>
      <c r="X100" s="107">
        <f>+IF(MOD(X$2,'Assumptions and Sensis'!$P$93)=('Assumptions and Sensis'!$P$93-1),W100*(1+'Assumptions and Sensis'!$P$92),'Phase III Pro Forma'!W100)</f>
        <v>1.3310000000000004</v>
      </c>
      <c r="Y100" s="107">
        <f>+IF(MOD(Y$2,'Assumptions and Sensis'!$P$93)=('Assumptions and Sensis'!$P$93-1),X100*(1+'Assumptions and Sensis'!$P$92),'Phase III Pro Forma'!X100)</f>
        <v>1.3310000000000004</v>
      </c>
      <c r="Z100" s="107">
        <f>+IF(MOD(Z$2,'Assumptions and Sensis'!$P$93)=('Assumptions and Sensis'!$P$93-1),Y100*(1+'Assumptions and Sensis'!$P$92),'Phase III Pro Forma'!Y100)</f>
        <v>1.3310000000000004</v>
      </c>
    </row>
    <row r="101" spans="2:26" x14ac:dyDescent="0.2">
      <c r="B101" s="32" t="s">
        <v>252</v>
      </c>
      <c r="C101" s="32"/>
      <c r="D101" s="41"/>
      <c r="E101" s="41"/>
      <c r="F101" s="107">
        <v>1</v>
      </c>
      <c r="G101" s="107">
        <f>+F101*(1+'Assumptions and Sensis'!$P$102)</f>
        <v>1.03</v>
      </c>
      <c r="H101" s="107">
        <f>+G101*(1+'Assumptions and Sensis'!$P$102)</f>
        <v>1.0609</v>
      </c>
      <c r="I101" s="107">
        <f>+H101*(1+'Assumptions and Sensis'!$P$102)</f>
        <v>1.092727</v>
      </c>
      <c r="J101" s="107">
        <f>+I101*(1+'Assumptions and Sensis'!$P$102)</f>
        <v>1.1255088100000001</v>
      </c>
      <c r="K101" s="107">
        <f>+J101*(1+'Assumptions and Sensis'!$P$102)</f>
        <v>1.1592740743000001</v>
      </c>
      <c r="L101" s="107">
        <f>+K101*(1+'Assumptions and Sensis'!$P$102)</f>
        <v>1.1940522965290001</v>
      </c>
      <c r="M101" s="107">
        <f>+L101*(1+'Assumptions and Sensis'!$P$102)</f>
        <v>1.2298738654248702</v>
      </c>
      <c r="N101" s="107">
        <f>+M101*(1+'Assumptions and Sensis'!$P$102)</f>
        <v>1.2667700813876164</v>
      </c>
      <c r="O101" s="107">
        <f>+N101*(1+'Assumptions and Sensis'!$P$102)</f>
        <v>1.3047731838292449</v>
      </c>
      <c r="P101" s="107">
        <f>+O101*(1+'Assumptions and Sensis'!$P$102)</f>
        <v>1.3439163793441222</v>
      </c>
      <c r="Q101" s="107">
        <f>+P101*(1+'Assumptions and Sensis'!$P$102)</f>
        <v>1.3842338707244459</v>
      </c>
      <c r="R101" s="107">
        <f>+Q101*(1+'Assumptions and Sensis'!$P$102)</f>
        <v>1.4257608868461793</v>
      </c>
      <c r="S101" s="107">
        <f>+R101*(1+'Assumptions and Sensis'!$P$102)</f>
        <v>1.4685337134515648</v>
      </c>
      <c r="T101" s="107">
        <f>+S101*(1+'Assumptions and Sensis'!$P$102)</f>
        <v>1.5125897248551119</v>
      </c>
      <c r="U101" s="107">
        <f>+T101*(1+'Assumptions and Sensis'!$P$102)</f>
        <v>1.5579674166007653</v>
      </c>
      <c r="V101" s="107">
        <f>+U101*(1+'Assumptions and Sensis'!$P$102)</f>
        <v>1.6047064390987884</v>
      </c>
      <c r="W101" s="107">
        <f>+V101*(1+'Assumptions and Sensis'!$P$102)</f>
        <v>1.652847632271752</v>
      </c>
      <c r="X101" s="107">
        <f>+W101*(1+'Assumptions and Sensis'!$P$102)</f>
        <v>1.7024330612399046</v>
      </c>
      <c r="Y101" s="107">
        <f>+X101*(1+'Assumptions and Sensis'!$P$102)</f>
        <v>1.7535060530771018</v>
      </c>
      <c r="Z101" s="107">
        <f>+Y101*(1+'Assumptions and Sensis'!$P$102)</f>
        <v>1.806111234669415</v>
      </c>
    </row>
    <row r="102" spans="2:26" x14ac:dyDescent="0.2">
      <c r="B102" s="32"/>
      <c r="C102" s="32"/>
      <c r="D102" s="39"/>
      <c r="E102" s="39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 spans="2:26" x14ac:dyDescent="0.2">
      <c r="B103" s="32" t="s">
        <v>243</v>
      </c>
      <c r="C103" s="32"/>
      <c r="D103" s="39"/>
      <c r="E103" s="39"/>
      <c r="F103" s="33">
        <f>+F98*'Assumptions and Sensis'!$H$201*F100</f>
        <v>0</v>
      </c>
      <c r="G103" s="33">
        <f>+G98*'Assumptions and Sensis'!$H$201*G100</f>
        <v>0</v>
      </c>
      <c r="H103" s="33">
        <f>+H98*'Assumptions and Sensis'!$H$201*H100</f>
        <v>0</v>
      </c>
      <c r="I103" s="33">
        <f>+I98*'Assumptions and Sensis'!$H$201*I100</f>
        <v>7650229.1410350706</v>
      </c>
      <c r="J103" s="33">
        <f>+J98*'Assumptions and Sensis'!$H$201*J100</f>
        <v>15300458.282070141</v>
      </c>
      <c r="K103" s="33">
        <f>+K98*'Assumptions and Sensis'!$H$201*K100</f>
        <v>15300458.282070141</v>
      </c>
      <c r="L103" s="33">
        <f>+L98*'Assumptions and Sensis'!$H$201*L100</f>
        <v>16830504.110277157</v>
      </c>
      <c r="M103" s="33">
        <f>+M98*'Assumptions and Sensis'!$H$201*M100</f>
        <v>16830504.110277157</v>
      </c>
      <c r="N103" s="33">
        <f>+N98*'Assumptions and Sensis'!$H$201*N100</f>
        <v>16830504.110277157</v>
      </c>
      <c r="O103" s="33">
        <f>+O98*'Assumptions and Sensis'!$H$201*O100</f>
        <v>16830504.110277157</v>
      </c>
      <c r="P103" s="33">
        <f>+P98*'Assumptions and Sensis'!$H$201*P100</f>
        <v>16830504.110277157</v>
      </c>
      <c r="Q103" s="33">
        <f>+Q98*'Assumptions and Sensis'!$H$201*Q100</f>
        <v>18513554.521304876</v>
      </c>
      <c r="R103" s="33">
        <f>+R98*'Assumptions and Sensis'!$H$201*R100</f>
        <v>18513554.521304876</v>
      </c>
      <c r="S103" s="33">
        <f>+S98*'Assumptions and Sensis'!$H$201*S100</f>
        <v>18513554.521304876</v>
      </c>
      <c r="T103" s="33">
        <f>+T98*'Assumptions and Sensis'!$H$201*T100</f>
        <v>18513554.521304876</v>
      </c>
      <c r="U103" s="33">
        <f>+U98*'Assumptions and Sensis'!$H$201*U100</f>
        <v>18513554.521304876</v>
      </c>
      <c r="V103" s="33">
        <f>+V98*'Assumptions and Sensis'!$H$201*V100</f>
        <v>20364909.973435365</v>
      </c>
      <c r="W103" s="33">
        <f>+W98*'Assumptions and Sensis'!$H$201*W100</f>
        <v>20364909.973435365</v>
      </c>
      <c r="X103" s="33">
        <f>+X98*'Assumptions and Sensis'!$H$201*X100</f>
        <v>20364909.973435365</v>
      </c>
      <c r="Y103" s="33">
        <f>+Y98*'Assumptions and Sensis'!$H$201*Y100</f>
        <v>20364909.973435365</v>
      </c>
      <c r="Z103" s="33">
        <f>+Z98*'Assumptions and Sensis'!$H$201*Z100</f>
        <v>20364909.973435365</v>
      </c>
    </row>
    <row r="104" spans="2:26" x14ac:dyDescent="0.2">
      <c r="B104" s="32" t="s">
        <v>244</v>
      </c>
      <c r="C104" s="32"/>
      <c r="D104" s="39"/>
      <c r="E104" s="39"/>
      <c r="F104" s="41">
        <f>-F103*'Assumptions and Sensis'!$P$79</f>
        <v>0</v>
      </c>
      <c r="G104" s="41">
        <f>-G103*'Assumptions and Sensis'!$P$79</f>
        <v>0</v>
      </c>
      <c r="H104" s="41">
        <f>-H103*'Assumptions and Sensis'!$P$79</f>
        <v>0</v>
      </c>
      <c r="I104" s="41">
        <f>-I103*'Assumptions and Sensis'!$P$79</f>
        <v>-765022.91410350706</v>
      </c>
      <c r="J104" s="41">
        <f>-J103*'Assumptions and Sensis'!$P$79</f>
        <v>-1530045.8282070141</v>
      </c>
      <c r="K104" s="41">
        <f>-K103*'Assumptions and Sensis'!$P$79</f>
        <v>-1530045.8282070141</v>
      </c>
      <c r="L104" s="41">
        <f>-L103*'Assumptions and Sensis'!$P$79</f>
        <v>-1683050.4110277158</v>
      </c>
      <c r="M104" s="41">
        <f>-M103*'Assumptions and Sensis'!$P$79</f>
        <v>-1683050.4110277158</v>
      </c>
      <c r="N104" s="41">
        <f>-N103*'Assumptions and Sensis'!$P$79</f>
        <v>-1683050.4110277158</v>
      </c>
      <c r="O104" s="41">
        <f>-O103*'Assumptions and Sensis'!$P$79</f>
        <v>-1683050.4110277158</v>
      </c>
      <c r="P104" s="41">
        <f>-P103*'Assumptions and Sensis'!$P$79</f>
        <v>-1683050.4110277158</v>
      </c>
      <c r="Q104" s="41">
        <f>-Q103*'Assumptions and Sensis'!$P$79</f>
        <v>-1851355.4521304877</v>
      </c>
      <c r="R104" s="41">
        <f>-R103*'Assumptions and Sensis'!$P$79</f>
        <v>-1851355.4521304877</v>
      </c>
      <c r="S104" s="41">
        <f>-S103*'Assumptions and Sensis'!$P$79</f>
        <v>-1851355.4521304877</v>
      </c>
      <c r="T104" s="41">
        <f>-T103*'Assumptions and Sensis'!$P$79</f>
        <v>-1851355.4521304877</v>
      </c>
      <c r="U104" s="41">
        <f>-U103*'Assumptions and Sensis'!$P$79</f>
        <v>-1851355.4521304877</v>
      </c>
      <c r="V104" s="41">
        <f>-V103*'Assumptions and Sensis'!$P$79</f>
        <v>-2036490.9973435365</v>
      </c>
      <c r="W104" s="41">
        <f>-W103*'Assumptions and Sensis'!$P$79</f>
        <v>-2036490.9973435365</v>
      </c>
      <c r="X104" s="41">
        <f>-X103*'Assumptions and Sensis'!$P$79</f>
        <v>-2036490.9973435365</v>
      </c>
      <c r="Y104" s="41">
        <f>-Y103*'Assumptions and Sensis'!$P$79</f>
        <v>-2036490.9973435365</v>
      </c>
      <c r="Z104" s="41">
        <f>-Z103*'Assumptions and Sensis'!$P$79</f>
        <v>-2036490.9973435365</v>
      </c>
    </row>
    <row r="105" spans="2:26" x14ac:dyDescent="0.2">
      <c r="B105" s="32" t="s">
        <v>259</v>
      </c>
      <c r="C105" s="32"/>
      <c r="D105" s="39"/>
      <c r="E105" s="39"/>
      <c r="F105" s="150">
        <f ca="1">+F110*'Assumptions and Sensis'!$P$113</f>
        <v>0</v>
      </c>
      <c r="G105" s="150">
        <f ca="1">+G110*'Assumptions and Sensis'!$P$113</f>
        <v>0</v>
      </c>
      <c r="H105" s="150">
        <f ca="1">+H110*'Assumptions and Sensis'!$P$113</f>
        <v>0</v>
      </c>
      <c r="I105" s="150">
        <f ca="1">+I110*'Assumptions and Sensis'!$P$113</f>
        <v>4134102.5259460444</v>
      </c>
      <c r="J105" s="150">
        <f ca="1">+J110*'Assumptions and Sensis'!$P$113</f>
        <v>8480591.9700845331</v>
      </c>
      <c r="K105" s="150">
        <f ca="1">+K110*'Assumptions and Sensis'!$P$113</f>
        <v>8625892.4750922527</v>
      </c>
      <c r="L105" s="150">
        <f ca="1">+L110*'Assumptions and Sensis'!$P$113</f>
        <v>8775551.9952502027</v>
      </c>
      <c r="M105" s="150">
        <f ca="1">+M110*'Assumptions and Sensis'!$P$113</f>
        <v>9002446.1370761041</v>
      </c>
      <c r="N105" s="150">
        <f ca="1">+N110*'Assumptions and Sensis'!$P$113</f>
        <v>9161219.9220116735</v>
      </c>
      <c r="O105" s="150">
        <f ca="1">+O110*'Assumptions and Sensis'!$P$113</f>
        <v>9324756.9204953089</v>
      </c>
      <c r="P105" s="150">
        <f ca="1">+P110*'Assumptions and Sensis'!$P$113</f>
        <v>9567399.7617179323</v>
      </c>
      <c r="Q105" s="150">
        <f ca="1">+Q110*'Assumptions and Sensis'!$P$113</f>
        <v>9740896.1634092219</v>
      </c>
      <c r="R105" s="150">
        <f ca="1">+R110*'Assumptions and Sensis'!$P$113</f>
        <v>9919597.4571512509</v>
      </c>
      <c r="S105" s="150">
        <f ca="1">+S110*'Assumptions and Sensis'!$P$113</f>
        <v>10179343.517145704</v>
      </c>
      <c r="T105" s="150">
        <f ca="1">+T110*'Assumptions and Sensis'!$P$113</f>
        <v>10368927.719676623</v>
      </c>
      <c r="U105" s="150">
        <f ca="1">+U110*'Assumptions and Sensis'!$P$113</f>
        <v>10564199.448283469</v>
      </c>
      <c r="V105" s="150">
        <f ca="1">+V110*'Assumptions and Sensis'!$P$113</f>
        <v>10842526.730737491</v>
      </c>
      <c r="W105" s="150">
        <f ca="1">+W110*'Assumptions and Sensis'!$P$113</f>
        <v>11049690.507616494</v>
      </c>
      <c r="X105" s="150">
        <f ca="1">+X110*'Assumptions and Sensis'!$P$113</f>
        <v>11263069.197801867</v>
      </c>
      <c r="Y105" s="150">
        <f ca="1">+Y110*'Assumptions and Sensis'!$P$113</f>
        <v>11561590.598721551</v>
      </c>
      <c r="Z105" s="150">
        <f ca="1">+Z110*'Assumptions and Sensis'!$P$113</f>
        <v>11787964.051139213</v>
      </c>
    </row>
    <row r="106" spans="2:26" x14ac:dyDescent="0.2">
      <c r="B106" s="136" t="s">
        <v>253</v>
      </c>
      <c r="C106" s="136"/>
      <c r="D106" s="136"/>
      <c r="E106" s="136"/>
      <c r="F106" s="128">
        <f t="shared" ref="F106:Z106" ca="1" si="37">+SUM(F103:F105)</f>
        <v>0</v>
      </c>
      <c r="G106" s="128">
        <f t="shared" ca="1" si="37"/>
        <v>0</v>
      </c>
      <c r="H106" s="128">
        <f t="shared" ca="1" si="37"/>
        <v>0</v>
      </c>
      <c r="I106" s="128">
        <f t="shared" ca="1" si="37"/>
        <v>11019308.752877608</v>
      </c>
      <c r="J106" s="128">
        <f t="shared" ca="1" si="37"/>
        <v>22251004.423947662</v>
      </c>
      <c r="K106" s="128">
        <f t="shared" ca="1" si="37"/>
        <v>22396304.92895538</v>
      </c>
      <c r="L106" s="128">
        <f t="shared" ca="1" si="37"/>
        <v>23923005.694499642</v>
      </c>
      <c r="M106" s="128">
        <f t="shared" ca="1" si="37"/>
        <v>24149899.836325545</v>
      </c>
      <c r="N106" s="128">
        <f t="shared" ca="1" si="37"/>
        <v>24308673.621261112</v>
      </c>
      <c r="O106" s="128">
        <f t="shared" ca="1" si="37"/>
        <v>24472210.619744748</v>
      </c>
      <c r="P106" s="128">
        <f t="shared" ca="1" si="37"/>
        <v>24714853.460967373</v>
      </c>
      <c r="Q106" s="128">
        <f t="shared" ca="1" si="37"/>
        <v>26403095.232583612</v>
      </c>
      <c r="R106" s="128">
        <f t="shared" ca="1" si="37"/>
        <v>26581796.526325639</v>
      </c>
      <c r="S106" s="128">
        <f t="shared" ca="1" si="37"/>
        <v>26841542.586320095</v>
      </c>
      <c r="T106" s="128">
        <f t="shared" ca="1" si="37"/>
        <v>27031126.788851012</v>
      </c>
      <c r="U106" s="128">
        <f t="shared" ca="1" si="37"/>
        <v>27226398.517457858</v>
      </c>
      <c r="V106" s="128">
        <f t="shared" ca="1" si="37"/>
        <v>29170945.706829317</v>
      </c>
      <c r="W106" s="128">
        <f t="shared" ca="1" si="37"/>
        <v>29378109.483708322</v>
      </c>
      <c r="X106" s="128">
        <f t="shared" ca="1" si="37"/>
        <v>29591488.173893698</v>
      </c>
      <c r="Y106" s="128">
        <f t="shared" ca="1" si="37"/>
        <v>29890009.574813381</v>
      </c>
      <c r="Z106" s="128">
        <f t="shared" ca="1" si="37"/>
        <v>30116383.027231041</v>
      </c>
    </row>
    <row r="108" spans="2:26" x14ac:dyDescent="0.2">
      <c r="B108" s="32" t="s">
        <v>389</v>
      </c>
      <c r="F108" s="33">
        <f>+F97*'Assumptions and Sensis'!$P$147*'Phase III Pro Forma'!F101</f>
        <v>0</v>
      </c>
      <c r="G108" s="33">
        <f>+G97*'Assumptions and Sensis'!$P$147*'Phase III Pro Forma'!G101</f>
        <v>0</v>
      </c>
      <c r="H108" s="33">
        <f>+H97*'Assumptions and Sensis'!$P$147*'Phase III Pro Forma'!H101</f>
        <v>0</v>
      </c>
      <c r="I108" s="33">
        <f>+I97*'Assumptions and Sensis'!$P$147*'Phase III Pro Forma'!I101</f>
        <v>2612378.7308111964</v>
      </c>
      <c r="J108" s="33">
        <f>+J97*'Assumptions and Sensis'!$P$147*'Phase III Pro Forma'!J101</f>
        <v>5381500.1854710653</v>
      </c>
      <c r="K108" s="33">
        <f>+K97*'Assumptions and Sensis'!$P$147*'Phase III Pro Forma'!K101</f>
        <v>5542945.1910351971</v>
      </c>
      <c r="L108" s="33">
        <f>+L97*'Assumptions and Sensis'!$P$147*'Phase III Pro Forma'!L101</f>
        <v>5709233.5467662532</v>
      </c>
      <c r="M108" s="33">
        <f>+M97*'Assumptions and Sensis'!$P$147*'Phase III Pro Forma'!M101</f>
        <v>5880510.5531692412</v>
      </c>
      <c r="N108" s="33">
        <f>+N97*'Assumptions and Sensis'!$P$147*'Phase III Pro Forma'!N101</f>
        <v>6056925.8697643187</v>
      </c>
      <c r="O108" s="33">
        <f>+O97*'Assumptions and Sensis'!$P$147*'Phase III Pro Forma'!O101</f>
        <v>6238633.6458572485</v>
      </c>
      <c r="P108" s="33">
        <f>+P97*'Assumptions and Sensis'!$P$147*'Phase III Pro Forma'!P101</f>
        <v>6425792.6552329659</v>
      </c>
      <c r="Q108" s="33">
        <f>+Q97*'Assumptions and Sensis'!$P$147*'Phase III Pro Forma'!Q101</f>
        <v>6618566.4348899545</v>
      </c>
      <c r="R108" s="33">
        <f>+R97*'Assumptions and Sensis'!$P$147*'Phase III Pro Forma'!R101</f>
        <v>6817123.4279366536</v>
      </c>
      <c r="S108" s="33">
        <f>+S97*'Assumptions and Sensis'!$P$147*'Phase III Pro Forma'!S101</f>
        <v>7021637.1307747532</v>
      </c>
      <c r="T108" s="33">
        <f>+T97*'Assumptions and Sensis'!$P$147*'Phase III Pro Forma'!T101</f>
        <v>7232286.2446979964</v>
      </c>
      <c r="U108" s="33">
        <f>+U97*'Assumptions and Sensis'!$P$147*'Phase III Pro Forma'!U101</f>
        <v>7449254.8320389371</v>
      </c>
      <c r="V108" s="33">
        <f>+V97*'Assumptions and Sensis'!$P$147*'Phase III Pro Forma'!V101</f>
        <v>7672732.4770001061</v>
      </c>
      <c r="W108" s="33">
        <f>+W97*'Assumptions and Sensis'!$P$147*'Phase III Pro Forma'!W101</f>
        <v>7902914.4513101084</v>
      </c>
      <c r="X108" s="33">
        <f>+X97*'Assumptions and Sensis'!$P$147*'Phase III Pro Forma'!X101</f>
        <v>8140001.8848494114</v>
      </c>
      <c r="Y108" s="33">
        <f>+Y97*'Assumptions and Sensis'!$P$147*'Phase III Pro Forma'!Y101</f>
        <v>8384201.9413948953</v>
      </c>
      <c r="Z108" s="33">
        <f>+Z97*'Assumptions and Sensis'!$P$147*'Phase III Pro Forma'!Z101</f>
        <v>8635727.9996367432</v>
      </c>
    </row>
    <row r="109" spans="2:26" x14ac:dyDescent="0.2">
      <c r="B109" s="32" t="s">
        <v>325</v>
      </c>
      <c r="F109" s="150">
        <f ca="1">+IFERROR(INDEX('Taxes and TIF'!$AR$11:$AR$45,MATCH('Phase III Pro Forma'!F$7,'Taxes and TIF'!$AG$11:$AG$45,0)),0)*'Loan Sizing'!$M$21*F98</f>
        <v>0</v>
      </c>
      <c r="G109" s="150">
        <f ca="1">+IFERROR(INDEX('Taxes and TIF'!$AR$11:$AR$45,MATCH('Phase III Pro Forma'!G$7,'Taxes and TIF'!$AG$11:$AG$45,0)),0)*'Loan Sizing'!$M$21*G98</f>
        <v>0</v>
      </c>
      <c r="H109" s="150">
        <f ca="1">+IFERROR(INDEX('Taxes and TIF'!$AR$11:$AR$45,MATCH('Phase III Pro Forma'!H$7,'Taxes and TIF'!$AG$11:$AG$45,0)),0)*'Loan Sizing'!$M$21*H98</f>
        <v>0</v>
      </c>
      <c r="I109" s="150">
        <f ca="1">+IFERROR(INDEX('Taxes and TIF'!$AR$11:$AR$45,MATCH('Phase III Pro Forma'!I$7,'Taxes and TIF'!$AG$11:$AG$45,0)),0)*'Loan Sizing'!$M$21*I98</f>
        <v>1981068.5202399632</v>
      </c>
      <c r="J109" s="150">
        <f ca="1">+IFERROR(INDEX('Taxes and TIF'!$AR$11:$AR$45,MATCH('Phase III Pro Forma'!J$7,'Taxes and TIF'!$AG$11:$AG$45,0)),0)*'Loan Sizing'!$M$21*J98</f>
        <v>4041379.7812895253</v>
      </c>
      <c r="K109" s="150">
        <f ca="1">+IFERROR(INDEX('Taxes and TIF'!$AR$11:$AR$45,MATCH('Phase III Pro Forma'!K$7,'Taxes and TIF'!$AG$11:$AG$45,0)),0)*'Loan Sizing'!$M$21*K98</f>
        <v>4041379.7812895253</v>
      </c>
      <c r="L109" s="150">
        <f ca="1">+IFERROR(INDEX('Taxes and TIF'!$AR$11:$AR$45,MATCH('Phase III Pro Forma'!L$7,'Taxes and TIF'!$AG$11:$AG$45,0)),0)*'Loan Sizing'!$M$21*L98</f>
        <v>4041379.7812895253</v>
      </c>
      <c r="M109" s="150">
        <f ca="1">+IFERROR(INDEX('Taxes and TIF'!$AR$11:$AR$45,MATCH('Phase III Pro Forma'!M$7,'Taxes and TIF'!$AG$11:$AG$45,0)),0)*'Loan Sizing'!$M$21*M98</f>
        <v>4122207.3769153152</v>
      </c>
      <c r="N109" s="150">
        <f ca="1">+IFERROR(INDEX('Taxes and TIF'!$AR$11:$AR$45,MATCH('Phase III Pro Forma'!N$7,'Taxes and TIF'!$AG$11:$AG$45,0)),0)*'Loan Sizing'!$M$21*N98</f>
        <v>4122207.3769153152</v>
      </c>
      <c r="O109" s="150">
        <f ca="1">+IFERROR(INDEX('Taxes and TIF'!$AR$11:$AR$45,MATCH('Phase III Pro Forma'!O$7,'Taxes and TIF'!$AG$11:$AG$45,0)),0)*'Loan Sizing'!$M$21*O98</f>
        <v>4122207.3769153152</v>
      </c>
      <c r="P109" s="150">
        <f ca="1">+IFERROR(INDEX('Taxes and TIF'!$AR$11:$AR$45,MATCH('Phase III Pro Forma'!P$7,'Taxes and TIF'!$AG$11:$AG$45,0)),0)*'Loan Sizing'!$M$21*P98</f>
        <v>4204651.5244536223</v>
      </c>
      <c r="Q109" s="150">
        <f ca="1">+IFERROR(INDEX('Taxes and TIF'!$AR$11:$AR$45,MATCH('Phase III Pro Forma'!Q$7,'Taxes and TIF'!$AG$11:$AG$45,0)),0)*'Loan Sizing'!$M$21*Q98</f>
        <v>4204651.5244536223</v>
      </c>
      <c r="R109" s="150">
        <f ca="1">+IFERROR(INDEX('Taxes and TIF'!$AR$11:$AR$45,MATCH('Phase III Pro Forma'!R$7,'Taxes and TIF'!$AG$11:$AG$45,0)),0)*'Loan Sizing'!$M$21*R98</f>
        <v>4204651.5244536223</v>
      </c>
      <c r="S109" s="150">
        <f ca="1">+IFERROR(INDEX('Taxes and TIF'!$AR$11:$AR$45,MATCH('Phase III Pro Forma'!S$7,'Taxes and TIF'!$AG$11:$AG$45,0)),0)*'Loan Sizing'!$M$21*S98</f>
        <v>4288744.5549426945</v>
      </c>
      <c r="T109" s="150">
        <f ca="1">+IFERROR(INDEX('Taxes and TIF'!$AR$11:$AR$45,MATCH('Phase III Pro Forma'!T$7,'Taxes and TIF'!$AG$11:$AG$45,0)),0)*'Loan Sizing'!$M$21*T98</f>
        <v>4288744.5549426945</v>
      </c>
      <c r="U109" s="150">
        <f ca="1">+IFERROR(INDEX('Taxes and TIF'!$AR$11:$AR$45,MATCH('Phase III Pro Forma'!U$7,'Taxes and TIF'!$AG$11:$AG$45,0)),0)*'Loan Sizing'!$M$21*U98</f>
        <v>4288744.5549426945</v>
      </c>
      <c r="V109" s="150">
        <f ca="1">+IFERROR(INDEX('Taxes and TIF'!$AR$11:$AR$45,MATCH('Phase III Pro Forma'!V$7,'Taxes and TIF'!$AG$11:$AG$45,0)),0)*'Loan Sizing'!$M$21*V98</f>
        <v>4374519.4460415486</v>
      </c>
      <c r="W109" s="150">
        <f ca="1">+IFERROR(INDEX('Taxes and TIF'!$AR$11:$AR$45,MATCH('Phase III Pro Forma'!W$7,'Taxes and TIF'!$AG$11:$AG$45,0)),0)*'Loan Sizing'!$M$21*W98</f>
        <v>4374519.4460415486</v>
      </c>
      <c r="X109" s="150">
        <f ca="1">+IFERROR(INDEX('Taxes and TIF'!$AR$11:$AR$45,MATCH('Phase III Pro Forma'!X$7,'Taxes and TIF'!$AG$11:$AG$45,0)),0)*'Loan Sizing'!$M$21*X98</f>
        <v>4374519.4460415486</v>
      </c>
      <c r="Y109" s="150">
        <f ca="1">+IFERROR(INDEX('Taxes and TIF'!$AR$11:$AR$45,MATCH('Phase III Pro Forma'!Y$7,'Taxes and TIF'!$AG$11:$AG$45,0)),0)*'Loan Sizing'!$M$21*Y98</f>
        <v>4462009.8349623801</v>
      </c>
      <c r="Z109" s="150">
        <f ca="1">+IFERROR(INDEX('Taxes and TIF'!$AR$11:$AR$45,MATCH('Phase III Pro Forma'!Z$7,'Taxes and TIF'!$AG$11:$AG$45,0)),0)*'Loan Sizing'!$M$21*Z98</f>
        <v>4462009.8349623801</v>
      </c>
    </row>
    <row r="110" spans="2:26" x14ac:dyDescent="0.2">
      <c r="B110" s="136" t="s">
        <v>249</v>
      </c>
      <c r="C110" s="136"/>
      <c r="D110" s="136"/>
      <c r="E110" s="136"/>
      <c r="F110" s="128">
        <f ca="1">+SUM(F108:F109)</f>
        <v>0</v>
      </c>
      <c r="G110" s="128">
        <f t="shared" ref="G110" ca="1" si="38">+SUM(G108:G109)</f>
        <v>0</v>
      </c>
      <c r="H110" s="128">
        <f t="shared" ref="H110:Z110" ca="1" si="39">+SUM(H108:H109)</f>
        <v>0</v>
      </c>
      <c r="I110" s="128">
        <f t="shared" ca="1" si="39"/>
        <v>4593447.2510511596</v>
      </c>
      <c r="J110" s="128">
        <f t="shared" ca="1" si="39"/>
        <v>9422879.9667605907</v>
      </c>
      <c r="K110" s="128">
        <f t="shared" ca="1" si="39"/>
        <v>9584324.9723247215</v>
      </c>
      <c r="L110" s="128">
        <f t="shared" ca="1" si="39"/>
        <v>9750613.3280557785</v>
      </c>
      <c r="M110" s="128">
        <f t="shared" ca="1" si="39"/>
        <v>10002717.930084556</v>
      </c>
      <c r="N110" s="128">
        <f t="shared" ca="1" si="39"/>
        <v>10179133.246679634</v>
      </c>
      <c r="O110" s="128">
        <f t="shared" ca="1" si="39"/>
        <v>10360841.022772564</v>
      </c>
      <c r="P110" s="128">
        <f t="shared" ca="1" si="39"/>
        <v>10630444.179686587</v>
      </c>
      <c r="Q110" s="128">
        <f t="shared" ca="1" si="39"/>
        <v>10823217.959343577</v>
      </c>
      <c r="R110" s="128">
        <f t="shared" ca="1" si="39"/>
        <v>11021774.952390276</v>
      </c>
      <c r="S110" s="128">
        <f t="shared" ca="1" si="39"/>
        <v>11310381.685717449</v>
      </c>
      <c r="T110" s="128">
        <f t="shared" ca="1" si="39"/>
        <v>11521030.799640691</v>
      </c>
      <c r="U110" s="128">
        <f t="shared" ca="1" si="39"/>
        <v>11737999.386981633</v>
      </c>
      <c r="V110" s="128">
        <f t="shared" ca="1" si="39"/>
        <v>12047251.923041655</v>
      </c>
      <c r="W110" s="128">
        <f t="shared" ca="1" si="39"/>
        <v>12277433.897351656</v>
      </c>
      <c r="X110" s="128">
        <f t="shared" ca="1" si="39"/>
        <v>12514521.330890961</v>
      </c>
      <c r="Y110" s="128">
        <f t="shared" ca="1" si="39"/>
        <v>12846211.776357275</v>
      </c>
      <c r="Z110" s="128">
        <f t="shared" ca="1" si="39"/>
        <v>13097737.834599122</v>
      </c>
    </row>
    <row r="111" spans="2:26" x14ac:dyDescent="0.2">
      <c r="B111" s="32"/>
    </row>
    <row r="112" spans="2:26" x14ac:dyDescent="0.2">
      <c r="B112" s="137" t="s">
        <v>248</v>
      </c>
      <c r="C112" s="137"/>
      <c r="D112" s="137"/>
      <c r="E112" s="137"/>
      <c r="F112" s="138">
        <f ca="1">+F106-F110</f>
        <v>0</v>
      </c>
      <c r="G112" s="138">
        <f t="shared" ref="G112:Z112" ca="1" si="40">+G106-G110</f>
        <v>0</v>
      </c>
      <c r="H112" s="138">
        <f t="shared" ca="1" si="40"/>
        <v>0</v>
      </c>
      <c r="I112" s="138">
        <f t="shared" ca="1" si="40"/>
        <v>6425861.5018264484</v>
      </c>
      <c r="J112" s="138">
        <f t="shared" ca="1" si="40"/>
        <v>12828124.457187071</v>
      </c>
      <c r="K112" s="138">
        <f t="shared" ca="1" si="40"/>
        <v>12811979.956630658</v>
      </c>
      <c r="L112" s="138">
        <f t="shared" ca="1" si="40"/>
        <v>14172392.366443863</v>
      </c>
      <c r="M112" s="138">
        <f t="shared" ca="1" si="40"/>
        <v>14147181.906240989</v>
      </c>
      <c r="N112" s="138">
        <f t="shared" ca="1" si="40"/>
        <v>14129540.374581479</v>
      </c>
      <c r="O112" s="138">
        <f t="shared" ca="1" si="40"/>
        <v>14111369.596972184</v>
      </c>
      <c r="P112" s="138">
        <f t="shared" ca="1" si="40"/>
        <v>14084409.281280786</v>
      </c>
      <c r="Q112" s="138">
        <f t="shared" ca="1" si="40"/>
        <v>15579877.273240035</v>
      </c>
      <c r="R112" s="138">
        <f t="shared" ca="1" si="40"/>
        <v>15560021.573935363</v>
      </c>
      <c r="S112" s="138">
        <f t="shared" ca="1" si="40"/>
        <v>15531160.900602646</v>
      </c>
      <c r="T112" s="138">
        <f t="shared" ca="1" si="40"/>
        <v>15510095.989210321</v>
      </c>
      <c r="U112" s="138">
        <f t="shared" ca="1" si="40"/>
        <v>15488399.130476225</v>
      </c>
      <c r="V112" s="138">
        <f t="shared" ca="1" si="40"/>
        <v>17123693.78378766</v>
      </c>
      <c r="W112" s="138">
        <f t="shared" ca="1" si="40"/>
        <v>17100675.586356666</v>
      </c>
      <c r="X112" s="138">
        <f t="shared" ca="1" si="40"/>
        <v>17076966.843002737</v>
      </c>
      <c r="Y112" s="138">
        <f t="shared" ca="1" si="40"/>
        <v>17043797.798456106</v>
      </c>
      <c r="Z112" s="138">
        <f t="shared" ca="1" si="40"/>
        <v>17018645.192631919</v>
      </c>
    </row>
    <row r="113" spans="2:26" x14ac:dyDescent="0.2">
      <c r="B113" s="142" t="s">
        <v>254</v>
      </c>
      <c r="C113" s="140"/>
      <c r="D113" s="140"/>
      <c r="E113" s="140"/>
      <c r="F113" s="143" t="str">
        <f ca="1">+IFERROR(F112/F106,"")</f>
        <v/>
      </c>
      <c r="G113" s="143" t="str">
        <f t="shared" ref="G113:Z113" ca="1" si="41">+IFERROR(G112/G106,"")</f>
        <v/>
      </c>
      <c r="H113" s="143" t="str">
        <f t="shared" ca="1" si="41"/>
        <v/>
      </c>
      <c r="I113" s="144">
        <f t="shared" ca="1" si="41"/>
        <v>0.58314560794463477</v>
      </c>
      <c r="J113" s="144">
        <f t="shared" ca="1" si="41"/>
        <v>0.57651889383387978</v>
      </c>
      <c r="K113" s="144">
        <f t="shared" ca="1" si="41"/>
        <v>0.57205775672693704</v>
      </c>
      <c r="L113" s="144">
        <f t="shared" ca="1" si="41"/>
        <v>0.59241687885826022</v>
      </c>
      <c r="M113" s="144">
        <f t="shared" ca="1" si="41"/>
        <v>0.58580706347117961</v>
      </c>
      <c r="N113" s="144">
        <f t="shared" ca="1" si="41"/>
        <v>0.5812550941579695</v>
      </c>
      <c r="O113" s="144">
        <f t="shared" ca="1" si="41"/>
        <v>0.57662831593917407</v>
      </c>
      <c r="P113" s="144">
        <f t="shared" ca="1" si="41"/>
        <v>0.5698763014526691</v>
      </c>
      <c r="Q113" s="144">
        <f t="shared" ca="1" si="41"/>
        <v>0.59007768354420709</v>
      </c>
      <c r="R113" s="144">
        <f t="shared" ca="1" si="41"/>
        <v>0.58536380558497192</v>
      </c>
      <c r="S113" s="144">
        <f t="shared" ca="1" si="41"/>
        <v>0.57862400607773445</v>
      </c>
      <c r="T113" s="144">
        <f t="shared" ca="1" si="41"/>
        <v>0.57378651324322372</v>
      </c>
      <c r="U113" s="144">
        <f t="shared" ca="1" si="41"/>
        <v>0.56887432689802497</v>
      </c>
      <c r="V113" s="144">
        <f t="shared" ca="1" si="41"/>
        <v>0.58701195209378387</v>
      </c>
      <c r="W113" s="144">
        <f t="shared" ca="1" si="41"/>
        <v>0.58208904136053663</v>
      </c>
      <c r="X113" s="144">
        <f t="shared" ca="1" si="41"/>
        <v>0.57709050462924794</v>
      </c>
      <c r="Y113" s="144">
        <f t="shared" ca="1" si="41"/>
        <v>0.57021720771939632</v>
      </c>
      <c r="Z113" s="144">
        <f t="shared" ca="1" si="41"/>
        <v>0.56509592062379366</v>
      </c>
    </row>
    <row r="114" spans="2:26" x14ac:dyDescent="0.2">
      <c r="B114" s="142" t="s">
        <v>188</v>
      </c>
      <c r="C114" s="140"/>
      <c r="D114" s="140"/>
      <c r="E114" s="140"/>
      <c r="F114" s="141">
        <f ca="1">+F112/'Assumptions and Sensis'!$P$158</f>
        <v>0</v>
      </c>
      <c r="G114" s="141">
        <f ca="1">+G112/'Assumptions and Sensis'!$P$158</f>
        <v>0</v>
      </c>
      <c r="H114" s="141">
        <f ca="1">+H112/'Assumptions and Sensis'!$P$158</f>
        <v>0</v>
      </c>
      <c r="I114" s="141">
        <f ca="1">+I112/'Assumptions and Sensis'!$P$158</f>
        <v>98859407.72040689</v>
      </c>
      <c r="J114" s="141">
        <f ca="1">+J112/'Assumptions and Sensis'!$P$158</f>
        <v>197355760.87980109</v>
      </c>
      <c r="K114" s="141">
        <f ca="1">+K112/'Assumptions and Sensis'!$P$158</f>
        <v>197107383.94816396</v>
      </c>
      <c r="L114" s="141">
        <f ca="1">+L112/'Assumptions and Sensis'!$P$158</f>
        <v>218036805.63759789</v>
      </c>
      <c r="M114" s="141">
        <f ca="1">+M112/'Assumptions and Sensis'!$P$158</f>
        <v>217648952.4037075</v>
      </c>
      <c r="N114" s="141">
        <f ca="1">+N112/'Assumptions and Sensis'!$P$158</f>
        <v>217377544.22433043</v>
      </c>
      <c r="O114" s="141">
        <f ca="1">+O112/'Assumptions and Sensis'!$P$158</f>
        <v>217097993.79957205</v>
      </c>
      <c r="P114" s="141">
        <f ca="1">+P112/'Assumptions and Sensis'!$P$158</f>
        <v>216683219.71201208</v>
      </c>
      <c r="Q114" s="141">
        <f ca="1">+Q112/'Assumptions and Sensis'!$P$158</f>
        <v>239690419.58830822</v>
      </c>
      <c r="R114" s="141">
        <f ca="1">+R112/'Assumptions and Sensis'!$P$158</f>
        <v>239384947.29131326</v>
      </c>
      <c r="S114" s="141">
        <f ca="1">+S112/'Assumptions and Sensis'!$P$158</f>
        <v>238940936.9323484</v>
      </c>
      <c r="T114" s="141">
        <f ca="1">+T112/'Assumptions and Sensis'!$P$158</f>
        <v>238616861.37246647</v>
      </c>
      <c r="U114" s="141">
        <f ca="1">+U112/'Assumptions and Sensis'!$P$158</f>
        <v>238283063.54578808</v>
      </c>
      <c r="V114" s="141">
        <f ca="1">+V112/'Assumptions and Sensis'!$P$158</f>
        <v>263441442.82750246</v>
      </c>
      <c r="W114" s="141">
        <f ca="1">+W112/'Assumptions and Sensis'!$P$158</f>
        <v>263087316.71317947</v>
      </c>
      <c r="X114" s="141">
        <f ca="1">+X112/'Assumptions and Sensis'!$P$158</f>
        <v>262722566.81542671</v>
      </c>
      <c r="Y114" s="141">
        <f ca="1">+Y112/'Assumptions and Sensis'!$P$158</f>
        <v>262212273.82240161</v>
      </c>
      <c r="Z114" s="141">
        <f ca="1">+Z112/'Assumptions and Sensis'!$P$158</f>
        <v>261825310.65587565</v>
      </c>
    </row>
    <row r="116" spans="2:26" x14ac:dyDescent="0.2">
      <c r="B116" s="147" t="s">
        <v>221</v>
      </c>
      <c r="C116" s="148"/>
      <c r="D116" s="148"/>
      <c r="E116" s="148"/>
      <c r="F116" s="149">
        <f>+'Assumptions and Sensis'!$H$43</f>
        <v>45657</v>
      </c>
      <c r="G116" s="149">
        <f>+EOMONTH(F116,12)</f>
        <v>46022</v>
      </c>
      <c r="H116" s="149">
        <f t="shared" ref="H116:Z116" si="42">+EOMONTH(G116,12)</f>
        <v>46387</v>
      </c>
      <c r="I116" s="149">
        <f t="shared" si="42"/>
        <v>46752</v>
      </c>
      <c r="J116" s="149">
        <f t="shared" si="42"/>
        <v>47118</v>
      </c>
      <c r="K116" s="149">
        <f t="shared" si="42"/>
        <v>47483</v>
      </c>
      <c r="L116" s="149">
        <f t="shared" si="42"/>
        <v>47848</v>
      </c>
      <c r="M116" s="149">
        <f t="shared" si="42"/>
        <v>48213</v>
      </c>
      <c r="N116" s="149">
        <f t="shared" si="42"/>
        <v>48579</v>
      </c>
      <c r="O116" s="149">
        <f t="shared" si="42"/>
        <v>48944</v>
      </c>
      <c r="P116" s="149">
        <f t="shared" si="42"/>
        <v>49309</v>
      </c>
      <c r="Q116" s="149">
        <f t="shared" si="42"/>
        <v>49674</v>
      </c>
      <c r="R116" s="149">
        <f t="shared" si="42"/>
        <v>50040</v>
      </c>
      <c r="S116" s="149">
        <f t="shared" si="42"/>
        <v>50405</v>
      </c>
      <c r="T116" s="149">
        <f t="shared" si="42"/>
        <v>50770</v>
      </c>
      <c r="U116" s="149">
        <f t="shared" si="42"/>
        <v>51135</v>
      </c>
      <c r="V116" s="149">
        <f t="shared" si="42"/>
        <v>51501</v>
      </c>
      <c r="W116" s="149">
        <f t="shared" si="42"/>
        <v>51866</v>
      </c>
      <c r="X116" s="149">
        <f t="shared" si="42"/>
        <v>52231</v>
      </c>
      <c r="Y116" s="149">
        <f t="shared" si="42"/>
        <v>52596</v>
      </c>
      <c r="Z116" s="149">
        <f t="shared" si="42"/>
        <v>52962</v>
      </c>
    </row>
    <row r="117" spans="2:26" x14ac:dyDescent="0.2">
      <c r="B117" s="32" t="s">
        <v>756</v>
      </c>
      <c r="C117" s="32"/>
      <c r="D117" s="39"/>
      <c r="E117" s="39"/>
      <c r="F117" s="41">
        <f>+IF(AND(F116&gt;='Assumptions and Sensis'!$H$47,F116&lt;'Assumptions and Sensis'!$H$49),SUM('Assumptions and Sensis'!$H$234:$H$235)/ROUNDUP(('Assumptions and Sensis'!$H$48/12),0),0)</f>
        <v>0</v>
      </c>
      <c r="G117" s="41">
        <f>+IF(AND(G116&gt;='Assumptions and Sensis'!$H$47,G116&lt;'Assumptions and Sensis'!$H$49),SUM('Assumptions and Sensis'!$H$234:$H$235)/ROUNDUP(('Assumptions and Sensis'!$H$48/12),0),0)</f>
        <v>0</v>
      </c>
      <c r="H117" s="41">
        <f>+IF(AND(H116&gt;='Assumptions and Sensis'!$H$47,H116&lt;'Assumptions and Sensis'!$H$49),SUM('Assumptions and Sensis'!$H$234:$H$235)/ROUNDUP(('Assumptions and Sensis'!$H$48/12),0),0)</f>
        <v>0</v>
      </c>
      <c r="I117" s="41">
        <f>+IF(AND(I116&gt;='Assumptions and Sensis'!$H$47,I116&lt;'Assumptions and Sensis'!$H$49),SUM('Assumptions and Sensis'!$H$234:$H$235)/ROUNDUP(('Assumptions and Sensis'!$H$48/12),0),0)</f>
        <v>99000</v>
      </c>
      <c r="J117" s="41">
        <f>+IF(AND(J116&gt;='Assumptions and Sensis'!$H$47,J116&lt;'Assumptions and Sensis'!$H$49),SUM('Assumptions and Sensis'!$H$234:$H$235)/ROUNDUP(('Assumptions and Sensis'!$H$48/12),0),0)</f>
        <v>99000</v>
      </c>
      <c r="K117" s="41">
        <f>+IF(AND(K116&gt;='Assumptions and Sensis'!$H$47,K116&lt;'Assumptions and Sensis'!$H$49),SUM('Assumptions and Sensis'!$H$234:$H$235)/ROUNDUP(('Assumptions and Sensis'!$H$48/12),0),0)</f>
        <v>0</v>
      </c>
      <c r="L117" s="41">
        <f>+IF(AND(L116&gt;='Assumptions and Sensis'!$H$47,L116&lt;'Assumptions and Sensis'!$H$49),SUM('Assumptions and Sensis'!$H$234:$H$235)/ROUNDUP(('Assumptions and Sensis'!$H$48/12),0),0)</f>
        <v>0</v>
      </c>
      <c r="M117" s="41">
        <f>+IF(AND(M116&gt;='Assumptions and Sensis'!$H$47,M116&lt;'Assumptions and Sensis'!$H$49),SUM('Assumptions and Sensis'!$H$234:$H$235)/ROUNDUP(('Assumptions and Sensis'!$H$48/12),0),0)</f>
        <v>0</v>
      </c>
      <c r="N117" s="41">
        <f>+IF(AND(N116&gt;='Assumptions and Sensis'!$H$47,N116&lt;'Assumptions and Sensis'!$H$49),SUM('Assumptions and Sensis'!$H$234:$H$235)/ROUNDUP(('Assumptions and Sensis'!$H$48/12),0),0)</f>
        <v>0</v>
      </c>
      <c r="O117" s="41">
        <f>+IF(AND(O116&gt;='Assumptions and Sensis'!$H$47,O116&lt;'Assumptions and Sensis'!$H$49),SUM('Assumptions and Sensis'!$H$234:$H$235)/ROUNDUP(('Assumptions and Sensis'!$H$48/12),0),0)</f>
        <v>0</v>
      </c>
      <c r="P117" s="41">
        <f>+IF(AND(P116&gt;='Assumptions and Sensis'!$H$47,P116&lt;'Assumptions and Sensis'!$H$49),SUM('Assumptions and Sensis'!$H$234:$H$235)/ROUNDUP(('Assumptions and Sensis'!$H$48/12),0),0)</f>
        <v>0</v>
      </c>
      <c r="Q117" s="41">
        <f>+IF(AND(Q116&gt;='Assumptions and Sensis'!$H$47,Q116&lt;'Assumptions and Sensis'!$H$49),SUM('Assumptions and Sensis'!$H$234:$H$235)/ROUNDUP(('Assumptions and Sensis'!$H$48/12),0),0)</f>
        <v>0</v>
      </c>
      <c r="R117" s="41">
        <f>+IF(AND(R116&gt;='Assumptions and Sensis'!$H$47,R116&lt;'Assumptions and Sensis'!$H$49),SUM('Assumptions and Sensis'!$H$234:$H$235)/ROUNDUP(('Assumptions and Sensis'!$H$48/12),0),0)</f>
        <v>0</v>
      </c>
      <c r="S117" s="41">
        <f>+IF(AND(S116&gt;='Assumptions and Sensis'!$H$47,S116&lt;'Assumptions and Sensis'!$H$49),SUM('Assumptions and Sensis'!$H$234:$H$235)/ROUNDUP(('Assumptions and Sensis'!$H$48/12),0),0)</f>
        <v>0</v>
      </c>
      <c r="T117" s="41">
        <f>+IF(AND(T116&gt;='Assumptions and Sensis'!$H$47,T116&lt;'Assumptions and Sensis'!$H$49),SUM('Assumptions and Sensis'!$H$234:$H$235)/ROUNDUP(('Assumptions and Sensis'!$H$48/12),0),0)</f>
        <v>0</v>
      </c>
      <c r="U117" s="41">
        <f>+IF(AND(U116&gt;='Assumptions and Sensis'!$H$47,U116&lt;'Assumptions and Sensis'!$H$49),SUM('Assumptions and Sensis'!$H$234:$H$235)/ROUNDUP(('Assumptions and Sensis'!$H$48/12),0),0)</f>
        <v>0</v>
      </c>
      <c r="V117" s="41">
        <f>+IF(AND(V116&gt;='Assumptions and Sensis'!$H$47,V116&lt;'Assumptions and Sensis'!$H$49),SUM('Assumptions and Sensis'!$H$234:$H$235)/ROUNDUP(('Assumptions and Sensis'!$H$48/12),0),0)</f>
        <v>0</v>
      </c>
      <c r="W117" s="41">
        <f>+IF(AND(W116&gt;='Assumptions and Sensis'!$H$47,W116&lt;'Assumptions and Sensis'!$H$49),SUM('Assumptions and Sensis'!$H$234:$H$235)/ROUNDUP(('Assumptions and Sensis'!$H$48/12),0),0)</f>
        <v>0</v>
      </c>
      <c r="X117" s="41">
        <f>+IF(AND(X116&gt;='Assumptions and Sensis'!$H$47,X116&lt;'Assumptions and Sensis'!$H$49),SUM('Assumptions and Sensis'!$H$234:$H$235)/ROUNDUP(('Assumptions and Sensis'!$H$48/12),0),0)</f>
        <v>0</v>
      </c>
      <c r="Y117" s="41">
        <f>+IF(AND(Y116&gt;='Assumptions and Sensis'!$H$47,Y116&lt;'Assumptions and Sensis'!$H$49),SUM('Assumptions and Sensis'!$H$234:$H$235)/ROUNDUP(('Assumptions and Sensis'!$H$48/12),0),0)</f>
        <v>0</v>
      </c>
      <c r="Z117" s="41">
        <f>+IF(AND(Z116&gt;='Assumptions and Sensis'!$H$47,Z116&lt;'Assumptions and Sensis'!$H$49),SUM('Assumptions and Sensis'!$H$234:$H$235)/ROUNDUP(('Assumptions and Sensis'!$H$48/12),0),0)</f>
        <v>0</v>
      </c>
    </row>
    <row r="118" spans="2:26" x14ac:dyDescent="0.2">
      <c r="B118" s="32" t="s">
        <v>490</v>
      </c>
      <c r="C118" s="32"/>
      <c r="D118" s="41"/>
      <c r="E118" s="41"/>
      <c r="F118" s="41">
        <f>+F119-E119</f>
        <v>0</v>
      </c>
      <c r="G118" s="41">
        <f t="shared" ref="G118:Z118" si="43">+G119-F119</f>
        <v>0</v>
      </c>
      <c r="H118" s="41">
        <f t="shared" si="43"/>
        <v>0</v>
      </c>
      <c r="I118" s="41">
        <f t="shared" si="43"/>
        <v>300</v>
      </c>
      <c r="J118" s="41">
        <f t="shared" si="43"/>
        <v>300</v>
      </c>
      <c r="K118" s="41">
        <f t="shared" si="43"/>
        <v>0</v>
      </c>
      <c r="L118" s="41">
        <f t="shared" si="43"/>
        <v>0</v>
      </c>
      <c r="M118" s="41">
        <f t="shared" si="43"/>
        <v>0</v>
      </c>
      <c r="N118" s="41">
        <f t="shared" si="43"/>
        <v>0</v>
      </c>
      <c r="O118" s="41">
        <f t="shared" si="43"/>
        <v>0</v>
      </c>
      <c r="P118" s="41">
        <f t="shared" si="43"/>
        <v>0</v>
      </c>
      <c r="Q118" s="41">
        <f t="shared" si="43"/>
        <v>0</v>
      </c>
      <c r="R118" s="41">
        <f t="shared" si="43"/>
        <v>0</v>
      </c>
      <c r="S118" s="41">
        <f t="shared" si="43"/>
        <v>0</v>
      </c>
      <c r="T118" s="41">
        <f t="shared" si="43"/>
        <v>0</v>
      </c>
      <c r="U118" s="41">
        <f t="shared" si="43"/>
        <v>0</v>
      </c>
      <c r="V118" s="41">
        <f t="shared" si="43"/>
        <v>0</v>
      </c>
      <c r="W118" s="41">
        <f t="shared" si="43"/>
        <v>0</v>
      </c>
      <c r="X118" s="41">
        <f t="shared" si="43"/>
        <v>0</v>
      </c>
      <c r="Y118" s="41">
        <f t="shared" si="43"/>
        <v>0</v>
      </c>
      <c r="Z118" s="41">
        <f t="shared" si="43"/>
        <v>0</v>
      </c>
    </row>
    <row r="119" spans="2:26" x14ac:dyDescent="0.2">
      <c r="B119" s="32" t="s">
        <v>247</v>
      </c>
      <c r="C119" s="32"/>
      <c r="D119" s="39"/>
      <c r="E119" s="39"/>
      <c r="F119" s="41">
        <f>+F121*SUM('Assumptions and Sensis'!$P$70:$P$71)</f>
        <v>0</v>
      </c>
      <c r="G119" s="41">
        <f>+G121*SUM('Assumptions and Sensis'!$P$70:$P$71)</f>
        <v>0</v>
      </c>
      <c r="H119" s="41">
        <f>+H121*SUM('Assumptions and Sensis'!$P$70:$P$71)</f>
        <v>0</v>
      </c>
      <c r="I119" s="41">
        <f>+I121*SUM('Assumptions and Sensis'!$P$70:$P$71)</f>
        <v>300</v>
      </c>
      <c r="J119" s="41">
        <f>+J121*SUM('Assumptions and Sensis'!$P$70:$P$71)</f>
        <v>600</v>
      </c>
      <c r="K119" s="41">
        <f>+K121*SUM('Assumptions and Sensis'!$P$70:$P$71)</f>
        <v>600</v>
      </c>
      <c r="L119" s="41">
        <f>+L121*SUM('Assumptions and Sensis'!$P$70:$P$71)</f>
        <v>600</v>
      </c>
      <c r="M119" s="41">
        <f>+M121*SUM('Assumptions and Sensis'!$P$70:$P$71)</f>
        <v>600</v>
      </c>
      <c r="N119" s="41">
        <f>+N121*SUM('Assumptions and Sensis'!$P$70:$P$71)</f>
        <v>600</v>
      </c>
      <c r="O119" s="41">
        <f>+O121*SUM('Assumptions and Sensis'!$P$70:$P$71)</f>
        <v>600</v>
      </c>
      <c r="P119" s="41">
        <f>+P121*SUM('Assumptions and Sensis'!$P$70:$P$71)</f>
        <v>600</v>
      </c>
      <c r="Q119" s="41">
        <f>+Q121*SUM('Assumptions and Sensis'!$P$70:$P$71)</f>
        <v>600</v>
      </c>
      <c r="R119" s="41">
        <f>+R121*SUM('Assumptions and Sensis'!$P$70:$P$71)</f>
        <v>600</v>
      </c>
      <c r="S119" s="41">
        <f>+S121*SUM('Assumptions and Sensis'!$P$70:$P$71)</f>
        <v>600</v>
      </c>
      <c r="T119" s="41">
        <f>+T121*SUM('Assumptions and Sensis'!$P$70:$P$71)</f>
        <v>600</v>
      </c>
      <c r="U119" s="41">
        <f>+U121*SUM('Assumptions and Sensis'!$P$70:$P$71)</f>
        <v>600</v>
      </c>
      <c r="V119" s="41">
        <f>+V121*SUM('Assumptions and Sensis'!$P$70:$P$71)</f>
        <v>600</v>
      </c>
      <c r="W119" s="41">
        <f>+W121*SUM('Assumptions and Sensis'!$P$70:$P$71)</f>
        <v>600</v>
      </c>
      <c r="X119" s="41">
        <f>+X121*SUM('Assumptions and Sensis'!$P$70:$P$71)</f>
        <v>600</v>
      </c>
      <c r="Y119" s="41">
        <f>+Y121*SUM('Assumptions and Sensis'!$P$70:$P$71)</f>
        <v>600</v>
      </c>
      <c r="Z119" s="41">
        <f>+Z121*SUM('Assumptions and Sensis'!$P$70:$P$71)</f>
        <v>600</v>
      </c>
    </row>
    <row r="120" spans="2:26" x14ac:dyDescent="0.2">
      <c r="B120" s="32" t="s">
        <v>246</v>
      </c>
      <c r="C120" s="32"/>
      <c r="D120" s="41">
        <v>0</v>
      </c>
      <c r="E120" s="41"/>
      <c r="F120" s="41">
        <f>+D120+F117</f>
        <v>0</v>
      </c>
      <c r="G120" s="41">
        <f t="shared" ref="G120:Z120" si="44">+F120+G117</f>
        <v>0</v>
      </c>
      <c r="H120" s="41">
        <f t="shared" si="44"/>
        <v>0</v>
      </c>
      <c r="I120" s="41">
        <f t="shared" si="44"/>
        <v>99000</v>
      </c>
      <c r="J120" s="41">
        <f t="shared" si="44"/>
        <v>198000</v>
      </c>
      <c r="K120" s="41">
        <f t="shared" si="44"/>
        <v>198000</v>
      </c>
      <c r="L120" s="41">
        <f t="shared" si="44"/>
        <v>198000</v>
      </c>
      <c r="M120" s="41">
        <f t="shared" si="44"/>
        <v>198000</v>
      </c>
      <c r="N120" s="41">
        <f t="shared" si="44"/>
        <v>198000</v>
      </c>
      <c r="O120" s="41">
        <f t="shared" si="44"/>
        <v>198000</v>
      </c>
      <c r="P120" s="41">
        <f t="shared" si="44"/>
        <v>198000</v>
      </c>
      <c r="Q120" s="41">
        <f t="shared" si="44"/>
        <v>198000</v>
      </c>
      <c r="R120" s="41">
        <f t="shared" si="44"/>
        <v>198000</v>
      </c>
      <c r="S120" s="41">
        <f t="shared" si="44"/>
        <v>198000</v>
      </c>
      <c r="T120" s="41">
        <f t="shared" si="44"/>
        <v>198000</v>
      </c>
      <c r="U120" s="41">
        <f t="shared" si="44"/>
        <v>198000</v>
      </c>
      <c r="V120" s="41">
        <f t="shared" si="44"/>
        <v>198000</v>
      </c>
      <c r="W120" s="41">
        <f t="shared" si="44"/>
        <v>198000</v>
      </c>
      <c r="X120" s="41">
        <f t="shared" si="44"/>
        <v>198000</v>
      </c>
      <c r="Y120" s="41">
        <f t="shared" si="44"/>
        <v>198000</v>
      </c>
      <c r="Z120" s="41">
        <f t="shared" si="44"/>
        <v>198000</v>
      </c>
    </row>
    <row r="121" spans="2:26" x14ac:dyDescent="0.2">
      <c r="B121" s="32" t="s">
        <v>301</v>
      </c>
      <c r="C121" s="32"/>
      <c r="D121" s="41"/>
      <c r="E121" s="41"/>
      <c r="F121" s="107">
        <f t="shared" ref="F121:Z121" si="45">+F120/SUM($F117:$Z117)</f>
        <v>0</v>
      </c>
      <c r="G121" s="107">
        <f t="shared" si="45"/>
        <v>0</v>
      </c>
      <c r="H121" s="107">
        <f t="shared" si="45"/>
        <v>0</v>
      </c>
      <c r="I121" s="107">
        <f t="shared" si="45"/>
        <v>0.5</v>
      </c>
      <c r="J121" s="107">
        <f t="shared" si="45"/>
        <v>1</v>
      </c>
      <c r="K121" s="107">
        <f t="shared" si="45"/>
        <v>1</v>
      </c>
      <c r="L121" s="107">
        <f t="shared" si="45"/>
        <v>1</v>
      </c>
      <c r="M121" s="107">
        <f t="shared" si="45"/>
        <v>1</v>
      </c>
      <c r="N121" s="107">
        <f t="shared" si="45"/>
        <v>1</v>
      </c>
      <c r="O121" s="107">
        <f t="shared" si="45"/>
        <v>1</v>
      </c>
      <c r="P121" s="107">
        <f t="shared" si="45"/>
        <v>1</v>
      </c>
      <c r="Q121" s="107">
        <f t="shared" si="45"/>
        <v>1</v>
      </c>
      <c r="R121" s="107">
        <f t="shared" si="45"/>
        <v>1</v>
      </c>
      <c r="S121" s="107">
        <f t="shared" si="45"/>
        <v>1</v>
      </c>
      <c r="T121" s="107">
        <f t="shared" si="45"/>
        <v>1</v>
      </c>
      <c r="U121" s="107">
        <f t="shared" si="45"/>
        <v>1</v>
      </c>
      <c r="V121" s="107">
        <f t="shared" si="45"/>
        <v>1</v>
      </c>
      <c r="W121" s="107">
        <f t="shared" si="45"/>
        <v>1</v>
      </c>
      <c r="X121" s="107">
        <f t="shared" si="45"/>
        <v>1</v>
      </c>
      <c r="Y121" s="107">
        <f t="shared" si="45"/>
        <v>1</v>
      </c>
      <c r="Z121" s="107">
        <f t="shared" si="45"/>
        <v>1</v>
      </c>
    </row>
    <row r="122" spans="2:26" x14ac:dyDescent="0.2">
      <c r="B122" s="32"/>
      <c r="C122" s="32"/>
      <c r="D122" s="39"/>
      <c r="E122" s="39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 spans="2:26" x14ac:dyDescent="0.2">
      <c r="B123" s="32" t="s">
        <v>251</v>
      </c>
      <c r="C123" s="32"/>
      <c r="D123" s="41"/>
      <c r="E123" s="41"/>
      <c r="F123" s="107">
        <v>1</v>
      </c>
      <c r="G123" s="107">
        <f>+F123*(1+'Assumptions and Sensis'!$P$96)</f>
        <v>1.02</v>
      </c>
      <c r="H123" s="107">
        <f>+G123*(1+'Assumptions and Sensis'!$P$96)</f>
        <v>1.0404</v>
      </c>
      <c r="I123" s="107">
        <f>+H123*(1+'Assumptions and Sensis'!$P$96)</f>
        <v>1.0612079999999999</v>
      </c>
      <c r="J123" s="107">
        <f>+I123*(1+'Assumptions and Sensis'!$P$96)</f>
        <v>1.08243216</v>
      </c>
      <c r="K123" s="107">
        <f>+J123*(1+'Assumptions and Sensis'!$P$96)</f>
        <v>1.1040808032</v>
      </c>
      <c r="L123" s="107">
        <f>+K123*(1+'Assumptions and Sensis'!$P$96)</f>
        <v>1.1261624192640001</v>
      </c>
      <c r="M123" s="107">
        <f>+L123*(1+'Assumptions and Sensis'!$P$96)</f>
        <v>1.14868566764928</v>
      </c>
      <c r="N123" s="107">
        <f>+M123*(1+'Assumptions and Sensis'!$P$96)</f>
        <v>1.1716593810022657</v>
      </c>
      <c r="O123" s="107">
        <f>+N123*(1+'Assumptions and Sensis'!$P$96)</f>
        <v>1.1950925686223111</v>
      </c>
      <c r="P123" s="107">
        <f>+O123*(1+'Assumptions and Sensis'!$P$96)</f>
        <v>1.2189944199947573</v>
      </c>
      <c r="Q123" s="107">
        <f>+P123*(1+'Assumptions and Sensis'!$P$96)</f>
        <v>1.2433743083946525</v>
      </c>
      <c r="R123" s="107">
        <f>+Q123*(1+'Assumptions and Sensis'!$P$96)</f>
        <v>1.2682417945625455</v>
      </c>
      <c r="S123" s="107">
        <f>+R123*(1+'Assumptions and Sensis'!$P$96)</f>
        <v>1.2936066304537963</v>
      </c>
      <c r="T123" s="107">
        <f>+S123*(1+'Assumptions and Sensis'!$P$96)</f>
        <v>1.3194787630628724</v>
      </c>
      <c r="U123" s="107">
        <f>+T123*(1+'Assumptions and Sensis'!$P$96)</f>
        <v>1.3458683383241299</v>
      </c>
      <c r="V123" s="107">
        <f>+U123*(1+'Assumptions and Sensis'!$P$96)</f>
        <v>1.3727857050906125</v>
      </c>
      <c r="W123" s="107">
        <f>+V123*(1+'Assumptions and Sensis'!$P$96)</f>
        <v>1.4002414191924248</v>
      </c>
      <c r="X123" s="107">
        <f>+W123*(1+'Assumptions and Sensis'!$P$96)</f>
        <v>1.4282462475762734</v>
      </c>
      <c r="Y123" s="107">
        <f>+X123*(1+'Assumptions and Sensis'!$P$96)</f>
        <v>1.4568111725277988</v>
      </c>
      <c r="Z123" s="107">
        <f>+Y123*(1+'Assumptions and Sensis'!$P$96)</f>
        <v>1.4859473959783549</v>
      </c>
    </row>
    <row r="124" spans="2:26" x14ac:dyDescent="0.2">
      <c r="B124" s="32" t="s">
        <v>252</v>
      </c>
      <c r="C124" s="32"/>
      <c r="D124" s="41"/>
      <c r="E124" s="41"/>
      <c r="F124" s="107">
        <v>1</v>
      </c>
      <c r="G124" s="107">
        <f>+F124*(1+'Assumptions and Sensis'!$P$104)</f>
        <v>1.03</v>
      </c>
      <c r="H124" s="107">
        <f>+G124*(1+'Assumptions and Sensis'!$P$104)</f>
        <v>1.0609</v>
      </c>
      <c r="I124" s="107">
        <f>+H124*(1+'Assumptions and Sensis'!$P$104)</f>
        <v>1.092727</v>
      </c>
      <c r="J124" s="107">
        <f>+I124*(1+'Assumptions and Sensis'!$P$104)</f>
        <v>1.1255088100000001</v>
      </c>
      <c r="K124" s="107">
        <f>+J124*(1+'Assumptions and Sensis'!$P$104)</f>
        <v>1.1592740743000001</v>
      </c>
      <c r="L124" s="107">
        <f>+K124*(1+'Assumptions and Sensis'!$P$104)</f>
        <v>1.1940522965290001</v>
      </c>
      <c r="M124" s="107">
        <f>+L124*(1+'Assumptions and Sensis'!$P$104)</f>
        <v>1.2298738654248702</v>
      </c>
      <c r="N124" s="107">
        <f>+M124*(1+'Assumptions and Sensis'!$P$104)</f>
        <v>1.2667700813876164</v>
      </c>
      <c r="O124" s="107">
        <f>+N124*(1+'Assumptions and Sensis'!$P$104)</f>
        <v>1.3047731838292449</v>
      </c>
      <c r="P124" s="107">
        <f>+O124*(1+'Assumptions and Sensis'!$P$104)</f>
        <v>1.3439163793441222</v>
      </c>
      <c r="Q124" s="107">
        <f>+P124*(1+'Assumptions and Sensis'!$P$104)</f>
        <v>1.3842338707244459</v>
      </c>
      <c r="R124" s="107">
        <f>+Q124*(1+'Assumptions and Sensis'!$P$104)</f>
        <v>1.4257608868461793</v>
      </c>
      <c r="S124" s="107">
        <f>+R124*(1+'Assumptions and Sensis'!$P$104)</f>
        <v>1.4685337134515648</v>
      </c>
      <c r="T124" s="107">
        <f>+S124*(1+'Assumptions and Sensis'!$P$104)</f>
        <v>1.5125897248551119</v>
      </c>
      <c r="U124" s="107">
        <f>+T124*(1+'Assumptions and Sensis'!$P$104)</f>
        <v>1.5579674166007653</v>
      </c>
      <c r="V124" s="107">
        <f>+U124*(1+'Assumptions and Sensis'!$P$104)</f>
        <v>1.6047064390987884</v>
      </c>
      <c r="W124" s="107">
        <f>+V124*(1+'Assumptions and Sensis'!$P$104)</f>
        <v>1.652847632271752</v>
      </c>
      <c r="X124" s="107">
        <f>+W124*(1+'Assumptions and Sensis'!$P$104)</f>
        <v>1.7024330612399046</v>
      </c>
      <c r="Y124" s="107">
        <f>+X124*(1+'Assumptions and Sensis'!$P$104)</f>
        <v>1.7535060530771018</v>
      </c>
      <c r="Z124" s="107">
        <f>+Y124*(1+'Assumptions and Sensis'!$P$104)</f>
        <v>1.806111234669415</v>
      </c>
    </row>
    <row r="125" spans="2:26" x14ac:dyDescent="0.2">
      <c r="B125" s="32"/>
      <c r="C125" s="32"/>
      <c r="D125" s="39"/>
      <c r="E125" s="39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 spans="2:26" x14ac:dyDescent="0.2">
      <c r="B126" s="32" t="s">
        <v>243</v>
      </c>
      <c r="C126" s="32"/>
      <c r="D126" s="39"/>
      <c r="E126" s="39"/>
      <c r="F126" s="33">
        <f>+F121*'Assumptions and Sensis'!$H$233*F123</f>
        <v>0</v>
      </c>
      <c r="G126" s="33">
        <f>+G121*'Assumptions and Sensis'!$H$233*G123</f>
        <v>0</v>
      </c>
      <c r="H126" s="33">
        <f>+H121*'Assumptions and Sensis'!$H$233*H123</f>
        <v>0</v>
      </c>
      <c r="I126" s="33">
        <f>+I121*'Assumptions and Sensis'!$H$233*I123</f>
        <v>558261.23447755014</v>
      </c>
      <c r="J126" s="33">
        <f>+J121*'Assumptions and Sensis'!$H$233*J123</f>
        <v>1138852.9183342024</v>
      </c>
      <c r="K126" s="33">
        <f>+K121*'Assumptions and Sensis'!$H$233*K123</f>
        <v>1161629.9767008864</v>
      </c>
      <c r="L126" s="33">
        <f>+L121*'Assumptions and Sensis'!$H$233*L123</f>
        <v>1184862.5762349041</v>
      </c>
      <c r="M126" s="33">
        <f>+M121*'Assumptions and Sensis'!$H$233*M123</f>
        <v>1208559.8277596021</v>
      </c>
      <c r="N126" s="33">
        <f>+N121*'Assumptions and Sensis'!$H$233*N123</f>
        <v>1232731.0243147945</v>
      </c>
      <c r="O126" s="33">
        <f>+O121*'Assumptions and Sensis'!$H$233*O123</f>
        <v>1257385.6448010902</v>
      </c>
      <c r="P126" s="33">
        <f>+P121*'Assumptions and Sensis'!$H$233*P123</f>
        <v>1282533.357697112</v>
      </c>
      <c r="Q126" s="33">
        <f>+Q121*'Assumptions and Sensis'!$H$233*Q123</f>
        <v>1308184.0248510544</v>
      </c>
      <c r="R126" s="33">
        <f>+R121*'Assumptions and Sensis'!$H$233*R123</f>
        <v>1334347.7053480754</v>
      </c>
      <c r="S126" s="33">
        <f>+S121*'Assumptions and Sensis'!$H$233*S123</f>
        <v>1361034.6594550367</v>
      </c>
      <c r="T126" s="33">
        <f>+T121*'Assumptions and Sensis'!$H$233*T123</f>
        <v>1388255.3526441376</v>
      </c>
      <c r="U126" s="33">
        <f>+U121*'Assumptions and Sensis'!$H$233*U123</f>
        <v>1416020.4596970205</v>
      </c>
      <c r="V126" s="33">
        <f>+V121*'Assumptions and Sensis'!$H$233*V123</f>
        <v>1444340.8688909609</v>
      </c>
      <c r="W126" s="33">
        <f>+W121*'Assumptions and Sensis'!$H$233*W123</f>
        <v>1473227.6862687801</v>
      </c>
      <c r="X126" s="33">
        <f>+X121*'Assumptions and Sensis'!$H$233*X123</f>
        <v>1502692.2399941559</v>
      </c>
      <c r="Y126" s="33">
        <f>+Y121*'Assumptions and Sensis'!$H$233*Y123</f>
        <v>1532746.0847940389</v>
      </c>
      <c r="Z126" s="33">
        <f>+Z121*'Assumptions and Sensis'!$H$233*Z123</f>
        <v>1563401.00648992</v>
      </c>
    </row>
    <row r="127" spans="2:26" x14ac:dyDescent="0.2">
      <c r="B127" s="32" t="s">
        <v>244</v>
      </c>
      <c r="C127" s="32"/>
      <c r="D127" s="39"/>
      <c r="E127" s="39"/>
      <c r="F127" s="41">
        <f>-F126*'Assumptions and Sensis'!$P$81</f>
        <v>0</v>
      </c>
      <c r="G127" s="41">
        <f>-G126*'Assumptions and Sensis'!$P$81</f>
        <v>0</v>
      </c>
      <c r="H127" s="41">
        <f>-H126*'Assumptions and Sensis'!$P$81</f>
        <v>0</v>
      </c>
      <c r="I127" s="41">
        <f>-I126*'Assumptions and Sensis'!$P$81</f>
        <v>-55826.123447755017</v>
      </c>
      <c r="J127" s="41">
        <f>-J126*'Assumptions and Sensis'!$P$81</f>
        <v>-113885.29183342024</v>
      </c>
      <c r="K127" s="41">
        <f>-K126*'Assumptions and Sensis'!$P$81</f>
        <v>-116162.99767008865</v>
      </c>
      <c r="L127" s="41">
        <f>-L126*'Assumptions and Sensis'!$P$81</f>
        <v>-118486.25762349041</v>
      </c>
      <c r="M127" s="41">
        <f>-M126*'Assumptions and Sensis'!$P$81</f>
        <v>-120855.98277596022</v>
      </c>
      <c r="N127" s="41">
        <f>-N126*'Assumptions and Sensis'!$P$81</f>
        <v>-123273.10243147945</v>
      </c>
      <c r="O127" s="41">
        <f>-O126*'Assumptions and Sensis'!$P$81</f>
        <v>-125738.56448010902</v>
      </c>
      <c r="P127" s="41">
        <f>-P126*'Assumptions and Sensis'!$P$81</f>
        <v>-128253.33576971121</v>
      </c>
      <c r="Q127" s="41">
        <f>-Q126*'Assumptions and Sensis'!$P$81</f>
        <v>-130818.40248510544</v>
      </c>
      <c r="R127" s="41">
        <f>-R126*'Assumptions and Sensis'!$P$81</f>
        <v>-133434.77053480755</v>
      </c>
      <c r="S127" s="41">
        <f>-S126*'Assumptions and Sensis'!$P$81</f>
        <v>-136103.46594550367</v>
      </c>
      <c r="T127" s="41">
        <f>-T126*'Assumptions and Sensis'!$P$81</f>
        <v>-138825.53526441377</v>
      </c>
      <c r="U127" s="41">
        <f>-U126*'Assumptions and Sensis'!$P$81</f>
        <v>-141602.04596970204</v>
      </c>
      <c r="V127" s="41">
        <f>-V126*'Assumptions and Sensis'!$P$81</f>
        <v>-144434.0868890961</v>
      </c>
      <c r="W127" s="41">
        <f>-W126*'Assumptions and Sensis'!$P$81</f>
        <v>-147322.76862687801</v>
      </c>
      <c r="X127" s="41">
        <f>-X126*'Assumptions and Sensis'!$P$81</f>
        <v>-150269.22399941561</v>
      </c>
      <c r="Y127" s="41">
        <f>-Y126*'Assumptions and Sensis'!$P$81</f>
        <v>-153274.60847940389</v>
      </c>
      <c r="Z127" s="41">
        <f>-Z126*'Assumptions and Sensis'!$P$81</f>
        <v>-156340.100648992</v>
      </c>
    </row>
    <row r="128" spans="2:26" x14ac:dyDescent="0.2">
      <c r="B128" s="136" t="s">
        <v>253</v>
      </c>
      <c r="C128" s="136"/>
      <c r="D128" s="136"/>
      <c r="E128" s="136"/>
      <c r="F128" s="128">
        <f t="shared" ref="F128:Z128" si="46">+SUM(F126:F127)</f>
        <v>0</v>
      </c>
      <c r="G128" s="128">
        <f t="shared" si="46"/>
        <v>0</v>
      </c>
      <c r="H128" s="128">
        <f t="shared" si="46"/>
        <v>0</v>
      </c>
      <c r="I128" s="128">
        <f t="shared" si="46"/>
        <v>502435.11102979514</v>
      </c>
      <c r="J128" s="128">
        <f t="shared" si="46"/>
        <v>1024967.6265007821</v>
      </c>
      <c r="K128" s="128">
        <f t="shared" si="46"/>
        <v>1045466.9790307977</v>
      </c>
      <c r="L128" s="128">
        <f t="shared" si="46"/>
        <v>1066376.3186114137</v>
      </c>
      <c r="M128" s="128">
        <f t="shared" si="46"/>
        <v>1087703.844983642</v>
      </c>
      <c r="N128" s="128">
        <f t="shared" si="46"/>
        <v>1109457.9218833151</v>
      </c>
      <c r="O128" s="128">
        <f t="shared" si="46"/>
        <v>1131647.0803209813</v>
      </c>
      <c r="P128" s="128">
        <f t="shared" si="46"/>
        <v>1154280.0219274007</v>
      </c>
      <c r="Q128" s="128">
        <f t="shared" si="46"/>
        <v>1177365.622365949</v>
      </c>
      <c r="R128" s="128">
        <f t="shared" si="46"/>
        <v>1200912.9348132678</v>
      </c>
      <c r="S128" s="128">
        <f t="shared" si="46"/>
        <v>1224931.1935095331</v>
      </c>
      <c r="T128" s="128">
        <f t="shared" si="46"/>
        <v>1249429.8173797238</v>
      </c>
      <c r="U128" s="128">
        <f t="shared" si="46"/>
        <v>1274418.4137273184</v>
      </c>
      <c r="V128" s="128">
        <f t="shared" si="46"/>
        <v>1299906.7820018649</v>
      </c>
      <c r="W128" s="128">
        <f t="shared" si="46"/>
        <v>1325904.9176419021</v>
      </c>
      <c r="X128" s="128">
        <f t="shared" si="46"/>
        <v>1352423.0159947404</v>
      </c>
      <c r="Y128" s="128">
        <f t="shared" si="46"/>
        <v>1379471.476314635</v>
      </c>
      <c r="Z128" s="128">
        <f t="shared" si="46"/>
        <v>1407060.905840928</v>
      </c>
    </row>
    <row r="130" spans="2:26" x14ac:dyDescent="0.2">
      <c r="B130" s="32" t="s">
        <v>389</v>
      </c>
      <c r="F130" s="33">
        <f>+F119*'Assumptions and Sensis'!$P$119*'Phase III Pro Forma'!F124</f>
        <v>0</v>
      </c>
      <c r="G130" s="33">
        <f>+G119*'Assumptions and Sensis'!$P$119*'Phase III Pro Forma'!G124</f>
        <v>0</v>
      </c>
      <c r="H130" s="33">
        <f>+H119*'Assumptions and Sensis'!$P$119*'Phase III Pro Forma'!H124</f>
        <v>0</v>
      </c>
      <c r="I130" s="33">
        <f>+I119*'Assumptions and Sensis'!$P$119*'Phase III Pro Forma'!I124</f>
        <v>177420.42703504802</v>
      </c>
      <c r="J130" s="33">
        <f>+J119*'Assumptions and Sensis'!$P$119*'Phase III Pro Forma'!J124</f>
        <v>365486.07969219895</v>
      </c>
      <c r="K130" s="33">
        <f>+K119*'Assumptions and Sensis'!$P$119*'Phase III Pro Forma'!K124</f>
        <v>376450.6620829649</v>
      </c>
      <c r="L130" s="33">
        <f>+L119*'Assumptions and Sensis'!$P$119*'Phase III Pro Forma'!L124</f>
        <v>387744.18194545386</v>
      </c>
      <c r="M130" s="33">
        <f>+M119*'Assumptions and Sensis'!$P$119*'Phase III Pro Forma'!M124</f>
        <v>399376.50740381755</v>
      </c>
      <c r="N130" s="33">
        <f>+N119*'Assumptions and Sensis'!$P$119*'Phase III Pro Forma'!N124</f>
        <v>411357.80262593209</v>
      </c>
      <c r="O130" s="33">
        <f>+O119*'Assumptions and Sensis'!$P$119*'Phase III Pro Forma'!O124</f>
        <v>423698.53670471004</v>
      </c>
      <c r="P130" s="33">
        <f>+P119*'Assumptions and Sensis'!$P$119*'Phase III Pro Forma'!P124</f>
        <v>436409.49280585133</v>
      </c>
      <c r="Q130" s="33">
        <f>+Q119*'Assumptions and Sensis'!$P$119*'Phase III Pro Forma'!Q124</f>
        <v>449501.7775900269</v>
      </c>
      <c r="R130" s="33">
        <f>+R119*'Assumptions and Sensis'!$P$119*'Phase III Pro Forma'!R124</f>
        <v>462986.83091772773</v>
      </c>
      <c r="S130" s="33">
        <f>+S119*'Assumptions and Sensis'!$P$119*'Phase III Pro Forma'!S124</f>
        <v>476876.43584525958</v>
      </c>
      <c r="T130" s="33">
        <f>+T119*'Assumptions and Sensis'!$P$119*'Phase III Pro Forma'!T124</f>
        <v>491182.72892061743</v>
      </c>
      <c r="U130" s="33">
        <f>+U119*'Assumptions and Sensis'!$P$119*'Phase III Pro Forma'!U124</f>
        <v>505918.21078823594</v>
      </c>
      <c r="V130" s="33">
        <f>+V119*'Assumptions and Sensis'!$P$119*'Phase III Pro Forma'!V124</f>
        <v>521095.75711188308</v>
      </c>
      <c r="W130" s="33">
        <f>+W119*'Assumptions and Sensis'!$P$119*'Phase III Pro Forma'!W124</f>
        <v>536728.62982523954</v>
      </c>
      <c r="X130" s="33">
        <f>+X119*'Assumptions and Sensis'!$P$119*'Phase III Pro Forma'!X124</f>
        <v>552830.48871999676</v>
      </c>
      <c r="Y130" s="33">
        <f>+Y119*'Assumptions and Sensis'!$P$119*'Phase III Pro Forma'!Y124</f>
        <v>569415.40338159667</v>
      </c>
      <c r="Z130" s="33">
        <f>+Z119*'Assumptions and Sensis'!$P$119*'Phase III Pro Forma'!Z124</f>
        <v>586497.86548304465</v>
      </c>
    </row>
    <row r="131" spans="2:26" x14ac:dyDescent="0.2">
      <c r="B131" s="32" t="s">
        <v>325</v>
      </c>
      <c r="F131" s="150">
        <f ca="1">+IFERROR(INDEX('Taxes and TIF'!$AR$11:$AR$45,MATCH('Phase III Pro Forma'!F$7,'Taxes and TIF'!$AG$11:$AG$45,0)),0)*'Loan Sizing'!$M$22*F121</f>
        <v>0</v>
      </c>
      <c r="G131" s="150">
        <f ca="1">+IFERROR(INDEX('Taxes and TIF'!$AR$11:$AR$45,MATCH('Phase III Pro Forma'!G$7,'Taxes and TIF'!$AG$11:$AG$45,0)),0)*'Loan Sizing'!$M$22*G121</f>
        <v>0</v>
      </c>
      <c r="H131" s="150">
        <f ca="1">+IFERROR(INDEX('Taxes and TIF'!$AR$11:$AR$45,MATCH('Phase III Pro Forma'!H$7,'Taxes and TIF'!$AG$11:$AG$45,0)),0)*'Loan Sizing'!$M$22*H121</f>
        <v>0</v>
      </c>
      <c r="I131" s="150">
        <f ca="1">+IFERROR(INDEX('Taxes and TIF'!$AR$11:$AR$45,MATCH('Phase III Pro Forma'!I$7,'Taxes and TIF'!$AG$11:$AG$45,0)),0)*'Loan Sizing'!$M$22*I121</f>
        <v>78641.124715931146</v>
      </c>
      <c r="J131" s="150">
        <f ca="1">+IFERROR(INDEX('Taxes and TIF'!$AR$11:$AR$45,MATCH('Phase III Pro Forma'!J$7,'Taxes and TIF'!$AG$11:$AG$45,0)),0)*'Loan Sizing'!$M$22*J121</f>
        <v>160427.89442049956</v>
      </c>
      <c r="K131" s="150">
        <f ca="1">+IFERROR(INDEX('Taxes and TIF'!$AR$11:$AR$45,MATCH('Phase III Pro Forma'!K$7,'Taxes and TIF'!$AG$11:$AG$45,0)),0)*'Loan Sizing'!$M$22*K121</f>
        <v>160427.89442049956</v>
      </c>
      <c r="L131" s="150">
        <f ca="1">+IFERROR(INDEX('Taxes and TIF'!$AR$11:$AR$45,MATCH('Phase III Pro Forma'!L$7,'Taxes and TIF'!$AG$11:$AG$45,0)),0)*'Loan Sizing'!$M$22*L121</f>
        <v>160427.89442049956</v>
      </c>
      <c r="M131" s="150">
        <f ca="1">+IFERROR(INDEX('Taxes and TIF'!$AR$11:$AR$45,MATCH('Phase III Pro Forma'!M$7,'Taxes and TIF'!$AG$11:$AG$45,0)),0)*'Loan Sizing'!$M$22*M121</f>
        <v>163636.45230890953</v>
      </c>
      <c r="N131" s="150">
        <f ca="1">+IFERROR(INDEX('Taxes and TIF'!$AR$11:$AR$45,MATCH('Phase III Pro Forma'!N$7,'Taxes and TIF'!$AG$11:$AG$45,0)),0)*'Loan Sizing'!$M$22*N121</f>
        <v>163636.45230890953</v>
      </c>
      <c r="O131" s="150">
        <f ca="1">+IFERROR(INDEX('Taxes and TIF'!$AR$11:$AR$45,MATCH('Phase III Pro Forma'!O$7,'Taxes and TIF'!$AG$11:$AG$45,0)),0)*'Loan Sizing'!$M$22*O121</f>
        <v>163636.45230890953</v>
      </c>
      <c r="P131" s="150">
        <f ca="1">+IFERROR(INDEX('Taxes and TIF'!$AR$11:$AR$45,MATCH('Phase III Pro Forma'!P$7,'Taxes and TIF'!$AG$11:$AG$45,0)),0)*'Loan Sizing'!$M$22*P121</f>
        <v>166909.18135508776</v>
      </c>
      <c r="Q131" s="150">
        <f ca="1">+IFERROR(INDEX('Taxes and TIF'!$AR$11:$AR$45,MATCH('Phase III Pro Forma'!Q$7,'Taxes and TIF'!$AG$11:$AG$45,0)),0)*'Loan Sizing'!$M$22*Q121</f>
        <v>166909.18135508776</v>
      </c>
      <c r="R131" s="150">
        <f ca="1">+IFERROR(INDEX('Taxes and TIF'!$AR$11:$AR$45,MATCH('Phase III Pro Forma'!R$7,'Taxes and TIF'!$AG$11:$AG$45,0)),0)*'Loan Sizing'!$M$22*R121</f>
        <v>166909.18135508776</v>
      </c>
      <c r="S131" s="150">
        <f ca="1">+IFERROR(INDEX('Taxes and TIF'!$AR$11:$AR$45,MATCH('Phase III Pro Forma'!S$7,'Taxes and TIF'!$AG$11:$AG$45,0)),0)*'Loan Sizing'!$M$22*S121</f>
        <v>170247.36498218949</v>
      </c>
      <c r="T131" s="150">
        <f ca="1">+IFERROR(INDEX('Taxes and TIF'!$AR$11:$AR$45,MATCH('Phase III Pro Forma'!T$7,'Taxes and TIF'!$AG$11:$AG$45,0)),0)*'Loan Sizing'!$M$22*T121</f>
        <v>170247.36498218949</v>
      </c>
      <c r="U131" s="150">
        <f ca="1">+IFERROR(INDEX('Taxes and TIF'!$AR$11:$AR$45,MATCH('Phase III Pro Forma'!U$7,'Taxes and TIF'!$AG$11:$AG$45,0)),0)*'Loan Sizing'!$M$22*U121</f>
        <v>170247.36498218949</v>
      </c>
      <c r="V131" s="150">
        <f ca="1">+IFERROR(INDEX('Taxes and TIF'!$AR$11:$AR$45,MATCH('Phase III Pro Forma'!V$7,'Taxes and TIF'!$AG$11:$AG$45,0)),0)*'Loan Sizing'!$M$22*V121</f>
        <v>173652.31228183332</v>
      </c>
      <c r="W131" s="150">
        <f ca="1">+IFERROR(INDEX('Taxes and TIF'!$AR$11:$AR$45,MATCH('Phase III Pro Forma'!W$7,'Taxes and TIF'!$AG$11:$AG$45,0)),0)*'Loan Sizing'!$M$22*W121</f>
        <v>173652.31228183332</v>
      </c>
      <c r="X131" s="150">
        <f ca="1">+IFERROR(INDEX('Taxes and TIF'!$AR$11:$AR$45,MATCH('Phase III Pro Forma'!X$7,'Taxes and TIF'!$AG$11:$AG$45,0)),0)*'Loan Sizing'!$M$22*X121</f>
        <v>173652.31228183332</v>
      </c>
      <c r="Y131" s="150">
        <f ca="1">+IFERROR(INDEX('Taxes and TIF'!$AR$11:$AR$45,MATCH('Phase III Pro Forma'!Y$7,'Taxes and TIF'!$AG$11:$AG$45,0)),0)*'Loan Sizing'!$M$22*Y121</f>
        <v>177125.35852746997</v>
      </c>
      <c r="Z131" s="150">
        <f ca="1">+IFERROR(INDEX('Taxes and TIF'!$AR$11:$AR$45,MATCH('Phase III Pro Forma'!Z$7,'Taxes and TIF'!$AG$11:$AG$45,0)),0)*'Loan Sizing'!$M$22*Z121</f>
        <v>177125.35852746997</v>
      </c>
    </row>
    <row r="132" spans="2:26" x14ac:dyDescent="0.2">
      <c r="B132" s="136" t="s">
        <v>249</v>
      </c>
      <c r="C132" s="136"/>
      <c r="D132" s="136"/>
      <c r="E132" s="136"/>
      <c r="F132" s="128">
        <f ca="1">+SUM(F130:F131)</f>
        <v>0</v>
      </c>
      <c r="G132" s="128">
        <f t="shared" ref="G132" ca="1" si="47">+SUM(G130:G131)</f>
        <v>0</v>
      </c>
      <c r="H132" s="128">
        <f t="shared" ref="H132:Z132" ca="1" si="48">+SUM(H130:H131)</f>
        <v>0</v>
      </c>
      <c r="I132" s="128">
        <f t="shared" ca="1" si="48"/>
        <v>256061.55175097915</v>
      </c>
      <c r="J132" s="128">
        <f t="shared" ca="1" si="48"/>
        <v>525913.97411269858</v>
      </c>
      <c r="K132" s="128">
        <f t="shared" ca="1" si="48"/>
        <v>536878.55650346447</v>
      </c>
      <c r="L132" s="128">
        <f t="shared" ca="1" si="48"/>
        <v>548172.07636595343</v>
      </c>
      <c r="M132" s="128">
        <f t="shared" ca="1" si="48"/>
        <v>563012.95971272711</v>
      </c>
      <c r="N132" s="128">
        <f t="shared" ca="1" si="48"/>
        <v>574994.25493484165</v>
      </c>
      <c r="O132" s="128">
        <f t="shared" ca="1" si="48"/>
        <v>587334.9890136196</v>
      </c>
      <c r="P132" s="128">
        <f t="shared" ca="1" si="48"/>
        <v>603318.67416093906</v>
      </c>
      <c r="Q132" s="128">
        <f t="shared" ca="1" si="48"/>
        <v>616410.95894511463</v>
      </c>
      <c r="R132" s="128">
        <f t="shared" ca="1" si="48"/>
        <v>629896.01227281545</v>
      </c>
      <c r="S132" s="128">
        <f t="shared" ca="1" si="48"/>
        <v>647123.80082744907</v>
      </c>
      <c r="T132" s="128">
        <f t="shared" ca="1" si="48"/>
        <v>661430.09390280698</v>
      </c>
      <c r="U132" s="128">
        <f t="shared" ca="1" si="48"/>
        <v>676165.57577042538</v>
      </c>
      <c r="V132" s="128">
        <f t="shared" ca="1" si="48"/>
        <v>694748.0693937164</v>
      </c>
      <c r="W132" s="128">
        <f t="shared" ca="1" si="48"/>
        <v>710380.9421070728</v>
      </c>
      <c r="X132" s="128">
        <f t="shared" ca="1" si="48"/>
        <v>726482.80100183003</v>
      </c>
      <c r="Y132" s="128">
        <f t="shared" ca="1" si="48"/>
        <v>746540.7619090667</v>
      </c>
      <c r="Z132" s="128">
        <f t="shared" ca="1" si="48"/>
        <v>763623.22401051456</v>
      </c>
    </row>
    <row r="133" spans="2:26" x14ac:dyDescent="0.2">
      <c r="B133" s="32"/>
    </row>
    <row r="134" spans="2:26" x14ac:dyDescent="0.2">
      <c r="B134" s="137" t="s">
        <v>248</v>
      </c>
      <c r="C134" s="137"/>
      <c r="D134" s="137"/>
      <c r="E134" s="137"/>
      <c r="F134" s="138">
        <f ca="1">+F128-F132</f>
        <v>0</v>
      </c>
      <c r="G134" s="138">
        <f t="shared" ref="G134:Z134" ca="1" si="49">+G128-G132</f>
        <v>0</v>
      </c>
      <c r="H134" s="138">
        <f t="shared" ca="1" si="49"/>
        <v>0</v>
      </c>
      <c r="I134" s="138">
        <f t="shared" ca="1" si="49"/>
        <v>246373.55927881598</v>
      </c>
      <c r="J134" s="138">
        <f t="shared" ca="1" si="49"/>
        <v>499053.65238808352</v>
      </c>
      <c r="K134" s="138">
        <f t="shared" ca="1" si="49"/>
        <v>508588.42252733326</v>
      </c>
      <c r="L134" s="138">
        <f t="shared" ca="1" si="49"/>
        <v>518204.24224546028</v>
      </c>
      <c r="M134" s="138">
        <f t="shared" ca="1" si="49"/>
        <v>524690.88527091488</v>
      </c>
      <c r="N134" s="138">
        <f t="shared" ca="1" si="49"/>
        <v>534463.66694847343</v>
      </c>
      <c r="O134" s="138">
        <f t="shared" ca="1" si="49"/>
        <v>544312.09130736173</v>
      </c>
      <c r="P134" s="138">
        <f t="shared" ca="1" si="49"/>
        <v>550961.34776646167</v>
      </c>
      <c r="Q134" s="138">
        <f t="shared" ca="1" si="49"/>
        <v>560954.66342083435</v>
      </c>
      <c r="R134" s="138">
        <f t="shared" ca="1" si="49"/>
        <v>571016.92254045233</v>
      </c>
      <c r="S134" s="138">
        <f t="shared" ca="1" si="49"/>
        <v>577807.392682084</v>
      </c>
      <c r="T134" s="138">
        <f t="shared" ca="1" si="49"/>
        <v>587999.72347691678</v>
      </c>
      <c r="U134" s="138">
        <f t="shared" ca="1" si="49"/>
        <v>598252.83795689302</v>
      </c>
      <c r="V134" s="138">
        <f t="shared" ca="1" si="49"/>
        <v>605158.71260814846</v>
      </c>
      <c r="W134" s="138">
        <f t="shared" ca="1" si="49"/>
        <v>615523.97553482931</v>
      </c>
      <c r="X134" s="138">
        <f t="shared" ca="1" si="49"/>
        <v>625940.21499291039</v>
      </c>
      <c r="Y134" s="138">
        <f t="shared" ca="1" si="49"/>
        <v>632930.71440556832</v>
      </c>
      <c r="Z134" s="138">
        <f t="shared" ca="1" si="49"/>
        <v>643437.68183041341</v>
      </c>
    </row>
    <row r="135" spans="2:26" x14ac:dyDescent="0.2">
      <c r="B135" s="142" t="s">
        <v>254</v>
      </c>
      <c r="C135" s="140"/>
      <c r="D135" s="140"/>
      <c r="E135" s="140"/>
      <c r="F135" s="143" t="str">
        <f ca="1">+IFERROR(F134/F128,"")</f>
        <v/>
      </c>
      <c r="G135" s="143" t="str">
        <f t="shared" ref="G135:Z135" ca="1" si="50">+IFERROR(G134/G128,"")</f>
        <v/>
      </c>
      <c r="H135" s="143" t="str">
        <f t="shared" ca="1" si="50"/>
        <v/>
      </c>
      <c r="I135" s="144">
        <f t="shared" ca="1" si="50"/>
        <v>0.49035896152608982</v>
      </c>
      <c r="J135" s="144">
        <f t="shared" ca="1" si="50"/>
        <v>0.48689699019259974</v>
      </c>
      <c r="K135" s="144">
        <f t="shared" ca="1" si="50"/>
        <v>0.48647009683540765</v>
      </c>
      <c r="L135" s="144">
        <f t="shared" ca="1" si="50"/>
        <v>0.48594875298829032</v>
      </c>
      <c r="M135" s="144">
        <f t="shared" ca="1" si="50"/>
        <v>0.48238395744459811</v>
      </c>
      <c r="N135" s="144">
        <f t="shared" ca="1" si="50"/>
        <v>0.48173405805351899</v>
      </c>
      <c r="O135" s="144">
        <f t="shared" ca="1" si="50"/>
        <v>0.48099102694894291</v>
      </c>
      <c r="P135" s="144">
        <f t="shared" ca="1" si="50"/>
        <v>0.47732035320725213</v>
      </c>
      <c r="Q135" s="144">
        <f t="shared" ca="1" si="50"/>
        <v>0.47644899151512538</v>
      </c>
      <c r="R135" s="144">
        <f t="shared" ca="1" si="50"/>
        <v>0.47548569591286882</v>
      </c>
      <c r="S135" s="144">
        <f t="shared" ca="1" si="50"/>
        <v>0.47170599927871554</v>
      </c>
      <c r="T135" s="144">
        <f t="shared" ca="1" si="50"/>
        <v>0.47061444772468825</v>
      </c>
      <c r="U135" s="144">
        <f t="shared" ca="1" si="50"/>
        <v>0.46943204171632325</v>
      </c>
      <c r="V135" s="144">
        <f t="shared" ca="1" si="50"/>
        <v>0.46554008409449188</v>
      </c>
      <c r="W135" s="144">
        <f t="shared" ca="1" si="50"/>
        <v>0.46422934808140509</v>
      </c>
      <c r="X135" s="144">
        <f t="shared" ca="1" si="50"/>
        <v>0.4628287211841895</v>
      </c>
      <c r="Y135" s="144">
        <f t="shared" ca="1" si="50"/>
        <v>0.45882116830461167</v>
      </c>
      <c r="Z135" s="144">
        <f t="shared" ca="1" si="50"/>
        <v>0.45729199010462435</v>
      </c>
    </row>
    <row r="136" spans="2:26" x14ac:dyDescent="0.2">
      <c r="B136" s="142" t="s">
        <v>188</v>
      </c>
      <c r="C136" s="140"/>
      <c r="D136" s="140"/>
      <c r="E136" s="140"/>
      <c r="F136" s="141">
        <f ca="1">+F134/'Assumptions and Sensis'!$P$160</f>
        <v>0</v>
      </c>
      <c r="G136" s="141">
        <f ca="1">+G134/'Assumptions and Sensis'!$P$160</f>
        <v>0</v>
      </c>
      <c r="H136" s="141">
        <f ca="1">+H134/'Assumptions and Sensis'!$P$160</f>
        <v>0</v>
      </c>
      <c r="I136" s="141">
        <f ca="1">+I134/'Assumptions and Sensis'!$P$160</f>
        <v>3790362.4504433228</v>
      </c>
      <c r="J136" s="141">
        <f ca="1">+J134/'Assumptions and Sensis'!$P$160</f>
        <v>7677748.4982782081</v>
      </c>
      <c r="K136" s="141">
        <f ca="1">+K134/'Assumptions and Sensis'!$P$160</f>
        <v>7824437.2696512807</v>
      </c>
      <c r="L136" s="141">
        <f ca="1">+L134/'Assumptions and Sensis'!$P$160</f>
        <v>7972372.9576224657</v>
      </c>
      <c r="M136" s="141">
        <f ca="1">+M134/'Assumptions and Sensis'!$P$160</f>
        <v>8072167.4657063829</v>
      </c>
      <c r="N136" s="141">
        <f ca="1">+N134/'Assumptions and Sensis'!$P$160</f>
        <v>8222517.9530534372</v>
      </c>
      <c r="O136" s="141">
        <f ca="1">+O134/'Assumptions and Sensis'!$P$160</f>
        <v>8374032.1739594107</v>
      </c>
      <c r="P136" s="141">
        <f ca="1">+P134/'Assumptions and Sensis'!$P$160</f>
        <v>8476328.4271763321</v>
      </c>
      <c r="Q136" s="141">
        <f ca="1">+Q134/'Assumptions and Sensis'!$P$160</f>
        <v>8630071.744935913</v>
      </c>
      <c r="R136" s="141">
        <f ca="1">+R134/'Assumptions and Sensis'!$P$160</f>
        <v>8784875.7313915733</v>
      </c>
      <c r="S136" s="141">
        <f ca="1">+S134/'Assumptions and Sensis'!$P$160</f>
        <v>8889344.5028012916</v>
      </c>
      <c r="T136" s="141">
        <f ca="1">+T134/'Assumptions and Sensis'!$P$160</f>
        <v>9046149.5919525661</v>
      </c>
      <c r="U136" s="141">
        <f ca="1">+U134/'Assumptions and Sensis'!$P$160</f>
        <v>9203889.8147214316</v>
      </c>
      <c r="V136" s="141">
        <f ca="1">+V134/'Assumptions and Sensis'!$P$160</f>
        <v>9310134.0401253607</v>
      </c>
      <c r="W136" s="141">
        <f ca="1">+W134/'Assumptions and Sensis'!$P$160</f>
        <v>9469599.6236127578</v>
      </c>
      <c r="X136" s="141">
        <f ca="1">+X134/'Assumptions and Sensis'!$P$160</f>
        <v>9629849.4614293911</v>
      </c>
      <c r="Y136" s="141">
        <f ca="1">+Y134/'Assumptions and Sensis'!$P$160</f>
        <v>9737395.6062395126</v>
      </c>
      <c r="Z136" s="141">
        <f ca="1">+Z134/'Assumptions and Sensis'!$P$160</f>
        <v>9899041.258929437</v>
      </c>
    </row>
    <row r="138" spans="2:26" x14ac:dyDescent="0.2">
      <c r="B138" s="137" t="s">
        <v>770</v>
      </c>
      <c r="C138" s="137"/>
      <c r="D138" s="137"/>
      <c r="E138" s="137"/>
      <c r="F138" s="138">
        <f t="shared" ref="F138:Z138" ca="1" si="51">+F134+F112+F91+F70+F49+F26</f>
        <v>0</v>
      </c>
      <c r="G138" s="138">
        <f t="shared" ca="1" si="51"/>
        <v>0</v>
      </c>
      <c r="H138" s="138">
        <f t="shared" ca="1" si="51"/>
        <v>0</v>
      </c>
      <c r="I138" s="138">
        <f t="shared" ca="1" si="51"/>
        <v>11161559.888533447</v>
      </c>
      <c r="J138" s="138">
        <f t="shared" ca="1" si="51"/>
        <v>22506312.187976442</v>
      </c>
      <c r="K138" s="138">
        <f t="shared" ca="1" si="51"/>
        <v>22752875.065934889</v>
      </c>
      <c r="L138" s="138">
        <f t="shared" ca="1" si="51"/>
        <v>24578526.875471123</v>
      </c>
      <c r="M138" s="138">
        <f t="shared" ca="1" si="51"/>
        <v>24781412.193075653</v>
      </c>
      <c r="N138" s="138">
        <f t="shared" ca="1" si="51"/>
        <v>25049397.797417622</v>
      </c>
      <c r="O138" s="138">
        <f t="shared" ca="1" si="51"/>
        <v>25324938.034431577</v>
      </c>
      <c r="P138" s="138">
        <f t="shared" ca="1" si="51"/>
        <v>25549338.25486248</v>
      </c>
      <c r="Q138" s="138">
        <f t="shared" ca="1" si="51"/>
        <v>27568151.316594727</v>
      </c>
      <c r="R138" s="138">
        <f t="shared" ca="1" si="51"/>
        <v>27867682.535733871</v>
      </c>
      <c r="S138" s="138">
        <f t="shared" ca="1" si="51"/>
        <v>28115584.960395083</v>
      </c>
      <c r="T138" s="138">
        <f t="shared" ca="1" si="51"/>
        <v>28432281.565821871</v>
      </c>
      <c r="U138" s="138">
        <f t="shared" ca="1" si="51"/>
        <v>28757932.953322574</v>
      </c>
      <c r="V138" s="138">
        <f t="shared" ca="1" si="51"/>
        <v>30929811.93117993</v>
      </c>
      <c r="W138" s="138">
        <f t="shared" ca="1" si="51"/>
        <v>31274153.559437558</v>
      </c>
      <c r="X138" s="138">
        <f t="shared" ca="1" si="51"/>
        <v>31628245.893780448</v>
      </c>
      <c r="Y138" s="138">
        <f t="shared" ca="1" si="51"/>
        <v>31929852.414438207</v>
      </c>
      <c r="Z138" s="138">
        <f t="shared" ca="1" si="51"/>
        <v>32304297.148026269</v>
      </c>
    </row>
    <row r="140" spans="2:26" x14ac:dyDescent="0.2">
      <c r="B140" s="147" t="s">
        <v>31</v>
      </c>
      <c r="F140" s="149">
        <f>+'Assumptions and Sensis'!$H$43</f>
        <v>45657</v>
      </c>
      <c r="G140" s="149">
        <f>+EOMONTH(F140,12)</f>
        <v>46022</v>
      </c>
      <c r="H140" s="149">
        <f t="shared" ref="H140:Z140" si="52">+EOMONTH(G140,12)</f>
        <v>46387</v>
      </c>
      <c r="I140" s="149">
        <f t="shared" si="52"/>
        <v>46752</v>
      </c>
      <c r="J140" s="149">
        <f t="shared" si="52"/>
        <v>47118</v>
      </c>
      <c r="K140" s="149">
        <f t="shared" si="52"/>
        <v>47483</v>
      </c>
      <c r="L140" s="149">
        <f t="shared" si="52"/>
        <v>47848</v>
      </c>
      <c r="M140" s="149">
        <f t="shared" si="52"/>
        <v>48213</v>
      </c>
      <c r="N140" s="149">
        <f t="shared" si="52"/>
        <v>48579</v>
      </c>
      <c r="O140" s="149">
        <f t="shared" si="52"/>
        <v>48944</v>
      </c>
      <c r="P140" s="149">
        <f t="shared" si="52"/>
        <v>49309</v>
      </c>
      <c r="Q140" s="149">
        <f t="shared" si="52"/>
        <v>49674</v>
      </c>
      <c r="R140" s="149">
        <f t="shared" si="52"/>
        <v>50040</v>
      </c>
      <c r="S140" s="149">
        <f t="shared" si="52"/>
        <v>50405</v>
      </c>
      <c r="T140" s="149">
        <f t="shared" si="52"/>
        <v>50770</v>
      </c>
      <c r="U140" s="149">
        <f t="shared" si="52"/>
        <v>51135</v>
      </c>
      <c r="V140" s="149">
        <f t="shared" si="52"/>
        <v>51501</v>
      </c>
      <c r="W140" s="149">
        <f t="shared" si="52"/>
        <v>51866</v>
      </c>
      <c r="X140" s="149">
        <f t="shared" si="52"/>
        <v>52231</v>
      </c>
      <c r="Y140" s="149">
        <f t="shared" si="52"/>
        <v>52596</v>
      </c>
      <c r="Z140" s="149">
        <f t="shared" si="52"/>
        <v>52962</v>
      </c>
    </row>
    <row r="141" spans="2:26" x14ac:dyDescent="0.2">
      <c r="B141" s="32" t="s">
        <v>331</v>
      </c>
      <c r="F141" s="33">
        <v>0</v>
      </c>
      <c r="G141" s="33">
        <f t="shared" ref="G141:Z141" ca="1" si="53">+F144</f>
        <v>0</v>
      </c>
      <c r="H141" s="33">
        <f t="shared" ca="1" si="53"/>
        <v>0</v>
      </c>
      <c r="I141" s="33">
        <f t="shared" ca="1" si="53"/>
        <v>0</v>
      </c>
      <c r="J141" s="33">
        <f t="shared" ca="1" si="53"/>
        <v>234946002.99352854</v>
      </c>
      <c r="K141" s="33">
        <f t="shared" ca="1" si="53"/>
        <v>232015193.13536009</v>
      </c>
      <c r="L141" s="33">
        <f t="shared" ca="1" si="53"/>
        <v>228893880.6364105</v>
      </c>
      <c r="M141" s="33">
        <f t="shared" ca="1" si="53"/>
        <v>225569682.82502937</v>
      </c>
      <c r="N141" s="33">
        <f t="shared" ca="1" si="53"/>
        <v>222029412.15590829</v>
      </c>
      <c r="O141" s="33">
        <f t="shared" ca="1" si="53"/>
        <v>218259023.89329451</v>
      </c>
      <c r="P141" s="33">
        <f t="shared" ca="1" si="53"/>
        <v>214243560.39361069</v>
      </c>
      <c r="Q141" s="33">
        <f t="shared" ca="1" si="53"/>
        <v>209967091.76644757</v>
      </c>
      <c r="R141" s="33">
        <f t="shared" ca="1" si="53"/>
        <v>205412652.67851868</v>
      </c>
      <c r="S141" s="33">
        <f t="shared" ca="1" si="53"/>
        <v>200562175.0498746</v>
      </c>
      <c r="T141" s="33">
        <f t="shared" ca="1" si="53"/>
        <v>195396416.37536848</v>
      </c>
      <c r="U141" s="33">
        <f t="shared" ca="1" si="53"/>
        <v>189894883.38701963</v>
      </c>
      <c r="V141" s="33">
        <f t="shared" ca="1" si="53"/>
        <v>184035750.75442791</v>
      </c>
      <c r="W141" s="33">
        <f t="shared" ca="1" si="53"/>
        <v>177795774.50071791</v>
      </c>
      <c r="X141" s="33">
        <f t="shared" ca="1" si="53"/>
        <v>171150199.79051659</v>
      </c>
      <c r="Y141" s="33">
        <f t="shared" ca="1" si="53"/>
        <v>164072662.72415236</v>
      </c>
      <c r="Z141" s="33">
        <f t="shared" ca="1" si="53"/>
        <v>156535085.74847427</v>
      </c>
    </row>
    <row r="142" spans="2:26" x14ac:dyDescent="0.2">
      <c r="B142" s="32" t="s">
        <v>342</v>
      </c>
      <c r="F142" s="150">
        <f>+IF(YEAR(F$140)=YEAR('Assumptions and Sensis'!$H$47),'S&amp;U'!$T$17,0)</f>
        <v>0</v>
      </c>
      <c r="G142" s="150">
        <f>+IF(YEAR(G$140)=YEAR('Assumptions and Sensis'!$H$47),'S&amp;U'!$T$17,0)</f>
        <v>0</v>
      </c>
      <c r="H142" s="150">
        <f>+IF(YEAR(H$140)=YEAR('Assumptions and Sensis'!$H$47),'S&amp;U'!$T$17,0)</f>
        <v>0</v>
      </c>
      <c r="I142" s="150">
        <f ca="1">+IF(YEAR(I$140)=YEAR('Assumptions and Sensis'!$H$47),'S&amp;U'!$T$17,0)</f>
        <v>237697937.13265401</v>
      </c>
      <c r="J142" s="150">
        <f>+IF(YEAR(J$140)=YEAR('Assumptions and Sensis'!$H$47),'S&amp;U'!$T$17,0)</f>
        <v>0</v>
      </c>
      <c r="K142" s="150">
        <f>+IF(YEAR(K$140)=YEAR('Assumptions and Sensis'!$H$47),'S&amp;U'!$T$17,0)</f>
        <v>0</v>
      </c>
      <c r="L142" s="150">
        <f>+IF(YEAR(L$140)=YEAR('Assumptions and Sensis'!$H$47),'S&amp;U'!$T$17,0)</f>
        <v>0</v>
      </c>
      <c r="M142" s="150">
        <f>+IF(YEAR(M$140)=YEAR('Assumptions and Sensis'!$H$47),'S&amp;U'!$T$17,0)</f>
        <v>0</v>
      </c>
      <c r="N142" s="150">
        <f>+IF(YEAR(N$140)=YEAR('Assumptions and Sensis'!$H$47),'S&amp;U'!$T$17,0)</f>
        <v>0</v>
      </c>
      <c r="O142" s="150">
        <f>+IF(YEAR(O$140)=YEAR('Assumptions and Sensis'!$H$47),'S&amp;U'!$T$17,0)</f>
        <v>0</v>
      </c>
      <c r="P142" s="150">
        <f>+IF(YEAR(P$140)=YEAR('Assumptions and Sensis'!$H$47),'S&amp;U'!$T$17,0)</f>
        <v>0</v>
      </c>
      <c r="Q142" s="150">
        <f>+IF(YEAR(Q$140)=YEAR('Assumptions and Sensis'!$H$47),'S&amp;U'!$T$17,0)</f>
        <v>0</v>
      </c>
      <c r="R142" s="150">
        <f>+IF(YEAR(R$140)=YEAR('Assumptions and Sensis'!$H$47),'S&amp;U'!$T$17,0)</f>
        <v>0</v>
      </c>
      <c r="S142" s="150">
        <f>+IF(YEAR(S$140)=YEAR('Assumptions and Sensis'!$H$47),'S&amp;U'!$T$17,0)</f>
        <v>0</v>
      </c>
      <c r="T142" s="150">
        <f>+IF(YEAR(T$140)=YEAR('Assumptions and Sensis'!$H$47),'S&amp;U'!$T$17,0)</f>
        <v>0</v>
      </c>
      <c r="U142" s="150">
        <f>+IF(YEAR(U$140)=YEAR('Assumptions and Sensis'!$H$47),'S&amp;U'!$T$17,0)</f>
        <v>0</v>
      </c>
      <c r="V142" s="150">
        <f>+IF(YEAR(V$140)=YEAR('Assumptions and Sensis'!$H$47),'S&amp;U'!$T$17,0)</f>
        <v>0</v>
      </c>
      <c r="W142" s="150">
        <f>+IF(YEAR(W$140)=YEAR('Assumptions and Sensis'!$H$47),'S&amp;U'!$T$17,0)</f>
        <v>0</v>
      </c>
      <c r="X142" s="150">
        <f>+IF(YEAR(X$140)=YEAR('Assumptions and Sensis'!$H$47),'S&amp;U'!$T$17,0)</f>
        <v>0</v>
      </c>
      <c r="Y142" s="150">
        <f>+IF(YEAR(Y$140)=YEAR('Assumptions and Sensis'!$H$47),'S&amp;U'!$T$17,0)</f>
        <v>0</v>
      </c>
      <c r="Z142" s="150">
        <f>+IF(YEAR(Z$140)=YEAR('Assumptions and Sensis'!$H$47),'S&amp;U'!$T$17,0)</f>
        <v>0</v>
      </c>
    </row>
    <row r="143" spans="2:26" x14ac:dyDescent="0.2">
      <c r="B143" s="32" t="s">
        <v>162</v>
      </c>
      <c r="F143" s="150">
        <f ca="1">+IFERROR(PPMT('Assumptions and Sensis'!$P$177,F2,'Assumptions and Sensis'!$P$179,'S&amp;U'!$T$17),0)</f>
        <v>0</v>
      </c>
      <c r="G143" s="150">
        <f ca="1">+IFERROR(PPMT('Assumptions and Sensis'!$P$177,G2,'Assumptions and Sensis'!$P$179,'S&amp;U'!$T$17),0)</f>
        <v>0</v>
      </c>
      <c r="H143" s="150">
        <f ca="1">+IFERROR(PPMT('Assumptions and Sensis'!$P$177,H2,'Assumptions and Sensis'!$P$179,'S&amp;U'!$T$17),0)</f>
        <v>0</v>
      </c>
      <c r="I143" s="150">
        <f ca="1">+IFERROR(PPMT('Assumptions and Sensis'!$P$177,I2,'Assumptions and Sensis'!$P$179,'S&amp;U'!$T$17),0)</f>
        <v>-2751934.1391253876</v>
      </c>
      <c r="J143" s="150">
        <f ca="1">+IFERROR(PPMT('Assumptions and Sensis'!$P$177,J2,'Assumptions and Sensis'!$P$179,'S&amp;U'!$T$17),0)</f>
        <v>-2930809.8581685373</v>
      </c>
      <c r="K143" s="150">
        <f ca="1">+IFERROR(PPMT('Assumptions and Sensis'!$P$177,K2,'Assumptions and Sensis'!$P$179,'S&amp;U'!$T$17),0)</f>
        <v>-3121312.4989494928</v>
      </c>
      <c r="L143" s="150">
        <f ca="1">+IFERROR(PPMT('Assumptions and Sensis'!$P$177,L2,'Assumptions and Sensis'!$P$179,'S&amp;U'!$T$17),0)</f>
        <v>-3324197.8113812096</v>
      </c>
      <c r="M143" s="150">
        <f ca="1">+IFERROR(PPMT('Assumptions and Sensis'!$P$177,M2,'Assumptions and Sensis'!$P$179,'S&amp;U'!$T$17),0)</f>
        <v>-3540270.6691209883</v>
      </c>
      <c r="N143" s="150">
        <f ca="1">+IFERROR(PPMT('Assumptions and Sensis'!$P$177,N2,'Assumptions and Sensis'!$P$179,'S&amp;U'!$T$17),0)</f>
        <v>-3770388.2626138525</v>
      </c>
      <c r="O143" s="150">
        <f ca="1">+IFERROR(PPMT('Assumptions and Sensis'!$P$177,O2,'Assumptions and Sensis'!$P$179,'S&amp;U'!$T$17),0)</f>
        <v>-4015463.4996837522</v>
      </c>
      <c r="P143" s="150">
        <f ca="1">+IFERROR(PPMT('Assumptions and Sensis'!$P$177,P2,'Assumptions and Sensis'!$P$179,'S&amp;U'!$T$17),0)</f>
        <v>-4276468.627163196</v>
      </c>
      <c r="Q143" s="150">
        <f ca="1">+IFERROR(PPMT('Assumptions and Sensis'!$P$177,Q2,'Assumptions and Sensis'!$P$179,'S&amp;U'!$T$17),0)</f>
        <v>-4554439.0879288046</v>
      </c>
      <c r="R143" s="150">
        <f ca="1">+IFERROR(PPMT('Assumptions and Sensis'!$P$177,R2,'Assumptions and Sensis'!$P$179,'S&amp;U'!$T$17),0)</f>
        <v>-4850477.6286441768</v>
      </c>
      <c r="S143" s="150">
        <f ca="1">+IFERROR(PPMT('Assumptions and Sensis'!$P$177,S2,'Assumptions and Sensis'!$P$179,'S&amp;U'!$T$17),0)</f>
        <v>-5165758.6745060496</v>
      </c>
      <c r="T143" s="150">
        <f ca="1">+IFERROR(PPMT('Assumptions and Sensis'!$P$177,T2,'Assumptions and Sensis'!$P$179,'S&amp;U'!$T$17),0)</f>
        <v>-5501532.9883489423</v>
      </c>
      <c r="U143" s="150">
        <f ca="1">+IFERROR(PPMT('Assumptions and Sensis'!$P$177,U2,'Assumptions and Sensis'!$P$179,'S&amp;U'!$T$17),0)</f>
        <v>-5859132.6325916238</v>
      </c>
      <c r="V143" s="150">
        <f ca="1">+IFERROR(PPMT('Assumptions and Sensis'!$P$177,V2,'Assumptions and Sensis'!$P$179,'S&amp;U'!$T$17),0)</f>
        <v>-6239976.253710079</v>
      </c>
      <c r="W143" s="150">
        <f ca="1">+IFERROR(PPMT('Assumptions and Sensis'!$P$177,W2,'Assumptions and Sensis'!$P$179,'S&amp;U'!$T$17),0)</f>
        <v>-6645574.7102012336</v>
      </c>
      <c r="X143" s="150">
        <f ca="1">+IFERROR(PPMT('Assumptions and Sensis'!$P$177,X2,'Assumptions and Sensis'!$P$179,'S&amp;U'!$T$17),0)</f>
        <v>-7077537.0663643135</v>
      </c>
      <c r="Y143" s="150">
        <f ca="1">+IFERROR(PPMT('Assumptions and Sensis'!$P$177,Y2,'Assumptions and Sensis'!$P$179,'S&amp;U'!$T$17),0)</f>
        <v>-7537576.9756779941</v>
      </c>
      <c r="Z143" s="150">
        <f ca="1">+IFERROR(PPMT('Assumptions and Sensis'!$P$177,Z2,'Assumptions and Sensis'!$P$179,'S&amp;U'!$T$17),0)</f>
        <v>-8027519.4790970646</v>
      </c>
    </row>
    <row r="144" spans="2:26" x14ac:dyDescent="0.2">
      <c r="B144" s="32" t="s">
        <v>333</v>
      </c>
      <c r="F144" s="150">
        <f t="shared" ref="F144:N144" ca="1" si="54">+SUM(F141:F143)</f>
        <v>0</v>
      </c>
      <c r="G144" s="150">
        <f t="shared" ca="1" si="54"/>
        <v>0</v>
      </c>
      <c r="H144" s="150">
        <f t="shared" ca="1" si="54"/>
        <v>0</v>
      </c>
      <c r="I144" s="150">
        <f t="shared" ca="1" si="54"/>
        <v>234946002.99352863</v>
      </c>
      <c r="J144" s="150">
        <f t="shared" ca="1" si="54"/>
        <v>232015193.13536</v>
      </c>
      <c r="K144" s="150">
        <f t="shared" ca="1" si="54"/>
        <v>228893880.63641059</v>
      </c>
      <c r="L144" s="150">
        <f t="shared" ca="1" si="54"/>
        <v>225569682.82502928</v>
      </c>
      <c r="M144" s="150">
        <f t="shared" ca="1" si="54"/>
        <v>222029412.15590838</v>
      </c>
      <c r="N144" s="150">
        <f t="shared" ca="1" si="54"/>
        <v>218259023.89329442</v>
      </c>
      <c r="O144" s="150">
        <f t="shared" ref="O144:Z144" ca="1" si="55">+SUM(O141:O143)</f>
        <v>214243560.39361078</v>
      </c>
      <c r="P144" s="150">
        <f t="shared" ca="1" si="55"/>
        <v>209967091.76644748</v>
      </c>
      <c r="Q144" s="150">
        <f t="shared" ca="1" si="55"/>
        <v>205412652.67851877</v>
      </c>
      <c r="R144" s="150">
        <f t="shared" ca="1" si="55"/>
        <v>200562175.04987451</v>
      </c>
      <c r="S144" s="150">
        <f t="shared" ca="1" si="55"/>
        <v>195396416.37536857</v>
      </c>
      <c r="T144" s="150">
        <f t="shared" ca="1" si="55"/>
        <v>189894883.38701954</v>
      </c>
      <c r="U144" s="150">
        <f t="shared" ca="1" si="55"/>
        <v>184035750.754428</v>
      </c>
      <c r="V144" s="150">
        <f t="shared" ca="1" si="55"/>
        <v>177795774.50071782</v>
      </c>
      <c r="W144" s="150">
        <f t="shared" ca="1" si="55"/>
        <v>171150199.79051667</v>
      </c>
      <c r="X144" s="150">
        <f t="shared" ca="1" si="55"/>
        <v>164072662.72415227</v>
      </c>
      <c r="Y144" s="150">
        <f t="shared" ca="1" si="55"/>
        <v>156535085.74847436</v>
      </c>
      <c r="Z144" s="150">
        <f t="shared" ca="1" si="55"/>
        <v>148507566.2693772</v>
      </c>
    </row>
    <row r="146" spans="2:26" x14ac:dyDescent="0.2">
      <c r="B146" s="40" t="s">
        <v>332</v>
      </c>
      <c r="F146" s="33">
        <f ca="1">-IFERROR(IPMT('Assumptions and Sensis'!$P$177,F2,'Assumptions and Sensis'!$P$179,'S&amp;U'!$T$17),0)</f>
        <v>0</v>
      </c>
      <c r="G146" s="33">
        <f ca="1">-IFERROR(IPMT('Assumptions and Sensis'!$P$177,G2,'Assumptions and Sensis'!$P$179,'S&amp;U'!$T$17),0)</f>
        <v>0</v>
      </c>
      <c r="H146" s="33">
        <f ca="1">-IFERROR(IPMT('Assumptions and Sensis'!$P$177,H2,'Assumptions and Sensis'!$P$179,'S&amp;U'!$T$17),0)</f>
        <v>0</v>
      </c>
      <c r="I146" s="33">
        <f ca="1">-IFERROR(IPMT('Assumptions and Sensis'!$P$177,I2,'Assumptions and Sensis'!$P$179,'S&amp;U'!$T$17),0)</f>
        <v>15450365.91362251</v>
      </c>
      <c r="J146" s="33">
        <f ca="1">-IFERROR(IPMT('Assumptions and Sensis'!$P$177,J2,'Assumptions and Sensis'!$P$179,'S&amp;U'!$T$17),0)</f>
        <v>15271490.194579361</v>
      </c>
      <c r="K146" s="33">
        <f ca="1">-IFERROR(IPMT('Assumptions and Sensis'!$P$177,K2,'Assumptions and Sensis'!$P$179,'S&amp;U'!$T$17),0)</f>
        <v>15080987.553798407</v>
      </c>
      <c r="L146" s="33">
        <f ca="1">-IFERROR(IPMT('Assumptions and Sensis'!$P$177,L2,'Assumptions and Sensis'!$P$179,'S&amp;U'!$T$17),0)</f>
        <v>14878102.24136669</v>
      </c>
      <c r="M146" s="33">
        <f ca="1">-IFERROR(IPMT('Assumptions and Sensis'!$P$177,M2,'Assumptions and Sensis'!$P$179,'S&amp;U'!$T$17),0)</f>
        <v>14662029.38362691</v>
      </c>
      <c r="N146" s="33">
        <f ca="1">-IFERROR(IPMT('Assumptions and Sensis'!$P$177,N2,'Assumptions and Sensis'!$P$179,'S&amp;U'!$T$17),0)</f>
        <v>14431911.790134044</v>
      </c>
      <c r="O146" s="33">
        <f ca="1">-IFERROR(IPMT('Assumptions and Sensis'!$P$177,O2,'Assumptions and Sensis'!$P$179,'S&amp;U'!$T$17),0)</f>
        <v>14186836.553064145</v>
      </c>
      <c r="P146" s="33">
        <f ca="1">-IFERROR(IPMT('Assumptions and Sensis'!$P$177,P2,'Assumptions and Sensis'!$P$179,'S&amp;U'!$T$17),0)</f>
        <v>13925831.4255847</v>
      </c>
      <c r="Q146" s="33">
        <f ca="1">-IFERROR(IPMT('Assumptions and Sensis'!$P$177,Q2,'Assumptions and Sensis'!$P$179,'S&amp;U'!$T$17),0)</f>
        <v>13647860.964819092</v>
      </c>
      <c r="R146" s="33">
        <f ca="1">-IFERROR(IPMT('Assumptions and Sensis'!$P$177,R2,'Assumptions and Sensis'!$P$179,'S&amp;U'!$T$17),0)</f>
        <v>13351822.42410372</v>
      </c>
      <c r="S146" s="33">
        <f ca="1">-IFERROR(IPMT('Assumptions and Sensis'!$P$177,S2,'Assumptions and Sensis'!$P$179,'S&amp;U'!$T$17),0)</f>
        <v>13036541.37824185</v>
      </c>
      <c r="T146" s="33">
        <f ca="1">-IFERROR(IPMT('Assumptions and Sensis'!$P$177,T2,'Assumptions and Sensis'!$P$179,'S&amp;U'!$T$17),0)</f>
        <v>12700767.064398956</v>
      </c>
      <c r="U146" s="33">
        <f ca="1">-IFERROR(IPMT('Assumptions and Sensis'!$P$177,U2,'Assumptions and Sensis'!$P$179,'S&amp;U'!$T$17),0)</f>
        <v>12343167.420156274</v>
      </c>
      <c r="V146" s="33">
        <f ca="1">-IFERROR(IPMT('Assumptions and Sensis'!$P$177,V2,'Assumptions and Sensis'!$P$179,'S&amp;U'!$T$17),0)</f>
        <v>11962323.79903782</v>
      </c>
      <c r="W146" s="33">
        <f ca="1">-IFERROR(IPMT('Assumptions and Sensis'!$P$177,W2,'Assumptions and Sensis'!$P$179,'S&amp;U'!$T$17),0)</f>
        <v>11556725.342546664</v>
      </c>
      <c r="X146" s="33">
        <f ca="1">-IFERROR(IPMT('Assumptions and Sensis'!$P$177,X2,'Assumptions and Sensis'!$P$179,'S&amp;U'!$T$17),0)</f>
        <v>11124762.986383582</v>
      </c>
      <c r="Y146" s="33">
        <f ca="1">-IFERROR(IPMT('Assumptions and Sensis'!$P$177,Y2,'Assumptions and Sensis'!$P$179,'S&amp;U'!$T$17),0)</f>
        <v>10664723.077069901</v>
      </c>
      <c r="Z146" s="33">
        <f ca="1">-IFERROR(IPMT('Assumptions and Sensis'!$P$177,Z2,'Assumptions and Sensis'!$P$179,'S&amp;U'!$T$17),0)</f>
        <v>10174780.573650833</v>
      </c>
    </row>
    <row r="147" spans="2:26" x14ac:dyDescent="0.2">
      <c r="B147" s="136" t="s">
        <v>341</v>
      </c>
      <c r="C147" s="136"/>
      <c r="D147" s="136"/>
      <c r="E147" s="136"/>
      <c r="F147" s="128">
        <f t="shared" ref="F147:K147" ca="1" si="56">+F146-F143</f>
        <v>0</v>
      </c>
      <c r="G147" s="128">
        <f t="shared" ca="1" si="56"/>
        <v>0</v>
      </c>
      <c r="H147" s="128">
        <f t="shared" ca="1" si="56"/>
        <v>0</v>
      </c>
      <c r="I147" s="128">
        <f t="shared" ca="1" si="56"/>
        <v>18202300.052747898</v>
      </c>
      <c r="J147" s="128">
        <f t="shared" ca="1" si="56"/>
        <v>18202300.052747898</v>
      </c>
      <c r="K147" s="128">
        <f t="shared" ca="1" si="56"/>
        <v>18202300.052747902</v>
      </c>
      <c r="L147" s="128">
        <f ca="1">+L146-L143</f>
        <v>18202300.052747898</v>
      </c>
      <c r="M147" s="128">
        <f t="shared" ref="M147:Z147" ca="1" si="57">+M146-M143</f>
        <v>18202300.052747898</v>
      </c>
      <c r="N147" s="128">
        <f t="shared" ca="1" si="57"/>
        <v>18202300.052747898</v>
      </c>
      <c r="O147" s="128">
        <f t="shared" ca="1" si="57"/>
        <v>18202300.052747898</v>
      </c>
      <c r="P147" s="128">
        <f t="shared" ca="1" si="57"/>
        <v>18202300.052747898</v>
      </c>
      <c r="Q147" s="128">
        <f t="shared" ca="1" si="57"/>
        <v>18202300.052747898</v>
      </c>
      <c r="R147" s="128">
        <f t="shared" ca="1" si="57"/>
        <v>18202300.052747898</v>
      </c>
      <c r="S147" s="128">
        <f t="shared" ca="1" si="57"/>
        <v>18202300.052747898</v>
      </c>
      <c r="T147" s="128">
        <f t="shared" ca="1" si="57"/>
        <v>18202300.052747898</v>
      </c>
      <c r="U147" s="128">
        <f t="shared" ca="1" si="57"/>
        <v>18202300.052747898</v>
      </c>
      <c r="V147" s="128">
        <f t="shared" ca="1" si="57"/>
        <v>18202300.052747898</v>
      </c>
      <c r="W147" s="128">
        <f t="shared" ca="1" si="57"/>
        <v>18202300.052747898</v>
      </c>
      <c r="X147" s="128">
        <f t="shared" ca="1" si="57"/>
        <v>18202300.052747894</v>
      </c>
      <c r="Y147" s="128">
        <f t="shared" ca="1" si="57"/>
        <v>18202300.052747894</v>
      </c>
      <c r="Z147" s="128">
        <f t="shared" ca="1" si="57"/>
        <v>18202300.052747898</v>
      </c>
    </row>
    <row r="148" spans="2:26" x14ac:dyDescent="0.2">
      <c r="B148" s="145" t="s">
        <v>181</v>
      </c>
      <c r="F148" s="178" t="str">
        <f ca="1">+IFERROR(F138/F147,"")</f>
        <v/>
      </c>
      <c r="G148" s="178" t="str">
        <f t="shared" ref="G148:Z148" ca="1" si="58">+IFERROR(G138/G147,"")</f>
        <v/>
      </c>
      <c r="H148" s="178" t="str">
        <f t="shared" ca="1" si="58"/>
        <v/>
      </c>
      <c r="I148" s="178">
        <f t="shared" ca="1" si="58"/>
        <v>0.61319502789145863</v>
      </c>
      <c r="J148" s="178">
        <f t="shared" ca="1" si="58"/>
        <v>1.2364543009815285</v>
      </c>
      <c r="K148" s="178">
        <f t="shared" ca="1" si="58"/>
        <v>1.2500000000000007</v>
      </c>
      <c r="L148" s="178">
        <f t="shared" ca="1" si="58"/>
        <v>1.3502978636900693</v>
      </c>
      <c r="M148" s="178">
        <f t="shared" ca="1" si="58"/>
        <v>1.3614440000034251</v>
      </c>
      <c r="N148" s="178">
        <f t="shared" ca="1" si="58"/>
        <v>1.37616662316453</v>
      </c>
      <c r="O148" s="178">
        <f t="shared" ca="1" si="58"/>
        <v>1.3913042835819209</v>
      </c>
      <c r="P148" s="178">
        <f t="shared" ca="1" si="58"/>
        <v>1.4036324080376557</v>
      </c>
      <c r="Q148" s="178">
        <f t="shared" ca="1" si="58"/>
        <v>1.5145421862460136</v>
      </c>
      <c r="R148" s="178">
        <f t="shared" ca="1" si="58"/>
        <v>1.5309978659277648</v>
      </c>
      <c r="S148" s="178">
        <f t="shared" ca="1" si="58"/>
        <v>1.5446171571130998</v>
      </c>
      <c r="T148" s="178">
        <f t="shared" ca="1" si="58"/>
        <v>1.5620158707102298</v>
      </c>
      <c r="U148" s="178">
        <f t="shared" ca="1" si="58"/>
        <v>1.5799065431283863</v>
      </c>
      <c r="V148" s="178">
        <f t="shared" ca="1" si="58"/>
        <v>1.6992254737889914</v>
      </c>
      <c r="W148" s="178">
        <f t="shared" ca="1" si="58"/>
        <v>1.7181429527482313</v>
      </c>
      <c r="X148" s="178">
        <f t="shared" ca="1" si="58"/>
        <v>1.7375961170910221</v>
      </c>
      <c r="Y148" s="178">
        <f t="shared" ca="1" si="58"/>
        <v>1.754165809920156</v>
      </c>
      <c r="Z148" s="178">
        <f t="shared" ca="1" si="58"/>
        <v>1.774737096653314</v>
      </c>
    </row>
    <row r="150" spans="2:26" x14ac:dyDescent="0.2">
      <c r="B150" s="40" t="s">
        <v>156</v>
      </c>
      <c r="F150" s="33">
        <f>+F142*'Assumptions and Sensis'!$P$178</f>
        <v>0</v>
      </c>
      <c r="G150" s="33">
        <f>+G142*'Assumptions and Sensis'!$P$178</f>
        <v>0</v>
      </c>
      <c r="H150" s="33">
        <f>+H142*'Assumptions and Sensis'!$P$178</f>
        <v>0</v>
      </c>
      <c r="I150" s="33">
        <f ca="1">+I142*'Assumptions and Sensis'!$P$178</f>
        <v>1782734.528494905</v>
      </c>
      <c r="J150" s="33">
        <f>+J142*'Assumptions and Sensis'!$P$178</f>
        <v>0</v>
      </c>
      <c r="K150" s="33">
        <f>+K142*'Assumptions and Sensis'!$P$178</f>
        <v>0</v>
      </c>
      <c r="L150" s="33">
        <f>+L142*'Assumptions and Sensis'!$P$178</f>
        <v>0</v>
      </c>
      <c r="M150" s="33">
        <f>+M142*'Assumptions and Sensis'!$P$178</f>
        <v>0</v>
      </c>
      <c r="N150" s="33">
        <f>+N142*'Assumptions and Sensis'!$P$178</f>
        <v>0</v>
      </c>
      <c r="O150" s="33">
        <f>+O142*'Assumptions and Sensis'!$P$178</f>
        <v>0</v>
      </c>
      <c r="P150" s="33">
        <f>+P142*'Assumptions and Sensis'!$P$178</f>
        <v>0</v>
      </c>
      <c r="Q150" s="33">
        <f>+Q142*'Assumptions and Sensis'!$P$178</f>
        <v>0</v>
      </c>
      <c r="R150" s="33">
        <f>+R142*'Assumptions and Sensis'!$P$178</f>
        <v>0</v>
      </c>
      <c r="S150" s="33">
        <f>+S142*'Assumptions and Sensis'!$P$178</f>
        <v>0</v>
      </c>
      <c r="T150" s="33">
        <f>+T142*'Assumptions and Sensis'!$P$178</f>
        <v>0</v>
      </c>
      <c r="U150" s="33">
        <f>+U142*'Assumptions and Sensis'!$P$178</f>
        <v>0</v>
      </c>
      <c r="V150" s="33">
        <f>+V142*'Assumptions and Sensis'!$P$178</f>
        <v>0</v>
      </c>
      <c r="W150" s="33">
        <f>+W142*'Assumptions and Sensis'!$P$178</f>
        <v>0</v>
      </c>
      <c r="X150" s="33">
        <f>+X142*'Assumptions and Sensis'!$P$178</f>
        <v>0</v>
      </c>
      <c r="Y150" s="33">
        <f>+Y142*'Assumptions and Sensis'!$P$178</f>
        <v>0</v>
      </c>
      <c r="Z150" s="33">
        <f>+Z142*'Assumptions and Sensis'!$P$178</f>
        <v>0</v>
      </c>
    </row>
    <row r="152" spans="2:26" s="156" customFormat="1" x14ac:dyDescent="0.2">
      <c r="B152" s="136" t="s">
        <v>334</v>
      </c>
      <c r="C152" s="136"/>
      <c r="D152" s="136"/>
      <c r="E152" s="136"/>
      <c r="F152" s="128">
        <f ca="1">+F138-F147-F150</f>
        <v>0</v>
      </c>
      <c r="G152" s="128">
        <f t="shared" ref="G152:Z152" ca="1" si="59">+G138-G147-G150</f>
        <v>0</v>
      </c>
      <c r="H152" s="128">
        <f t="shared" ca="1" si="59"/>
        <v>0</v>
      </c>
      <c r="I152" s="128">
        <f t="shared" ca="1" si="59"/>
        <v>-8823474.6927093565</v>
      </c>
      <c r="J152" s="128">
        <f t="shared" ca="1" si="59"/>
        <v>4304012.1352285445</v>
      </c>
      <c r="K152" s="128">
        <f t="shared" ca="1" si="59"/>
        <v>4550575.0131869875</v>
      </c>
      <c r="L152" s="128">
        <f t="shared" ca="1" si="59"/>
        <v>6376226.8227232248</v>
      </c>
      <c r="M152" s="128">
        <f t="shared" ca="1" si="59"/>
        <v>6579112.1403277554</v>
      </c>
      <c r="N152" s="128">
        <f t="shared" ca="1" si="59"/>
        <v>6847097.7446697243</v>
      </c>
      <c r="O152" s="128">
        <f t="shared" ca="1" si="59"/>
        <v>7122637.9816836789</v>
      </c>
      <c r="P152" s="128">
        <f t="shared" ca="1" si="59"/>
        <v>7347038.2021145821</v>
      </c>
      <c r="Q152" s="128">
        <f t="shared" ca="1" si="59"/>
        <v>9365851.2638468295</v>
      </c>
      <c r="R152" s="128">
        <f t="shared" ca="1" si="59"/>
        <v>9665382.4829859734</v>
      </c>
      <c r="S152" s="128">
        <f t="shared" ca="1" si="59"/>
        <v>9913284.907647185</v>
      </c>
      <c r="T152" s="128">
        <f t="shared" ca="1" si="59"/>
        <v>10229981.513073973</v>
      </c>
      <c r="U152" s="128">
        <f t="shared" ca="1" si="59"/>
        <v>10555632.900574677</v>
      </c>
      <c r="V152" s="128">
        <f t="shared" ca="1" si="59"/>
        <v>12727511.878432032</v>
      </c>
      <c r="W152" s="128">
        <f t="shared" ca="1" si="59"/>
        <v>13071853.50668966</v>
      </c>
      <c r="X152" s="128">
        <f t="shared" ca="1" si="59"/>
        <v>13425945.841032553</v>
      </c>
      <c r="Y152" s="128">
        <f t="shared" ca="1" si="59"/>
        <v>13727552.361690313</v>
      </c>
      <c r="Z152" s="128">
        <f t="shared" ca="1" si="59"/>
        <v>14101997.095278371</v>
      </c>
    </row>
    <row r="154" spans="2:26" x14ac:dyDescent="0.2">
      <c r="B154" s="147" t="s">
        <v>335</v>
      </c>
    </row>
    <row r="155" spans="2:26" x14ac:dyDescent="0.2">
      <c r="B155" s="32" t="s">
        <v>336</v>
      </c>
      <c r="F155" s="33">
        <f>+IF(YEAR(F$140)=YEAR('Assumptions and Sensis'!$H$51),F136+F114+F93+F72+F51+F28,0)</f>
        <v>0</v>
      </c>
      <c r="G155" s="33">
        <f>+IF(YEAR(G$140)=YEAR('Assumptions and Sensis'!$H$51),G136+G114+G93+G72+G51+G28,0)</f>
        <v>0</v>
      </c>
      <c r="H155" s="33">
        <f>+IF(YEAR(H$140)=YEAR('Assumptions and Sensis'!$H$51),H136+H114+H93+H72+H51+H28,0)</f>
        <v>0</v>
      </c>
      <c r="I155" s="33">
        <f>+IF(YEAR(I$140)=YEAR('Assumptions and Sensis'!$H$51),I136+I114+I93+I72+I51+I28,0)</f>
        <v>0</v>
      </c>
      <c r="J155" s="33">
        <f>+IF(YEAR(J$140)=YEAR('Assumptions and Sensis'!$H$51),J136+J114+J93+J72+J51+J28,0)</f>
        <v>0</v>
      </c>
      <c r="K155" s="33">
        <f>+IF(YEAR(K$140)=YEAR('Assumptions and Sensis'!$H$51),K136+K114+K93+K72+K51+K28,0)</f>
        <v>0</v>
      </c>
      <c r="L155" s="33">
        <f ca="1">+IF(YEAR(L$140)=YEAR('Assumptions and Sensis'!$H$51),L136+L114+L93+L72+L51+L28,0)</f>
        <v>398382305.55199927</v>
      </c>
      <c r="M155" s="33">
        <f>+IF(YEAR(M$140)=YEAR('Assumptions and Sensis'!$H$51),M136+M114+M93+M72+M51+M28,0)</f>
        <v>0</v>
      </c>
      <c r="N155" s="33">
        <f>+IF(YEAR(N$140)=YEAR('Assumptions and Sensis'!$H$51),N136+N114+N93+N72+N51+N28,0)</f>
        <v>0</v>
      </c>
      <c r="O155" s="33">
        <f>+IF(YEAR(O$140)=YEAR('Assumptions and Sensis'!$H$51),O136+O114+O93+O72+O51+O28,0)</f>
        <v>0</v>
      </c>
      <c r="P155" s="33">
        <f>+IF(YEAR(P$140)=YEAR('Assumptions and Sensis'!$H$51),P136+P114+P93+P72+P51+P28,0)</f>
        <v>0</v>
      </c>
      <c r="Q155" s="33">
        <f>+IF(YEAR(Q$140)=YEAR('Assumptions and Sensis'!$H$51),Q136+Q114+Q93+Q72+Q51+Q28,0)</f>
        <v>0</v>
      </c>
      <c r="R155" s="33">
        <f>+IF(YEAR(R$140)=YEAR('Assumptions and Sensis'!$H$51),R136+R114+R93+R72+R51+R28,0)</f>
        <v>0</v>
      </c>
      <c r="S155" s="33">
        <f>+IF(YEAR(S$140)=YEAR('Assumptions and Sensis'!$H$51),S136+S114+S93+S72+S51+S28,0)</f>
        <v>0</v>
      </c>
      <c r="T155" s="33">
        <f>+IF(YEAR(T$140)=YEAR('Assumptions and Sensis'!$H$51),T136+T114+T93+T72+T51+T28,0)</f>
        <v>0</v>
      </c>
      <c r="U155" s="33">
        <f>+IF(YEAR(U$140)=YEAR('Assumptions and Sensis'!$H$51),U136+U114+U93+U72+U51+U28,0)</f>
        <v>0</v>
      </c>
      <c r="V155" s="33">
        <f>+IF(YEAR(V$140)=YEAR('Assumptions and Sensis'!$H$51),V136+V114+V93+V72+V51+V28,0)</f>
        <v>0</v>
      </c>
      <c r="W155" s="33">
        <f>+IF(YEAR(W$140)=YEAR('Assumptions and Sensis'!$H$51),W136+W114+W93+W72+W51+W28,0)</f>
        <v>0</v>
      </c>
      <c r="X155" s="33">
        <f>+IF(YEAR(X$140)=YEAR('Assumptions and Sensis'!$H$51),X136+X114+X93+X72+X51+X28,0)</f>
        <v>0</v>
      </c>
      <c r="Y155" s="33">
        <f>+IF(YEAR(Y$140)=YEAR('Assumptions and Sensis'!$H$51),Y136+Y114+Y93+Y72+Y51+Y28,0)</f>
        <v>0</v>
      </c>
      <c r="Z155" s="33">
        <f>+IF(YEAR(Z$140)=YEAR('Assumptions and Sensis'!$H$51),Z136+Z114+Z93+Z72+Z51+Z28,0)</f>
        <v>0</v>
      </c>
    </row>
    <row r="156" spans="2:26" ht="18" x14ac:dyDescent="0.2">
      <c r="B156" s="204" t="s">
        <v>369</v>
      </c>
      <c r="C156" s="204"/>
      <c r="D156" s="204"/>
      <c r="E156" s="204"/>
      <c r="F156" s="150">
        <f>+IF(YEAR(F$140)=YEAR('Assumptions and Sensis'!$H$47),('S&amp;U'!$J$23-'S&amp;U'!$T$25),0)</f>
        <v>0</v>
      </c>
      <c r="G156" s="150">
        <f>+IF(YEAR(G$140)=YEAR('Assumptions and Sensis'!$H$47),('S&amp;U'!$J$23-'S&amp;U'!$T$25),0)</f>
        <v>0</v>
      </c>
      <c r="H156" s="150">
        <f>+IF(YEAR(H$140)=YEAR('Assumptions and Sensis'!$H$47),('S&amp;U'!$J$23-'S&amp;U'!$T$25),0)</f>
        <v>0</v>
      </c>
      <c r="I156" s="150">
        <f ca="1">+IF(YEAR(I$140)=YEAR('Assumptions and Sensis'!$H$47),('S&amp;U'!$J$23-'S&amp;U'!$T$25),0)</f>
        <v>44337854.744443059</v>
      </c>
      <c r="J156" s="150">
        <f>+IF(YEAR(J$140)=YEAR('Assumptions and Sensis'!$H$47),('S&amp;U'!$J$23-'S&amp;U'!$T$25),0)</f>
        <v>0</v>
      </c>
      <c r="K156" s="150">
        <f>+IF(YEAR(K$140)=YEAR('Assumptions and Sensis'!$H$47),('S&amp;U'!$J$23-'S&amp;U'!$T$25),0)</f>
        <v>0</v>
      </c>
      <c r="L156" s="150">
        <f>+IF(YEAR(L$140)=YEAR('Assumptions and Sensis'!$H$47),('S&amp;U'!$J$23-'S&amp;U'!$T$25),0)</f>
        <v>0</v>
      </c>
      <c r="M156" s="150">
        <f>+IF(YEAR(M$140)=YEAR('Assumptions and Sensis'!$H$47),('S&amp;U'!$J$23-'S&amp;U'!$T$25),0)</f>
        <v>0</v>
      </c>
      <c r="N156" s="150">
        <f>+IF(YEAR(N$140)=YEAR('Assumptions and Sensis'!$H$47),('S&amp;U'!$J$23-'S&amp;U'!$T$25),0)</f>
        <v>0</v>
      </c>
      <c r="O156" s="150">
        <f>+IF(YEAR(O$140)=YEAR('Assumptions and Sensis'!$H$47),('S&amp;U'!$J$23-'S&amp;U'!$T$25),0)</f>
        <v>0</v>
      </c>
      <c r="P156" s="150">
        <f>+IF(YEAR(P$140)=YEAR('Assumptions and Sensis'!$H$47),('S&amp;U'!$J$23-'S&amp;U'!$T$25),0)</f>
        <v>0</v>
      </c>
      <c r="Q156" s="150">
        <f>+IF(YEAR(Q$140)=YEAR('Assumptions and Sensis'!$H$47),('S&amp;U'!$J$23-'S&amp;U'!$T$25),0)</f>
        <v>0</v>
      </c>
      <c r="R156" s="150">
        <f>+IF(YEAR(R$140)=YEAR('Assumptions and Sensis'!$H$47),('S&amp;U'!$J$23-'S&amp;U'!$T$25),0)</f>
        <v>0</v>
      </c>
      <c r="S156" s="150">
        <f>+IF(YEAR(S$140)=YEAR('Assumptions and Sensis'!$H$47),('S&amp;U'!$J$23-'S&amp;U'!$T$25),0)</f>
        <v>0</v>
      </c>
      <c r="T156" s="150">
        <f>+IF(YEAR(T$140)=YEAR('Assumptions and Sensis'!$H$47),('S&amp;U'!$J$23-'S&amp;U'!$T$25),0)</f>
        <v>0</v>
      </c>
      <c r="U156" s="150">
        <f>+IF(YEAR(U$140)=YEAR('Assumptions and Sensis'!$H$47),('S&amp;U'!$J$23-'S&amp;U'!$T$25),0)</f>
        <v>0</v>
      </c>
      <c r="V156" s="150">
        <f>+IF(YEAR(V$140)=YEAR('Assumptions and Sensis'!$H$47),('S&amp;U'!$J$23-'S&amp;U'!$T$25),0)</f>
        <v>0</v>
      </c>
      <c r="W156" s="150">
        <f>+IF(YEAR(W$140)=YEAR('Assumptions and Sensis'!$H$47),('S&amp;U'!$J$23-'S&amp;U'!$T$25),0)</f>
        <v>0</v>
      </c>
      <c r="X156" s="150">
        <f>+IF(YEAR(X$140)=YEAR('Assumptions and Sensis'!$H$47),('S&amp;U'!$J$23-'S&amp;U'!$T$25),0)</f>
        <v>0</v>
      </c>
      <c r="Y156" s="150">
        <f>+IF(YEAR(Y$140)=YEAR('Assumptions and Sensis'!$H$47),('S&amp;U'!$J$23-'S&amp;U'!$T$25),0)</f>
        <v>0</v>
      </c>
      <c r="Z156" s="150">
        <f>+IF(YEAR(Z$140)=YEAR('Assumptions and Sensis'!$H$47),('S&amp;U'!$J$23-'S&amp;U'!$T$25),0)</f>
        <v>0</v>
      </c>
    </row>
    <row r="157" spans="2:26" x14ac:dyDescent="0.2">
      <c r="B157" s="32" t="s">
        <v>337</v>
      </c>
      <c r="F157" s="150">
        <f>-F155*'Assumptions and Sensis'!$P$161</f>
        <v>0</v>
      </c>
      <c r="G157" s="150">
        <f>-G155*'Assumptions and Sensis'!$P$161</f>
        <v>0</v>
      </c>
      <c r="H157" s="150">
        <f>-H155*'Assumptions and Sensis'!$P$161</f>
        <v>0</v>
      </c>
      <c r="I157" s="150">
        <f>-I155*'Assumptions and Sensis'!$P$161</f>
        <v>0</v>
      </c>
      <c r="J157" s="150">
        <f>-J155*'Assumptions and Sensis'!$P$161</f>
        <v>0</v>
      </c>
      <c r="K157" s="150">
        <f>-K155*'Assumptions and Sensis'!$P$161</f>
        <v>0</v>
      </c>
      <c r="L157" s="150">
        <f ca="1">-L155*'Assumptions and Sensis'!$P$161</f>
        <v>-7967646.1110399859</v>
      </c>
      <c r="M157" s="150">
        <f>-M155*'Assumptions and Sensis'!$P$161</f>
        <v>0</v>
      </c>
      <c r="N157" s="150">
        <f>-N155*'Assumptions and Sensis'!$P$161</f>
        <v>0</v>
      </c>
      <c r="O157" s="150">
        <f>-O155*'Assumptions and Sensis'!$P$161</f>
        <v>0</v>
      </c>
      <c r="P157" s="150">
        <f>-P155*'Assumptions and Sensis'!$P$161</f>
        <v>0</v>
      </c>
      <c r="Q157" s="150">
        <f>-Q155*'Assumptions and Sensis'!$P$161</f>
        <v>0</v>
      </c>
      <c r="R157" s="150">
        <f>-R155*'Assumptions and Sensis'!$P$161</f>
        <v>0</v>
      </c>
      <c r="S157" s="150">
        <f>-S155*'Assumptions and Sensis'!$P$161</f>
        <v>0</v>
      </c>
      <c r="T157" s="150">
        <f>-T155*'Assumptions and Sensis'!$P$161</f>
        <v>0</v>
      </c>
      <c r="U157" s="150">
        <f>-U155*'Assumptions and Sensis'!$P$161</f>
        <v>0</v>
      </c>
      <c r="V157" s="150">
        <f>-V155*'Assumptions and Sensis'!$P$161</f>
        <v>0</v>
      </c>
      <c r="W157" s="150">
        <f>-W155*'Assumptions and Sensis'!$P$161</f>
        <v>0</v>
      </c>
      <c r="X157" s="150">
        <f>-X155*'Assumptions and Sensis'!$P$161</f>
        <v>0</v>
      </c>
      <c r="Y157" s="150">
        <f>-Y155*'Assumptions and Sensis'!$P$161</f>
        <v>0</v>
      </c>
      <c r="Z157" s="150">
        <f>-Z155*'Assumptions and Sensis'!$P$161</f>
        <v>0</v>
      </c>
    </row>
    <row r="158" spans="2:26" x14ac:dyDescent="0.2">
      <c r="B158" s="32" t="s">
        <v>338</v>
      </c>
      <c r="F158" s="150">
        <f>+IF(YEAR(F$140)=YEAR('Assumptions and Sensis'!$H$51),-F144,0)</f>
        <v>0</v>
      </c>
      <c r="G158" s="150">
        <f>+IF(YEAR(G$140)=YEAR('Assumptions and Sensis'!$H$51),-G144,0)</f>
        <v>0</v>
      </c>
      <c r="H158" s="150">
        <f>+IF(YEAR(H$140)=YEAR('Assumptions and Sensis'!$H$51),-H144,0)</f>
        <v>0</v>
      </c>
      <c r="I158" s="150">
        <f>+IF(YEAR(I$140)=YEAR('Assumptions and Sensis'!$H$51),-I144,0)</f>
        <v>0</v>
      </c>
      <c r="J158" s="150">
        <f>+IF(YEAR(J$140)=YEAR('Assumptions and Sensis'!$H$51),-J144,0)</f>
        <v>0</v>
      </c>
      <c r="K158" s="150">
        <f>+IF(YEAR(K$140)=YEAR('Assumptions and Sensis'!$H$51),-K144,0)</f>
        <v>0</v>
      </c>
      <c r="L158" s="150">
        <f ca="1">+IF(YEAR(L$140)=YEAR('Assumptions and Sensis'!$H$51),-L144,0)</f>
        <v>-225569682.82502928</v>
      </c>
      <c r="M158" s="150">
        <f>+IF(YEAR(M$140)=YEAR('Assumptions and Sensis'!$H$51),-M144,0)</f>
        <v>0</v>
      </c>
      <c r="N158" s="150">
        <f>+IF(YEAR(N$140)=YEAR('Assumptions and Sensis'!$H$51),-N144,0)</f>
        <v>0</v>
      </c>
      <c r="O158" s="150">
        <f>+IF(YEAR(O$140)=YEAR('Assumptions and Sensis'!$H$51),-O144,0)</f>
        <v>0</v>
      </c>
      <c r="P158" s="150">
        <f>+IF(YEAR(P$140)=YEAR('Assumptions and Sensis'!$H$51),-P144,0)</f>
        <v>0</v>
      </c>
      <c r="Q158" s="150">
        <f>+IF(YEAR(Q$140)=YEAR('Assumptions and Sensis'!$H$51),-Q144,0)</f>
        <v>0</v>
      </c>
      <c r="R158" s="150">
        <f>+IF(YEAR(R$140)=YEAR('Assumptions and Sensis'!$H$51),-R144,0)</f>
        <v>0</v>
      </c>
      <c r="S158" s="150">
        <f>+IF(YEAR(S$140)=YEAR('Assumptions and Sensis'!$H$51),-S144,0)</f>
        <v>0</v>
      </c>
      <c r="T158" s="150">
        <f>+IF(YEAR(T$140)=YEAR('Assumptions and Sensis'!$H$51),-T144,0)</f>
        <v>0</v>
      </c>
      <c r="U158" s="150">
        <f>+IF(YEAR(U$140)=YEAR('Assumptions and Sensis'!$H$51),-U144,0)</f>
        <v>0</v>
      </c>
      <c r="V158" s="150">
        <f>+IF(YEAR(V$140)=YEAR('Assumptions and Sensis'!$H$51),-V144,0)</f>
        <v>0</v>
      </c>
      <c r="W158" s="150">
        <f>+IF(YEAR(W$140)=YEAR('Assumptions and Sensis'!$H$51),-W144,0)</f>
        <v>0</v>
      </c>
      <c r="X158" s="150">
        <f>+IF(YEAR(X$140)=YEAR('Assumptions and Sensis'!$H$51),-X144,0)</f>
        <v>0</v>
      </c>
      <c r="Y158" s="150">
        <f>+IF(YEAR(Y$140)=YEAR('Assumptions and Sensis'!$H$51),-Y144,0)</f>
        <v>0</v>
      </c>
      <c r="Z158" s="150">
        <f>+IF(YEAR(Z$140)=YEAR('Assumptions and Sensis'!$H$51),-Z144,0)</f>
        <v>0</v>
      </c>
    </row>
    <row r="159" spans="2:26" x14ac:dyDescent="0.2">
      <c r="B159" s="136" t="s">
        <v>339</v>
      </c>
      <c r="C159" s="136"/>
      <c r="D159" s="136"/>
      <c r="E159" s="136"/>
      <c r="F159" s="128">
        <f>+SUM(F155:F158)</f>
        <v>0</v>
      </c>
      <c r="G159" s="128">
        <f t="shared" ref="G159:Z159" si="60">+SUM(G155:G158)</f>
        <v>0</v>
      </c>
      <c r="H159" s="128">
        <f t="shared" si="60"/>
        <v>0</v>
      </c>
      <c r="I159" s="128">
        <f t="shared" ca="1" si="60"/>
        <v>44337854.744443059</v>
      </c>
      <c r="J159" s="128">
        <f t="shared" si="60"/>
        <v>0</v>
      </c>
      <c r="K159" s="128">
        <f t="shared" si="60"/>
        <v>0</v>
      </c>
      <c r="L159" s="128">
        <f t="shared" ca="1" si="60"/>
        <v>164844976.61592999</v>
      </c>
      <c r="M159" s="128">
        <f t="shared" si="60"/>
        <v>0</v>
      </c>
      <c r="N159" s="128">
        <f t="shared" si="60"/>
        <v>0</v>
      </c>
      <c r="O159" s="128">
        <f t="shared" si="60"/>
        <v>0</v>
      </c>
      <c r="P159" s="128">
        <f t="shared" si="60"/>
        <v>0</v>
      </c>
      <c r="Q159" s="128">
        <f t="shared" si="60"/>
        <v>0</v>
      </c>
      <c r="R159" s="128">
        <f t="shared" si="60"/>
        <v>0</v>
      </c>
      <c r="S159" s="128">
        <f t="shared" si="60"/>
        <v>0</v>
      </c>
      <c r="T159" s="128">
        <f t="shared" si="60"/>
        <v>0</v>
      </c>
      <c r="U159" s="128">
        <f t="shared" si="60"/>
        <v>0</v>
      </c>
      <c r="V159" s="128">
        <f t="shared" si="60"/>
        <v>0</v>
      </c>
      <c r="W159" s="128">
        <f t="shared" si="60"/>
        <v>0</v>
      </c>
      <c r="X159" s="128">
        <f t="shared" si="60"/>
        <v>0</v>
      </c>
      <c r="Y159" s="128">
        <f t="shared" si="60"/>
        <v>0</v>
      </c>
      <c r="Z159" s="128">
        <f t="shared" si="60"/>
        <v>0</v>
      </c>
    </row>
    <row r="160" spans="2:26" x14ac:dyDescent="0.2">
      <c r="B160" s="205" t="s">
        <v>771</v>
      </c>
    </row>
    <row r="162" spans="2:26" x14ac:dyDescent="0.2">
      <c r="B162" s="137" t="s">
        <v>340</v>
      </c>
      <c r="C162" s="137"/>
      <c r="D162" s="137"/>
      <c r="E162" s="137"/>
      <c r="F162" s="138">
        <f ca="1">+IF(YEAR(F$140)&lt;=YEAR('Assumptions and Sensis'!$H$51),'Phase III Pro Forma'!F159+'Phase III Pro Forma'!F152,0)</f>
        <v>0</v>
      </c>
      <c r="G162" s="138">
        <f ca="1">+IF(YEAR(G$140)&lt;=YEAR('Assumptions and Sensis'!$H$51),'Phase III Pro Forma'!G159+'Phase III Pro Forma'!G152,0)</f>
        <v>0</v>
      </c>
      <c r="H162" s="138">
        <f ca="1">+IF(YEAR(H$140)&lt;=YEAR('Assumptions and Sensis'!$H$51),'Phase III Pro Forma'!H159+'Phase III Pro Forma'!H152,0)</f>
        <v>0</v>
      </c>
      <c r="I162" s="138">
        <f ca="1">+IF(YEAR(I$140)&lt;=YEAR('Assumptions and Sensis'!$H$51),'Phase III Pro Forma'!I159+'Phase III Pro Forma'!I152,0)</f>
        <v>35514380.051733702</v>
      </c>
      <c r="J162" s="138">
        <f ca="1">+IF(YEAR(J$140)&lt;=YEAR('Assumptions and Sensis'!$H$51),'Phase III Pro Forma'!J159+'Phase III Pro Forma'!J152,0)</f>
        <v>4304012.1352285445</v>
      </c>
      <c r="K162" s="138">
        <f ca="1">+IF(YEAR(K$140)&lt;=YEAR('Assumptions and Sensis'!$H$51),'Phase III Pro Forma'!K159+'Phase III Pro Forma'!K152,0)</f>
        <v>4550575.0131869875</v>
      </c>
      <c r="L162" s="138">
        <f ca="1">+IF(YEAR(L$140)&lt;=YEAR('Assumptions and Sensis'!$H$51),'Phase III Pro Forma'!L159+'Phase III Pro Forma'!L152,0)</f>
        <v>171221203.43865323</v>
      </c>
      <c r="M162" s="138">
        <f>+IF(YEAR(M$140)&lt;=YEAR('Assumptions and Sensis'!$H$51),'Phase III Pro Forma'!M159+'Phase III Pro Forma'!M152,0)</f>
        <v>0</v>
      </c>
      <c r="N162" s="138">
        <f>+IF(YEAR(N$140)&lt;=YEAR('Assumptions and Sensis'!$H$51),'Phase III Pro Forma'!N159+'Phase III Pro Forma'!N152,0)</f>
        <v>0</v>
      </c>
      <c r="O162" s="138">
        <f>+IF(YEAR(O$140)&lt;=YEAR('Assumptions and Sensis'!$H$51),'Phase III Pro Forma'!O159+'Phase III Pro Forma'!O152,0)</f>
        <v>0</v>
      </c>
      <c r="P162" s="138">
        <f>+IF(YEAR(P$140)&lt;=YEAR('Assumptions and Sensis'!$H$51),'Phase III Pro Forma'!P159+'Phase III Pro Forma'!P152,0)</f>
        <v>0</v>
      </c>
      <c r="Q162" s="138">
        <f>+IF(YEAR(Q$140)&lt;=YEAR('Assumptions and Sensis'!$H$51),'Phase III Pro Forma'!Q159+'Phase III Pro Forma'!Q152,0)</f>
        <v>0</v>
      </c>
      <c r="R162" s="138">
        <f>+IF(YEAR(R$140)&lt;=YEAR('Assumptions and Sensis'!$H$51),'Phase III Pro Forma'!R159+'Phase III Pro Forma'!R152,0)</f>
        <v>0</v>
      </c>
      <c r="S162" s="138">
        <f>+IF(YEAR(S$140)&lt;=YEAR('Assumptions and Sensis'!$H$51),'Phase III Pro Forma'!S159+'Phase III Pro Forma'!S152,0)</f>
        <v>0</v>
      </c>
      <c r="T162" s="138">
        <f>+IF(YEAR(T$140)&lt;=YEAR('Assumptions and Sensis'!$H$51),'Phase III Pro Forma'!T159+'Phase III Pro Forma'!T152,0)</f>
        <v>0</v>
      </c>
      <c r="U162" s="138">
        <f>+IF(YEAR(U$140)&lt;=YEAR('Assumptions and Sensis'!$H$51),'Phase III Pro Forma'!U159+'Phase III Pro Forma'!U152,0)</f>
        <v>0</v>
      </c>
      <c r="V162" s="138">
        <f>+IF(YEAR(V$140)&lt;=YEAR('Assumptions and Sensis'!$H$51),'Phase III Pro Forma'!V159+'Phase III Pro Forma'!V152,0)</f>
        <v>0</v>
      </c>
      <c r="W162" s="138">
        <f>+IF(YEAR(W$140)&lt;=YEAR('Assumptions and Sensis'!$H$51),'Phase III Pro Forma'!W159+'Phase III Pro Forma'!W152,0)</f>
        <v>0</v>
      </c>
      <c r="X162" s="138">
        <f>+IF(YEAR(X$140)&lt;=YEAR('Assumptions and Sensis'!$H$51),'Phase III Pro Forma'!X159+'Phase III Pro Forma'!X152,0)</f>
        <v>0</v>
      </c>
      <c r="Y162" s="138">
        <f>+IF(YEAR(Y$140)&lt;=YEAR('Assumptions and Sensis'!$H$51),'Phase III Pro Forma'!Y159+'Phase III Pro Forma'!Y152,0)</f>
        <v>0</v>
      </c>
      <c r="Z162" s="138">
        <f>+IF(YEAR(Z$140)&lt;=YEAR('Assumptions and Sensis'!$H$51),'Phase III Pro Forma'!Z159+'Phase III Pro Forma'!Z152,0)</f>
        <v>0</v>
      </c>
    </row>
    <row r="164" spans="2:26" x14ac:dyDescent="0.2">
      <c r="B164" s="36" t="s">
        <v>768</v>
      </c>
      <c r="C164" s="37"/>
      <c r="D164" s="37"/>
      <c r="E164" s="37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6" spans="2:26" x14ac:dyDescent="0.2">
      <c r="B166" s="147" t="s">
        <v>26</v>
      </c>
      <c r="C166" s="148"/>
      <c r="D166" s="148"/>
      <c r="E166" s="148"/>
      <c r="F166" s="149">
        <f>+'Assumptions and Sensis'!$H$43</f>
        <v>45657</v>
      </c>
      <c r="G166" s="149">
        <f>+EOMONTH(F166,12)</f>
        <v>46022</v>
      </c>
      <c r="H166" s="149">
        <f t="shared" ref="H166:Z166" si="61">+EOMONTH(G166,12)</f>
        <v>46387</v>
      </c>
      <c r="I166" s="149">
        <f t="shared" si="61"/>
        <v>46752</v>
      </c>
      <c r="J166" s="149">
        <f t="shared" si="61"/>
        <v>47118</v>
      </c>
      <c r="K166" s="149">
        <f t="shared" si="61"/>
        <v>47483</v>
      </c>
      <c r="L166" s="149">
        <f t="shared" si="61"/>
        <v>47848</v>
      </c>
      <c r="M166" s="149">
        <f t="shared" si="61"/>
        <v>48213</v>
      </c>
      <c r="N166" s="149">
        <f t="shared" si="61"/>
        <v>48579</v>
      </c>
      <c r="O166" s="149">
        <f t="shared" si="61"/>
        <v>48944</v>
      </c>
      <c r="P166" s="149">
        <f t="shared" si="61"/>
        <v>49309</v>
      </c>
      <c r="Q166" s="149">
        <f t="shared" si="61"/>
        <v>49674</v>
      </c>
      <c r="R166" s="149">
        <f t="shared" si="61"/>
        <v>50040</v>
      </c>
      <c r="S166" s="149">
        <f t="shared" si="61"/>
        <v>50405</v>
      </c>
      <c r="T166" s="149">
        <f t="shared" si="61"/>
        <v>50770</v>
      </c>
      <c r="U166" s="149">
        <f t="shared" si="61"/>
        <v>51135</v>
      </c>
      <c r="V166" s="149">
        <f t="shared" si="61"/>
        <v>51501</v>
      </c>
      <c r="W166" s="149">
        <f t="shared" si="61"/>
        <v>51866</v>
      </c>
      <c r="X166" s="149">
        <f t="shared" si="61"/>
        <v>52231</v>
      </c>
      <c r="Y166" s="149">
        <f t="shared" si="61"/>
        <v>52596</v>
      </c>
      <c r="Z166" s="149">
        <f t="shared" si="61"/>
        <v>52962</v>
      </c>
    </row>
    <row r="167" spans="2:26" x14ac:dyDescent="0.2">
      <c r="B167" s="32" t="s">
        <v>757</v>
      </c>
      <c r="C167" s="32"/>
      <c r="D167" s="39"/>
      <c r="E167" s="39"/>
      <c r="F167" s="41">
        <f>+IF(AND(F166&gt;='Assumptions and Sensis'!$H$47,F166&lt;'Assumptions and Sensis'!$H$49),'Assumptions and Sensis'!$H$122/ROUNDUP(('Assumptions and Sensis'!$H$48/12),0),0)</f>
        <v>0</v>
      </c>
      <c r="G167" s="41">
        <f>+IF(AND(G166&gt;='Assumptions and Sensis'!$H$47,G166&lt;'Assumptions and Sensis'!$H$49),'Assumptions and Sensis'!$H$122/ROUNDUP(('Assumptions and Sensis'!$H$48/12),0),0)</f>
        <v>0</v>
      </c>
      <c r="H167" s="41">
        <f>+IF(AND(H166&gt;='Assumptions and Sensis'!$H$47,H166&lt;'Assumptions and Sensis'!$H$49),'Assumptions and Sensis'!$H$122/ROUNDUP(('Assumptions and Sensis'!$H$48/12),0),0)</f>
        <v>0</v>
      </c>
      <c r="I167" s="41">
        <f>+IF(AND(I166&gt;='Assumptions and Sensis'!$H$47,I166&lt;'Assumptions and Sensis'!$H$49),'Assumptions and Sensis'!$H$122/ROUNDUP(('Assumptions and Sensis'!$H$48/12),0),0)</f>
        <v>18.638844444444445</v>
      </c>
      <c r="J167" s="41">
        <f>+IF(AND(J166&gt;='Assumptions and Sensis'!$H$47,J166&lt;'Assumptions and Sensis'!$H$49),'Assumptions and Sensis'!$H$122/ROUNDUP(('Assumptions and Sensis'!$H$48/12),0),0)</f>
        <v>18.638844444444445</v>
      </c>
      <c r="K167" s="41">
        <f>+IF(AND(K166&gt;='Assumptions and Sensis'!$H$47,K166&lt;'Assumptions and Sensis'!$H$49),'Assumptions and Sensis'!$H$122/ROUNDUP(('Assumptions and Sensis'!$H$48/12),0),0)</f>
        <v>0</v>
      </c>
      <c r="L167" s="41">
        <f>+IF(AND(L166&gt;='Assumptions and Sensis'!$H$47,L166&lt;'Assumptions and Sensis'!$H$49),'Assumptions and Sensis'!$H$122/ROUNDUP(('Assumptions and Sensis'!$H$48/12),0),0)</f>
        <v>0</v>
      </c>
      <c r="M167" s="41">
        <f>+IF(AND(M166&gt;='Assumptions and Sensis'!$H$47,M166&lt;'Assumptions and Sensis'!$H$49),'Assumptions and Sensis'!$H$122/ROUNDUP(('Assumptions and Sensis'!$H$48/12),0),0)</f>
        <v>0</v>
      </c>
      <c r="N167" s="41">
        <f>+IF(AND(N166&gt;='Assumptions and Sensis'!$H$47,N166&lt;'Assumptions and Sensis'!$H$49),'Assumptions and Sensis'!$H$122/ROUNDUP(('Assumptions and Sensis'!$H$48/12),0),0)</f>
        <v>0</v>
      </c>
      <c r="O167" s="41">
        <f>+IF(AND(O166&gt;='Assumptions and Sensis'!$H$47,O166&lt;'Assumptions and Sensis'!$H$49),'Assumptions and Sensis'!$H$122/ROUNDUP(('Assumptions and Sensis'!$H$48/12),0),0)</f>
        <v>0</v>
      </c>
      <c r="P167" s="41">
        <f>+IF(AND(P166&gt;='Assumptions and Sensis'!$H$47,P166&lt;'Assumptions and Sensis'!$H$49),'Assumptions and Sensis'!$H$122/ROUNDUP(('Assumptions and Sensis'!$H$48/12),0),0)</f>
        <v>0</v>
      </c>
      <c r="Q167" s="41">
        <f>+IF(AND(Q166&gt;='Assumptions and Sensis'!$H$47,Q166&lt;'Assumptions and Sensis'!$H$49),'Assumptions and Sensis'!$H$122/ROUNDUP(('Assumptions and Sensis'!$H$48/12),0),0)</f>
        <v>0</v>
      </c>
      <c r="R167" s="41">
        <f>+IF(AND(R166&gt;='Assumptions and Sensis'!$H$47,R166&lt;'Assumptions and Sensis'!$H$49),'Assumptions and Sensis'!$H$122/ROUNDUP(('Assumptions and Sensis'!$H$48/12),0),0)</f>
        <v>0</v>
      </c>
      <c r="S167" s="41">
        <f>+IF(AND(S166&gt;='Assumptions and Sensis'!$H$47,S166&lt;'Assumptions and Sensis'!$H$49),'Assumptions and Sensis'!$H$122/ROUNDUP(('Assumptions and Sensis'!$H$48/12),0),0)</f>
        <v>0</v>
      </c>
      <c r="T167" s="41">
        <f>+IF(AND(T166&gt;='Assumptions and Sensis'!$H$47,T166&lt;'Assumptions and Sensis'!$H$49),'Assumptions and Sensis'!$H$122/ROUNDUP(('Assumptions and Sensis'!$H$48/12),0),0)</f>
        <v>0</v>
      </c>
      <c r="U167" s="41">
        <f>+IF(AND(U166&gt;='Assumptions and Sensis'!$H$47,U166&lt;'Assumptions and Sensis'!$H$49),'Assumptions and Sensis'!$H$122/ROUNDUP(('Assumptions and Sensis'!$H$48/12),0),0)</f>
        <v>0</v>
      </c>
      <c r="V167" s="41">
        <f>+IF(AND(V166&gt;='Assumptions and Sensis'!$H$47,V166&lt;'Assumptions and Sensis'!$H$49),'Assumptions and Sensis'!$H$122/ROUNDUP(('Assumptions and Sensis'!$H$48/12),0),0)</f>
        <v>0</v>
      </c>
      <c r="W167" s="41">
        <f>+IF(AND(W166&gt;='Assumptions and Sensis'!$H$47,W166&lt;'Assumptions and Sensis'!$H$49),'Assumptions and Sensis'!$H$122/ROUNDUP(('Assumptions and Sensis'!$H$48/12),0),0)</f>
        <v>0</v>
      </c>
      <c r="X167" s="41">
        <f>+IF(AND(X166&gt;='Assumptions and Sensis'!$H$47,X166&lt;'Assumptions and Sensis'!$H$49),'Assumptions and Sensis'!$H$122/ROUNDUP(('Assumptions and Sensis'!$H$48/12),0),0)</f>
        <v>0</v>
      </c>
      <c r="Y167" s="41">
        <f>+IF(AND(Y166&gt;='Assumptions and Sensis'!$H$47,Y166&lt;'Assumptions and Sensis'!$H$49),'Assumptions and Sensis'!$H$122/ROUNDUP(('Assumptions and Sensis'!$H$48/12),0),0)</f>
        <v>0</v>
      </c>
      <c r="Z167" s="41">
        <f>+IF(AND(Z166&gt;='Assumptions and Sensis'!$H$47,Z166&lt;'Assumptions and Sensis'!$H$49),'Assumptions and Sensis'!$H$122/ROUNDUP(('Assumptions and Sensis'!$H$48/12),0),0)</f>
        <v>0</v>
      </c>
    </row>
    <row r="168" spans="2:26" x14ac:dyDescent="0.2">
      <c r="B168" s="32" t="s">
        <v>306</v>
      </c>
      <c r="C168" s="32"/>
      <c r="D168" s="39"/>
      <c r="E168" s="39"/>
      <c r="F168" s="41">
        <f>+D168+F167</f>
        <v>0</v>
      </c>
      <c r="G168" s="41">
        <f t="shared" ref="G168:Z168" si="62">+F168+G167</f>
        <v>0</v>
      </c>
      <c r="H168" s="41">
        <f t="shared" si="62"/>
        <v>0</v>
      </c>
      <c r="I168" s="41">
        <f t="shared" si="62"/>
        <v>18.638844444444445</v>
      </c>
      <c r="J168" s="41">
        <f t="shared" si="62"/>
        <v>37.277688888888889</v>
      </c>
      <c r="K168" s="41">
        <f t="shared" si="62"/>
        <v>37.277688888888889</v>
      </c>
      <c r="L168" s="41">
        <f t="shared" si="62"/>
        <v>37.277688888888889</v>
      </c>
      <c r="M168" s="41">
        <f t="shared" si="62"/>
        <v>37.277688888888889</v>
      </c>
      <c r="N168" s="41">
        <f t="shared" si="62"/>
        <v>37.277688888888889</v>
      </c>
      <c r="O168" s="41">
        <f t="shared" si="62"/>
        <v>37.277688888888889</v>
      </c>
      <c r="P168" s="41">
        <f t="shared" si="62"/>
        <v>37.277688888888889</v>
      </c>
      <c r="Q168" s="41">
        <f t="shared" si="62"/>
        <v>37.277688888888889</v>
      </c>
      <c r="R168" s="41">
        <f t="shared" si="62"/>
        <v>37.277688888888889</v>
      </c>
      <c r="S168" s="41">
        <f t="shared" si="62"/>
        <v>37.277688888888889</v>
      </c>
      <c r="T168" s="41">
        <f t="shared" si="62"/>
        <v>37.277688888888889</v>
      </c>
      <c r="U168" s="41">
        <f t="shared" si="62"/>
        <v>37.277688888888889</v>
      </c>
      <c r="V168" s="41">
        <f t="shared" si="62"/>
        <v>37.277688888888889</v>
      </c>
      <c r="W168" s="41">
        <f t="shared" si="62"/>
        <v>37.277688888888889</v>
      </c>
      <c r="X168" s="41">
        <f t="shared" si="62"/>
        <v>37.277688888888889</v>
      </c>
      <c r="Y168" s="41">
        <f t="shared" si="62"/>
        <v>37.277688888888889</v>
      </c>
      <c r="Z168" s="41">
        <f t="shared" si="62"/>
        <v>37.277688888888889</v>
      </c>
    </row>
    <row r="169" spans="2:26" x14ac:dyDescent="0.2">
      <c r="B169" s="32" t="s">
        <v>300</v>
      </c>
      <c r="C169" s="32"/>
      <c r="D169" s="41"/>
      <c r="E169" s="41"/>
      <c r="F169" s="107">
        <f t="shared" ref="F169:J169" si="63">+F168/SUM($F167:$Z167)</f>
        <v>0</v>
      </c>
      <c r="G169" s="107">
        <f t="shared" si="63"/>
        <v>0</v>
      </c>
      <c r="H169" s="107">
        <f t="shared" si="63"/>
        <v>0</v>
      </c>
      <c r="I169" s="107">
        <f t="shared" si="63"/>
        <v>0.5</v>
      </c>
      <c r="J169" s="107">
        <f t="shared" si="63"/>
        <v>1</v>
      </c>
      <c r="K169" s="107">
        <f>+K168/SUM($F167:$Z167)</f>
        <v>1</v>
      </c>
      <c r="L169" s="107">
        <f t="shared" ref="L169:Z169" si="64">+L168/SUM($F167:$Z167)</f>
        <v>1</v>
      </c>
      <c r="M169" s="107">
        <f t="shared" si="64"/>
        <v>1</v>
      </c>
      <c r="N169" s="107">
        <f t="shared" si="64"/>
        <v>1</v>
      </c>
      <c r="O169" s="107">
        <f t="shared" si="64"/>
        <v>1</v>
      </c>
      <c r="P169" s="107">
        <f t="shared" si="64"/>
        <v>1</v>
      </c>
      <c r="Q169" s="107">
        <f t="shared" si="64"/>
        <v>1</v>
      </c>
      <c r="R169" s="107">
        <f t="shared" si="64"/>
        <v>1</v>
      </c>
      <c r="S169" s="107">
        <f t="shared" si="64"/>
        <v>1</v>
      </c>
      <c r="T169" s="107">
        <f t="shared" si="64"/>
        <v>1</v>
      </c>
      <c r="U169" s="107">
        <f t="shared" si="64"/>
        <v>1</v>
      </c>
      <c r="V169" s="107">
        <f t="shared" si="64"/>
        <v>1</v>
      </c>
      <c r="W169" s="107">
        <f t="shared" si="64"/>
        <v>1</v>
      </c>
      <c r="X169" s="107">
        <f t="shared" si="64"/>
        <v>1</v>
      </c>
      <c r="Y169" s="107">
        <f t="shared" si="64"/>
        <v>1</v>
      </c>
      <c r="Z169" s="107">
        <f t="shared" si="64"/>
        <v>1</v>
      </c>
    </row>
    <row r="170" spans="2:26" x14ac:dyDescent="0.2">
      <c r="B170" s="32"/>
      <c r="C170" s="32"/>
      <c r="D170" s="41"/>
      <c r="E170" s="41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</row>
    <row r="171" spans="2:26" x14ac:dyDescent="0.2">
      <c r="B171" s="32" t="s">
        <v>303</v>
      </c>
      <c r="F171" s="33">
        <f>+IF(F2=1,'Assumptions and Sensis'!$H$147,IF(F2=2,'Assumptions and Sensis'!$H$149,IF(F2&gt;2,'Assumptions and Sensis'!$H$126,0)))</f>
        <v>0</v>
      </c>
      <c r="G171" s="33">
        <f>+IF(G2=1,'Assumptions and Sensis'!$H$147,IF(G2=2,'Assumptions and Sensis'!$H$149,IF(G2&gt;2,'Assumptions and Sensis'!$H$126,0)))</f>
        <v>0</v>
      </c>
      <c r="H171" s="33">
        <f>+IF(H2=1,'Assumptions and Sensis'!$H$147,IF(H2=2,'Assumptions and Sensis'!$H$149,IF(H2&gt;2,'Assumptions and Sensis'!$H$126,0)))</f>
        <v>0</v>
      </c>
      <c r="I171" s="33">
        <f>+IF(I2=1,'Assumptions and Sensis'!$H$147,IF(I2=2,'Assumptions and Sensis'!$H$149,IF(I2&gt;2,'Assumptions and Sensis'!$H$126,0)))</f>
        <v>150</v>
      </c>
      <c r="J171" s="33">
        <f>+IF(J2=1,'Assumptions and Sensis'!$H$147,IF(J2=2,'Assumptions and Sensis'!$H$149,IF(J2&gt;2,'Assumptions and Sensis'!$H$126,0)))</f>
        <v>155</v>
      </c>
      <c r="K171" s="33">
        <f>+IF(K2=1,'Assumptions and Sensis'!$H$147,IF(K2=2,'Assumptions and Sensis'!$H$149,IF(K2&gt;2,'Assumptions and Sensis'!$H$126,0)))</f>
        <v>160</v>
      </c>
      <c r="L171" s="33">
        <f>+IF(L2=1,'Assumptions and Sensis'!$H$147,IF(L2=2,'Assumptions and Sensis'!$H$149,IF(L2&gt;2,'Assumptions and Sensis'!$H$126,0)))</f>
        <v>160</v>
      </c>
      <c r="M171" s="33">
        <f>+IF(M2=1,'Assumptions and Sensis'!$H$147,IF(M2=2,'Assumptions and Sensis'!$H$149,IF(M2&gt;2,'Assumptions and Sensis'!$H$126,0)))</f>
        <v>160</v>
      </c>
      <c r="N171" s="33">
        <f>+IF(N2=1,'Assumptions and Sensis'!$H$147,IF(N2=2,'Assumptions and Sensis'!$H$149,IF(N2&gt;2,'Assumptions and Sensis'!$H$126,0)))</f>
        <v>160</v>
      </c>
      <c r="O171" s="33">
        <f>+IF(O2=1,'Assumptions and Sensis'!$H$147,IF(O2=2,'Assumptions and Sensis'!$H$149,IF(O2&gt;2,'Assumptions and Sensis'!$H$126,0)))</f>
        <v>160</v>
      </c>
      <c r="P171" s="33">
        <f>+IF(P2=1,'Assumptions and Sensis'!$H$147,IF(P2=2,'Assumptions and Sensis'!$H$149,IF(P2&gt;2,'Assumptions and Sensis'!$H$126,0)))</f>
        <v>160</v>
      </c>
      <c r="Q171" s="33">
        <f>+IF(Q2=1,'Assumptions and Sensis'!$H$147,IF(Q2=2,'Assumptions and Sensis'!$H$149,IF(Q2&gt;2,'Assumptions and Sensis'!$H$126,0)))</f>
        <v>160</v>
      </c>
      <c r="R171" s="33">
        <f>+IF(R2=1,'Assumptions and Sensis'!$H$147,IF(R2=2,'Assumptions and Sensis'!$H$149,IF(R2&gt;2,'Assumptions and Sensis'!$H$126,0)))</f>
        <v>160</v>
      </c>
      <c r="S171" s="33">
        <f>+IF(S2=1,'Assumptions and Sensis'!$H$147,IF(S2=2,'Assumptions and Sensis'!$H$149,IF(S2&gt;2,'Assumptions and Sensis'!$H$126,0)))</f>
        <v>160</v>
      </c>
      <c r="T171" s="33">
        <f>+IF(T2=1,'Assumptions and Sensis'!$H$147,IF(T2=2,'Assumptions and Sensis'!$H$149,IF(T2&gt;2,'Assumptions and Sensis'!$H$126,0)))</f>
        <v>160</v>
      </c>
      <c r="U171" s="33">
        <f>+IF(U2=1,'Assumptions and Sensis'!$H$147,IF(U2=2,'Assumptions and Sensis'!$H$149,IF(U2&gt;2,'Assumptions and Sensis'!$H$126,0)))</f>
        <v>160</v>
      </c>
      <c r="V171" s="33">
        <f>+IF(V2=1,'Assumptions and Sensis'!$H$147,IF(V2=2,'Assumptions and Sensis'!$H$149,IF(V2&gt;2,'Assumptions and Sensis'!$H$126,0)))</f>
        <v>160</v>
      </c>
      <c r="W171" s="33">
        <f>+IF(W2=1,'Assumptions and Sensis'!$H$147,IF(W2=2,'Assumptions and Sensis'!$H$149,IF(W2&gt;2,'Assumptions and Sensis'!$H$126,0)))</f>
        <v>160</v>
      </c>
      <c r="X171" s="33">
        <f>+IF(X2=1,'Assumptions and Sensis'!$H$147,IF(X2=2,'Assumptions and Sensis'!$H$149,IF(X2&gt;2,'Assumptions and Sensis'!$H$126,0)))</f>
        <v>160</v>
      </c>
      <c r="Y171" s="33">
        <f>+IF(Y2=1,'Assumptions and Sensis'!$H$147,IF(Y2=2,'Assumptions and Sensis'!$H$149,IF(Y2&gt;2,'Assumptions and Sensis'!$H$126,0)))</f>
        <v>160</v>
      </c>
      <c r="Z171" s="33">
        <f>+IF(Z2=1,'Assumptions and Sensis'!$H$147,IF(Z2=2,'Assumptions and Sensis'!$H$149,IF(Z2&gt;2,'Assumptions and Sensis'!$H$126,0)))</f>
        <v>160</v>
      </c>
    </row>
    <row r="172" spans="2:26" x14ac:dyDescent="0.2">
      <c r="B172" s="32" t="s">
        <v>310</v>
      </c>
      <c r="C172" s="32"/>
      <c r="D172" s="41"/>
      <c r="E172" s="41"/>
      <c r="F172" s="107">
        <v>1</v>
      </c>
      <c r="G172" s="107">
        <f>+F172*(1+'Assumptions and Sensis'!$P$89)</f>
        <v>1.02</v>
      </c>
      <c r="H172" s="107">
        <f>+G172*(1+'Assumptions and Sensis'!$P$89)</f>
        <v>1.0404</v>
      </c>
      <c r="I172" s="107">
        <f>+H172*(1+'Assumptions and Sensis'!$P$89)</f>
        <v>1.0612079999999999</v>
      </c>
      <c r="J172" s="107">
        <f>+I172*(1+'Assumptions and Sensis'!$P$89)</f>
        <v>1.08243216</v>
      </c>
      <c r="K172" s="107">
        <f>+J172*(1+'Assumptions and Sensis'!$P$89)</f>
        <v>1.1040808032</v>
      </c>
      <c r="L172" s="107">
        <f>+K172*(1+'Assumptions and Sensis'!$P$89)</f>
        <v>1.1261624192640001</v>
      </c>
      <c r="M172" s="107">
        <f>+L172*(1+'Assumptions and Sensis'!$P$89)</f>
        <v>1.14868566764928</v>
      </c>
      <c r="N172" s="107">
        <f>+M172*(1+'Assumptions and Sensis'!$P$89)</f>
        <v>1.1716593810022657</v>
      </c>
      <c r="O172" s="107">
        <f>+N172*(1+'Assumptions and Sensis'!$P$89)</f>
        <v>1.1950925686223111</v>
      </c>
      <c r="P172" s="107">
        <f>+O172*(1+'Assumptions and Sensis'!$P$89)</f>
        <v>1.2189944199947573</v>
      </c>
      <c r="Q172" s="107">
        <f>+P172*(1+'Assumptions and Sensis'!$P$89)</f>
        <v>1.2433743083946525</v>
      </c>
      <c r="R172" s="107">
        <f>+Q172*(1+'Assumptions and Sensis'!$P$89)</f>
        <v>1.2682417945625455</v>
      </c>
      <c r="S172" s="107">
        <f>+R172*(1+'Assumptions and Sensis'!$P$89)</f>
        <v>1.2936066304537963</v>
      </c>
      <c r="T172" s="107">
        <f>+S172*(1+'Assumptions and Sensis'!$P$89)</f>
        <v>1.3194787630628724</v>
      </c>
      <c r="U172" s="107">
        <f>+T172*(1+'Assumptions and Sensis'!$P$89)</f>
        <v>1.3458683383241299</v>
      </c>
      <c r="V172" s="107">
        <f>+U172*(1+'Assumptions and Sensis'!$P$89)</f>
        <v>1.3727857050906125</v>
      </c>
      <c r="W172" s="107">
        <f>+V172*(1+'Assumptions and Sensis'!$P$89)</f>
        <v>1.4002414191924248</v>
      </c>
      <c r="X172" s="107">
        <f>+W172*(1+'Assumptions and Sensis'!$P$89)</f>
        <v>1.4282462475762734</v>
      </c>
      <c r="Y172" s="107">
        <f>+X172*(1+'Assumptions and Sensis'!$P$89)</f>
        <v>1.4568111725277988</v>
      </c>
      <c r="Z172" s="107">
        <f>+Y172*(1+'Assumptions and Sensis'!$P$89)</f>
        <v>1.4859473959783549</v>
      </c>
    </row>
    <row r="173" spans="2:26" x14ac:dyDescent="0.2">
      <c r="B173" s="32" t="s">
        <v>304</v>
      </c>
      <c r="C173" s="32"/>
      <c r="D173" s="41"/>
      <c r="E173" s="41"/>
      <c r="F173" s="33">
        <f>+F171*F172</f>
        <v>0</v>
      </c>
      <c r="G173" s="33">
        <f t="shared" ref="G173:Z173" si="65">+G171*G172</f>
        <v>0</v>
      </c>
      <c r="H173" s="33">
        <f t="shared" si="65"/>
        <v>0</v>
      </c>
      <c r="I173" s="33">
        <f t="shared" si="65"/>
        <v>159.18119999999999</v>
      </c>
      <c r="J173" s="33">
        <f t="shared" si="65"/>
        <v>167.77698480000001</v>
      </c>
      <c r="K173" s="33">
        <f t="shared" si="65"/>
        <v>176.65292851200002</v>
      </c>
      <c r="L173" s="33">
        <f t="shared" si="65"/>
        <v>180.18598708224002</v>
      </c>
      <c r="M173" s="33">
        <f t="shared" si="65"/>
        <v>183.78970682388481</v>
      </c>
      <c r="N173" s="33">
        <f t="shared" si="65"/>
        <v>187.46550096036253</v>
      </c>
      <c r="O173" s="33">
        <f t="shared" si="65"/>
        <v>191.21481097956976</v>
      </c>
      <c r="P173" s="33">
        <f t="shared" si="65"/>
        <v>195.03910719916118</v>
      </c>
      <c r="Q173" s="33">
        <f t="shared" si="65"/>
        <v>198.93988934314439</v>
      </c>
      <c r="R173" s="33">
        <f t="shared" si="65"/>
        <v>202.91868713000727</v>
      </c>
      <c r="S173" s="33">
        <f t="shared" si="65"/>
        <v>206.97706087260741</v>
      </c>
      <c r="T173" s="33">
        <f t="shared" si="65"/>
        <v>211.11660209005959</v>
      </c>
      <c r="U173" s="33">
        <f t="shared" si="65"/>
        <v>215.33893413186078</v>
      </c>
      <c r="V173" s="33">
        <f t="shared" si="65"/>
        <v>219.64571281449798</v>
      </c>
      <c r="W173" s="33">
        <f t="shared" si="65"/>
        <v>224.03862707078798</v>
      </c>
      <c r="X173" s="33">
        <f t="shared" si="65"/>
        <v>228.51939961220376</v>
      </c>
      <c r="Y173" s="33">
        <f t="shared" si="65"/>
        <v>233.08978760444779</v>
      </c>
      <c r="Z173" s="33">
        <f t="shared" si="65"/>
        <v>237.7515833565368</v>
      </c>
    </row>
    <row r="174" spans="2:26" x14ac:dyDescent="0.2">
      <c r="B174" s="32"/>
    </row>
    <row r="175" spans="2:26" x14ac:dyDescent="0.2">
      <c r="B175" s="32" t="s">
        <v>153</v>
      </c>
      <c r="F175" s="107">
        <f>+IF(F2=1,'Assumptions and Sensis'!$H$146,IF(F2=2,'Assumptions and Sensis'!$H$148,IF(F2&gt;2,'Assumptions and Sensis'!$H$125,0)))</f>
        <v>0</v>
      </c>
      <c r="G175" s="107">
        <f>+IF(G2=1,'Assumptions and Sensis'!$H$146,IF(G2=2,'Assumptions and Sensis'!$H$148,IF(G2&gt;2,'Assumptions and Sensis'!$H$125,0)))</f>
        <v>0</v>
      </c>
      <c r="H175" s="107">
        <f>+IF(H2=1,'Assumptions and Sensis'!$H$146,IF(H2=2,'Assumptions and Sensis'!$H$148,IF(H2&gt;2,'Assumptions and Sensis'!$H$125,0)))</f>
        <v>0</v>
      </c>
      <c r="I175" s="107">
        <f>+IF(I2=1,'Assumptions and Sensis'!$H$146,IF(I2=2,'Assumptions and Sensis'!$H$148,IF(I2&gt;2,'Assumptions and Sensis'!$H$125,0)))</f>
        <v>0.65</v>
      </c>
      <c r="J175" s="107">
        <f>+IF(J2=1,'Assumptions and Sensis'!$H$146,IF(J2=2,'Assumptions and Sensis'!$H$148,IF(J2&gt;2,'Assumptions and Sensis'!$H$125,0)))</f>
        <v>0.7</v>
      </c>
      <c r="K175" s="107">
        <f>+IF(K2=1,'Assumptions and Sensis'!$H$146,IF(K2=2,'Assumptions and Sensis'!$H$148,IF(K2&gt;2,'Assumptions and Sensis'!$H$125,0)))</f>
        <v>0.7</v>
      </c>
      <c r="L175" s="107">
        <f>+IF(L2=1,'Assumptions and Sensis'!$H$146,IF(L2=2,'Assumptions and Sensis'!$H$148,IF(L2&gt;2,'Assumptions and Sensis'!$H$125,0)))</f>
        <v>0.7</v>
      </c>
      <c r="M175" s="107">
        <f>+IF(M2=1,'Assumptions and Sensis'!$H$146,IF(M2=2,'Assumptions and Sensis'!$H$148,IF(M2&gt;2,'Assumptions and Sensis'!$H$125,0)))</f>
        <v>0.7</v>
      </c>
      <c r="N175" s="107">
        <f>+IF(N2=1,'Assumptions and Sensis'!$H$146,IF(N2=2,'Assumptions and Sensis'!$H$148,IF(N2&gt;2,'Assumptions and Sensis'!$H$125,0)))</f>
        <v>0.7</v>
      </c>
      <c r="O175" s="107">
        <f>+IF(O2=1,'Assumptions and Sensis'!$H$146,IF(O2=2,'Assumptions and Sensis'!$H$148,IF(O2&gt;2,'Assumptions and Sensis'!$H$125,0)))</f>
        <v>0.7</v>
      </c>
      <c r="P175" s="107">
        <f>+IF(P2=1,'Assumptions and Sensis'!$H$146,IF(P2=2,'Assumptions and Sensis'!$H$148,IF(P2&gt;2,'Assumptions and Sensis'!$H$125,0)))</f>
        <v>0.7</v>
      </c>
      <c r="Q175" s="107">
        <f>+IF(Q2=1,'Assumptions and Sensis'!$H$146,IF(Q2=2,'Assumptions and Sensis'!$H$148,IF(Q2&gt;2,'Assumptions and Sensis'!$H$125,0)))</f>
        <v>0.7</v>
      </c>
      <c r="R175" s="107">
        <f>+IF(R2=1,'Assumptions and Sensis'!$H$146,IF(R2=2,'Assumptions and Sensis'!$H$148,IF(R2&gt;2,'Assumptions and Sensis'!$H$125,0)))</f>
        <v>0.7</v>
      </c>
      <c r="S175" s="107">
        <f>+IF(S2=1,'Assumptions and Sensis'!$H$146,IF(S2=2,'Assumptions and Sensis'!$H$148,IF(S2&gt;2,'Assumptions and Sensis'!$H$125,0)))</f>
        <v>0.7</v>
      </c>
      <c r="T175" s="107">
        <f>+IF(T2=1,'Assumptions and Sensis'!$H$146,IF(T2=2,'Assumptions and Sensis'!$H$148,IF(T2&gt;2,'Assumptions and Sensis'!$H$125,0)))</f>
        <v>0.7</v>
      </c>
      <c r="U175" s="107">
        <f>+IF(U2=1,'Assumptions and Sensis'!$H$146,IF(U2=2,'Assumptions and Sensis'!$H$148,IF(U2&gt;2,'Assumptions and Sensis'!$H$125,0)))</f>
        <v>0.7</v>
      </c>
      <c r="V175" s="107">
        <f>+IF(V2=1,'Assumptions and Sensis'!$H$146,IF(V2=2,'Assumptions and Sensis'!$H$148,IF(V2&gt;2,'Assumptions and Sensis'!$H$125,0)))</f>
        <v>0.7</v>
      </c>
      <c r="W175" s="107">
        <f>+IF(W2=1,'Assumptions and Sensis'!$H$146,IF(W2=2,'Assumptions and Sensis'!$H$148,IF(W2&gt;2,'Assumptions and Sensis'!$H$125,0)))</f>
        <v>0.7</v>
      </c>
      <c r="X175" s="107">
        <f>+IF(X2=1,'Assumptions and Sensis'!$H$146,IF(X2=2,'Assumptions and Sensis'!$H$148,IF(X2&gt;2,'Assumptions and Sensis'!$H$125,0)))</f>
        <v>0.7</v>
      </c>
      <c r="Y175" s="107">
        <f>+IF(Y2=1,'Assumptions and Sensis'!$H$146,IF(Y2=2,'Assumptions and Sensis'!$H$148,IF(Y2&gt;2,'Assumptions and Sensis'!$H$125,0)))</f>
        <v>0.7</v>
      </c>
      <c r="Z175" s="107">
        <f>+IF(Z2=1,'Assumptions and Sensis'!$H$146,IF(Z2=2,'Assumptions and Sensis'!$H$148,IF(Z2&gt;2,'Assumptions and Sensis'!$H$125,0)))</f>
        <v>0.7</v>
      </c>
    </row>
    <row r="176" spans="2:26" x14ac:dyDescent="0.2">
      <c r="B176" s="32" t="s">
        <v>152</v>
      </c>
      <c r="F176" s="33">
        <f>+F173*F175</f>
        <v>0</v>
      </c>
      <c r="G176" s="33">
        <f t="shared" ref="G176:Z176" si="66">+G173*G175</f>
        <v>0</v>
      </c>
      <c r="H176" s="33">
        <f t="shared" si="66"/>
        <v>0</v>
      </c>
      <c r="I176" s="33">
        <f t="shared" si="66"/>
        <v>103.46777999999999</v>
      </c>
      <c r="J176" s="33">
        <f t="shared" si="66"/>
        <v>117.44388936</v>
      </c>
      <c r="K176" s="33">
        <f t="shared" si="66"/>
        <v>123.65704995840001</v>
      </c>
      <c r="L176" s="33">
        <f t="shared" si="66"/>
        <v>126.130190957568</v>
      </c>
      <c r="M176" s="33">
        <f t="shared" si="66"/>
        <v>128.65279477671936</v>
      </c>
      <c r="N176" s="33">
        <f t="shared" si="66"/>
        <v>131.22585067225376</v>
      </c>
      <c r="O176" s="33">
        <f t="shared" si="66"/>
        <v>133.85036768569881</v>
      </c>
      <c r="P176" s="33">
        <f t="shared" si="66"/>
        <v>136.52737503941282</v>
      </c>
      <c r="Q176" s="33">
        <f t="shared" si="66"/>
        <v>139.25792254020106</v>
      </c>
      <c r="R176" s="33">
        <f t="shared" si="66"/>
        <v>142.04308099100507</v>
      </c>
      <c r="S176" s="33">
        <f t="shared" si="66"/>
        <v>144.88394261082519</v>
      </c>
      <c r="T176" s="33">
        <f t="shared" si="66"/>
        <v>147.78162146304169</v>
      </c>
      <c r="U176" s="33">
        <f t="shared" si="66"/>
        <v>150.73725389230253</v>
      </c>
      <c r="V176" s="33">
        <f t="shared" si="66"/>
        <v>153.75199897014858</v>
      </c>
      <c r="W176" s="33">
        <f t="shared" si="66"/>
        <v>156.82703894955156</v>
      </c>
      <c r="X176" s="33">
        <f t="shared" si="66"/>
        <v>159.96357972854261</v>
      </c>
      <c r="Y176" s="33">
        <f t="shared" si="66"/>
        <v>163.16285132311344</v>
      </c>
      <c r="Z176" s="33">
        <f t="shared" si="66"/>
        <v>166.42610834957574</v>
      </c>
    </row>
    <row r="177" spans="2:26" x14ac:dyDescent="0.2">
      <c r="B177" s="136" t="s">
        <v>302</v>
      </c>
      <c r="C177" s="136"/>
      <c r="D177" s="136"/>
      <c r="E177" s="136"/>
      <c r="F177" s="128">
        <f>+F176*365.25*F168</f>
        <v>0</v>
      </c>
      <c r="G177" s="128">
        <f t="shared" ref="G177:Z177" si="67">+G176*365.25*G168</f>
        <v>0</v>
      </c>
      <c r="H177" s="128">
        <f t="shared" si="67"/>
        <v>0</v>
      </c>
      <c r="I177" s="128">
        <f t="shared" si="67"/>
        <v>704391.87756178796</v>
      </c>
      <c r="J177" s="128">
        <f t="shared" si="67"/>
        <v>1599077.9300464222</v>
      </c>
      <c r="K177" s="128">
        <f t="shared" si="67"/>
        <v>1683674.3108617815</v>
      </c>
      <c r="L177" s="128">
        <f t="shared" si="67"/>
        <v>1717347.7970790169</v>
      </c>
      <c r="M177" s="128">
        <f t="shared" si="67"/>
        <v>1751694.7530205972</v>
      </c>
      <c r="N177" s="128">
        <f t="shared" si="67"/>
        <v>1786728.6480810093</v>
      </c>
      <c r="O177" s="128">
        <f t="shared" si="67"/>
        <v>1822463.2210426291</v>
      </c>
      <c r="P177" s="128">
        <f t="shared" si="67"/>
        <v>1858912.4854634823</v>
      </c>
      <c r="Q177" s="128">
        <f t="shared" si="67"/>
        <v>1896090.7351727518</v>
      </c>
      <c r="R177" s="128">
        <f t="shared" si="67"/>
        <v>1934012.5498762063</v>
      </c>
      <c r="S177" s="128">
        <f t="shared" si="67"/>
        <v>1972692.8008737308</v>
      </c>
      <c r="T177" s="128">
        <f t="shared" si="67"/>
        <v>2012146.6568912056</v>
      </c>
      <c r="U177" s="128">
        <f t="shared" si="67"/>
        <v>2052389.5900290296</v>
      </c>
      <c r="V177" s="128">
        <f t="shared" si="67"/>
        <v>2093437.3818296103</v>
      </c>
      <c r="W177" s="128">
        <f t="shared" si="67"/>
        <v>2135306.1294662026</v>
      </c>
      <c r="X177" s="128">
        <f t="shared" si="67"/>
        <v>2178012.2520555267</v>
      </c>
      <c r="Y177" s="128">
        <f t="shared" si="67"/>
        <v>2221572.4970966368</v>
      </c>
      <c r="Z177" s="128">
        <f t="shared" si="67"/>
        <v>2266003.9470385704</v>
      </c>
    </row>
    <row r="179" spans="2:26" x14ac:dyDescent="0.2">
      <c r="B179" s="32" t="s">
        <v>308</v>
      </c>
      <c r="F179" s="33">
        <f>+'Assumptions and Sensis'!$H$137*'Phase III Pro Forma'!F172*'Phase III Pro Forma'!F169</f>
        <v>0</v>
      </c>
      <c r="G179" s="33">
        <f>+'Assumptions and Sensis'!$H$137*'Phase III Pro Forma'!G172*'Phase III Pro Forma'!G169</f>
        <v>0</v>
      </c>
      <c r="H179" s="33">
        <f>+'Assumptions and Sensis'!$H$137*'Phase III Pro Forma'!H172*'Phase III Pro Forma'!H169</f>
        <v>0</v>
      </c>
      <c r="I179" s="33">
        <f>+'Assumptions and Sensis'!$H$137*'Phase III Pro Forma'!I172*'Phase III Pro Forma'!I169</f>
        <v>202252.28371262879</v>
      </c>
      <c r="J179" s="33">
        <f>+'Assumptions and Sensis'!$H$137*'Phase III Pro Forma'!J172*'Phase III Pro Forma'!J169</f>
        <v>412594.65877376276</v>
      </c>
      <c r="K179" s="33">
        <f>+'Assumptions and Sensis'!$H$137*'Phase III Pro Forma'!K172*'Phase III Pro Forma'!K169</f>
        <v>420846.55194923806</v>
      </c>
      <c r="L179" s="33">
        <f>+'Assumptions and Sensis'!$H$137*'Phase III Pro Forma'!L172*'Phase III Pro Forma'!L169</f>
        <v>429263.48298822279</v>
      </c>
      <c r="M179" s="33">
        <f>+'Assumptions and Sensis'!$H$137*'Phase III Pro Forma'!M172*'Phase III Pro Forma'!M169</f>
        <v>437848.75264798728</v>
      </c>
      <c r="N179" s="33">
        <f>+'Assumptions and Sensis'!$H$137*'Phase III Pro Forma'!N172*'Phase III Pro Forma'!N169</f>
        <v>446605.72770094703</v>
      </c>
      <c r="O179" s="33">
        <f>+'Assumptions and Sensis'!$H$137*'Phase III Pro Forma'!O172*'Phase III Pro Forma'!O169</f>
        <v>455537.84225496597</v>
      </c>
      <c r="P179" s="33">
        <f>+'Assumptions and Sensis'!$H$137*'Phase III Pro Forma'!P172*'Phase III Pro Forma'!P169</f>
        <v>464648.5991000653</v>
      </c>
      <c r="Q179" s="33">
        <f>+'Assumptions and Sensis'!$H$137*'Phase III Pro Forma'!Q172*'Phase III Pro Forma'!Q169</f>
        <v>473941.57108206663</v>
      </c>
      <c r="R179" s="33">
        <f>+'Assumptions and Sensis'!$H$137*'Phase III Pro Forma'!R172*'Phase III Pro Forma'!R169</f>
        <v>483420.40250370791</v>
      </c>
      <c r="S179" s="33">
        <f>+'Assumptions and Sensis'!$H$137*'Phase III Pro Forma'!S172*'Phase III Pro Forma'!S169</f>
        <v>493088.8105537821</v>
      </c>
      <c r="T179" s="33">
        <f>+'Assumptions and Sensis'!$H$137*'Phase III Pro Forma'!T172*'Phase III Pro Forma'!T169</f>
        <v>502950.58676485776</v>
      </c>
      <c r="U179" s="33">
        <f>+'Assumptions and Sensis'!$H$137*'Phase III Pro Forma'!U172*'Phase III Pro Forma'!U169</f>
        <v>513009.59850015491</v>
      </c>
      <c r="V179" s="33">
        <f>+'Assumptions and Sensis'!$H$137*'Phase III Pro Forma'!V172*'Phase III Pro Forma'!V169</f>
        <v>523269.79047015804</v>
      </c>
      <c r="W179" s="33">
        <f>+'Assumptions and Sensis'!$H$137*'Phase III Pro Forma'!W172*'Phase III Pro Forma'!W169</f>
        <v>533735.18627956125</v>
      </c>
      <c r="X179" s="33">
        <f>+'Assumptions and Sensis'!$H$137*'Phase III Pro Forma'!X172*'Phase III Pro Forma'!X169</f>
        <v>544409.89000515244</v>
      </c>
      <c r="Y179" s="33">
        <f>+'Assumptions and Sensis'!$H$137*'Phase III Pro Forma'!Y172*'Phase III Pro Forma'!Y169</f>
        <v>555298.08780525555</v>
      </c>
      <c r="Z179" s="33">
        <f>+'Assumptions and Sensis'!$H$137*'Phase III Pro Forma'!Z172*'Phase III Pro Forma'!Z169</f>
        <v>566404.04956136062</v>
      </c>
    </row>
    <row r="180" spans="2:26" x14ac:dyDescent="0.2">
      <c r="B180" s="136" t="s">
        <v>311</v>
      </c>
      <c r="C180" s="136"/>
      <c r="D180" s="136"/>
      <c r="E180" s="136"/>
      <c r="F180" s="128">
        <f>+F177+F179</f>
        <v>0</v>
      </c>
      <c r="G180" s="128">
        <f t="shared" ref="G180:Z180" si="68">+G177+G179</f>
        <v>0</v>
      </c>
      <c r="H180" s="128">
        <f t="shared" si="68"/>
        <v>0</v>
      </c>
      <c r="I180" s="128">
        <f t="shared" si="68"/>
        <v>906644.16127441672</v>
      </c>
      <c r="J180" s="128">
        <f t="shared" si="68"/>
        <v>2011672.588820185</v>
      </c>
      <c r="K180" s="128">
        <f t="shared" si="68"/>
        <v>2104520.8628110196</v>
      </c>
      <c r="L180" s="128">
        <f t="shared" si="68"/>
        <v>2146611.2800672399</v>
      </c>
      <c r="M180" s="128">
        <f t="shared" si="68"/>
        <v>2189543.5056685843</v>
      </c>
      <c r="N180" s="128">
        <f t="shared" si="68"/>
        <v>2233334.3757819561</v>
      </c>
      <c r="O180" s="128">
        <f t="shared" si="68"/>
        <v>2278001.0632975949</v>
      </c>
      <c r="P180" s="128">
        <f t="shared" si="68"/>
        <v>2323561.0845635477</v>
      </c>
      <c r="Q180" s="128">
        <f t="shared" si="68"/>
        <v>2370032.3062548186</v>
      </c>
      <c r="R180" s="128">
        <f t="shared" si="68"/>
        <v>2417432.952379914</v>
      </c>
      <c r="S180" s="128">
        <f t="shared" si="68"/>
        <v>2465781.611427513</v>
      </c>
      <c r="T180" s="128">
        <f t="shared" si="68"/>
        <v>2515097.2436560635</v>
      </c>
      <c r="U180" s="128">
        <f t="shared" si="68"/>
        <v>2565399.1885291846</v>
      </c>
      <c r="V180" s="128">
        <f t="shared" si="68"/>
        <v>2616707.1722997683</v>
      </c>
      <c r="W180" s="128">
        <f t="shared" si="68"/>
        <v>2669041.3157457639</v>
      </c>
      <c r="X180" s="128">
        <f t="shared" si="68"/>
        <v>2722422.1420606794</v>
      </c>
      <c r="Y180" s="128">
        <f t="shared" si="68"/>
        <v>2776870.5849018926</v>
      </c>
      <c r="Z180" s="128">
        <f t="shared" si="68"/>
        <v>2832407.9965999313</v>
      </c>
    </row>
    <row r="181" spans="2:26" x14ac:dyDescent="0.2">
      <c r="B181" s="32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 spans="2:26" x14ac:dyDescent="0.2">
      <c r="B182" s="32" t="s">
        <v>309</v>
      </c>
      <c r="F182" s="41">
        <f>+'Assumptions and Sensis'!$H$144*'Phase III Pro Forma'!F172*'Phase III Pro Forma'!F169</f>
        <v>0</v>
      </c>
      <c r="G182" s="41">
        <f>+'Assumptions and Sensis'!$H$144*'Phase III Pro Forma'!G172*'Phase III Pro Forma'!G169</f>
        <v>0</v>
      </c>
      <c r="H182" s="41">
        <f>+'Assumptions and Sensis'!$H$144*'Phase III Pro Forma'!H172*'Phase III Pro Forma'!H169</f>
        <v>0</v>
      </c>
      <c r="I182" s="41">
        <f>+'Assumptions and Sensis'!$H$144*'Phase III Pro Forma'!I172*'Phase III Pro Forma'!I169</f>
        <v>0</v>
      </c>
      <c r="J182" s="41">
        <f>+'Assumptions and Sensis'!$H$144*'Phase III Pro Forma'!J172*'Phase III Pro Forma'!J169</f>
        <v>0</v>
      </c>
      <c r="K182" s="41">
        <f>+'Assumptions and Sensis'!$H$144*'Phase III Pro Forma'!K172*'Phase III Pro Forma'!K169</f>
        <v>0</v>
      </c>
      <c r="L182" s="41">
        <f>+'Assumptions and Sensis'!$H$144*'Phase III Pro Forma'!L172*'Phase III Pro Forma'!L169</f>
        <v>0</v>
      </c>
      <c r="M182" s="41">
        <f>+'Assumptions and Sensis'!$H$144*'Phase III Pro Forma'!M172*'Phase III Pro Forma'!M169</f>
        <v>0</v>
      </c>
      <c r="N182" s="41">
        <f>+'Assumptions and Sensis'!$H$144*'Phase III Pro Forma'!N172*'Phase III Pro Forma'!N169</f>
        <v>0</v>
      </c>
      <c r="O182" s="41">
        <f>+'Assumptions and Sensis'!$H$144*'Phase III Pro Forma'!O172*'Phase III Pro Forma'!O169</f>
        <v>0</v>
      </c>
      <c r="P182" s="41">
        <f>+'Assumptions and Sensis'!$H$144*'Phase III Pro Forma'!P172*'Phase III Pro Forma'!P169</f>
        <v>0</v>
      </c>
      <c r="Q182" s="41">
        <f>+'Assumptions and Sensis'!$H$144*'Phase III Pro Forma'!Q172*'Phase III Pro Forma'!Q169</f>
        <v>0</v>
      </c>
      <c r="R182" s="41">
        <f>+'Assumptions and Sensis'!$H$144*'Phase III Pro Forma'!R172*'Phase III Pro Forma'!R169</f>
        <v>0</v>
      </c>
      <c r="S182" s="41">
        <f>+'Assumptions and Sensis'!$H$144*'Phase III Pro Forma'!S172*'Phase III Pro Forma'!S169</f>
        <v>0</v>
      </c>
      <c r="T182" s="41">
        <f>+'Assumptions and Sensis'!$H$144*'Phase III Pro Forma'!T172*'Phase III Pro Forma'!T169</f>
        <v>0</v>
      </c>
      <c r="U182" s="41">
        <f>+'Assumptions and Sensis'!$H$144*'Phase III Pro Forma'!U172*'Phase III Pro Forma'!U169</f>
        <v>0</v>
      </c>
      <c r="V182" s="41">
        <f>+'Assumptions and Sensis'!$H$144*'Phase III Pro Forma'!V172*'Phase III Pro Forma'!V169</f>
        <v>0</v>
      </c>
      <c r="W182" s="41">
        <f>+'Assumptions and Sensis'!$H$144*'Phase III Pro Forma'!W172*'Phase III Pro Forma'!W169</f>
        <v>0</v>
      </c>
      <c r="X182" s="41">
        <f>+'Assumptions and Sensis'!$H$144*'Phase III Pro Forma'!X172*'Phase III Pro Forma'!X169</f>
        <v>0</v>
      </c>
      <c r="Y182" s="41">
        <f>+'Assumptions and Sensis'!$H$144*'Phase III Pro Forma'!Y172*'Phase III Pro Forma'!Y169</f>
        <v>0</v>
      </c>
      <c r="Z182" s="41">
        <f>+'Assumptions and Sensis'!$H$144*'Phase III Pro Forma'!Z172*'Phase III Pro Forma'!Z169</f>
        <v>0</v>
      </c>
    </row>
    <row r="183" spans="2:26" s="156" customFormat="1" x14ac:dyDescent="0.2">
      <c r="B183" s="136" t="s">
        <v>772</v>
      </c>
      <c r="C183" s="136"/>
      <c r="D183" s="136"/>
      <c r="E183" s="136"/>
      <c r="F183" s="128">
        <f>+F180+F182</f>
        <v>0</v>
      </c>
      <c r="G183" s="128">
        <f t="shared" ref="G183:Z183" si="69">+G180+G182</f>
        <v>0</v>
      </c>
      <c r="H183" s="128">
        <f t="shared" si="69"/>
        <v>0</v>
      </c>
      <c r="I183" s="128">
        <f t="shared" si="69"/>
        <v>906644.16127441672</v>
      </c>
      <c r="J183" s="128">
        <f t="shared" si="69"/>
        <v>2011672.588820185</v>
      </c>
      <c r="K183" s="128">
        <f t="shared" si="69"/>
        <v>2104520.8628110196</v>
      </c>
      <c r="L183" s="128">
        <f t="shared" si="69"/>
        <v>2146611.2800672399</v>
      </c>
      <c r="M183" s="128">
        <f t="shared" si="69"/>
        <v>2189543.5056685843</v>
      </c>
      <c r="N183" s="128">
        <f t="shared" si="69"/>
        <v>2233334.3757819561</v>
      </c>
      <c r="O183" s="128">
        <f t="shared" si="69"/>
        <v>2278001.0632975949</v>
      </c>
      <c r="P183" s="128">
        <f t="shared" si="69"/>
        <v>2323561.0845635477</v>
      </c>
      <c r="Q183" s="128">
        <f t="shared" si="69"/>
        <v>2370032.3062548186</v>
      </c>
      <c r="R183" s="128">
        <f t="shared" si="69"/>
        <v>2417432.952379914</v>
      </c>
      <c r="S183" s="128">
        <f t="shared" si="69"/>
        <v>2465781.611427513</v>
      </c>
      <c r="T183" s="128">
        <f t="shared" si="69"/>
        <v>2515097.2436560635</v>
      </c>
      <c r="U183" s="128">
        <f t="shared" si="69"/>
        <v>2565399.1885291846</v>
      </c>
      <c r="V183" s="128">
        <f t="shared" si="69"/>
        <v>2616707.1722997683</v>
      </c>
      <c r="W183" s="128">
        <f t="shared" si="69"/>
        <v>2669041.3157457639</v>
      </c>
      <c r="X183" s="128">
        <f t="shared" si="69"/>
        <v>2722422.1420606794</v>
      </c>
      <c r="Y183" s="128">
        <f t="shared" si="69"/>
        <v>2776870.5849018926</v>
      </c>
      <c r="Z183" s="128">
        <f t="shared" si="69"/>
        <v>2832407.9965999313</v>
      </c>
    </row>
    <row r="185" spans="2:26" x14ac:dyDescent="0.2">
      <c r="B185" s="154" t="s">
        <v>144</v>
      </c>
    </row>
    <row r="186" spans="2:26" x14ac:dyDescent="0.2">
      <c r="B186" s="63" t="s">
        <v>280</v>
      </c>
      <c r="D186" s="114">
        <f>+'Assumptions and Sensis'!M125</f>
        <v>0.25</v>
      </c>
      <c r="E186" s="114"/>
      <c r="F186" s="33">
        <f>F$177*$D186</f>
        <v>0</v>
      </c>
      <c r="G186" s="33">
        <f t="shared" ref="G186:Z186" si="70">G$177*$D186</f>
        <v>0</v>
      </c>
      <c r="H186" s="33">
        <f t="shared" si="70"/>
        <v>0</v>
      </c>
      <c r="I186" s="33">
        <f t="shared" si="70"/>
        <v>176097.96939044699</v>
      </c>
      <c r="J186" s="33">
        <f t="shared" si="70"/>
        <v>399769.48251160554</v>
      </c>
      <c r="K186" s="33">
        <f t="shared" si="70"/>
        <v>420918.57771544537</v>
      </c>
      <c r="L186" s="33">
        <f t="shared" si="70"/>
        <v>429336.94926975423</v>
      </c>
      <c r="M186" s="33">
        <f t="shared" si="70"/>
        <v>437923.68825514929</v>
      </c>
      <c r="N186" s="33">
        <f t="shared" si="70"/>
        <v>446682.16202025232</v>
      </c>
      <c r="O186" s="33">
        <f t="shared" si="70"/>
        <v>455615.80526065727</v>
      </c>
      <c r="P186" s="33">
        <f t="shared" si="70"/>
        <v>464728.12136587058</v>
      </c>
      <c r="Q186" s="33">
        <f t="shared" si="70"/>
        <v>474022.68379318796</v>
      </c>
      <c r="R186" s="33">
        <f t="shared" si="70"/>
        <v>483503.13746905158</v>
      </c>
      <c r="S186" s="33">
        <f t="shared" si="70"/>
        <v>493173.2002184327</v>
      </c>
      <c r="T186" s="33">
        <f t="shared" si="70"/>
        <v>503036.6642228014</v>
      </c>
      <c r="U186" s="33">
        <f t="shared" si="70"/>
        <v>513097.39750725741</v>
      </c>
      <c r="V186" s="33">
        <f t="shared" si="70"/>
        <v>523359.34545740258</v>
      </c>
      <c r="W186" s="33">
        <f t="shared" si="70"/>
        <v>533826.53236655064</v>
      </c>
      <c r="X186" s="33">
        <f t="shared" si="70"/>
        <v>544503.06301388168</v>
      </c>
      <c r="Y186" s="33">
        <f t="shared" si="70"/>
        <v>555393.1242741592</v>
      </c>
      <c r="Z186" s="33">
        <f t="shared" si="70"/>
        <v>566500.9867596426</v>
      </c>
    </row>
    <row r="187" spans="2:26" x14ac:dyDescent="0.2">
      <c r="B187" s="63" t="s">
        <v>307</v>
      </c>
      <c r="D187" s="114">
        <f>+'Assumptions and Sensis'!M126</f>
        <v>0.7</v>
      </c>
      <c r="E187" s="114"/>
      <c r="F187" s="41">
        <f>F$179*$D187</f>
        <v>0</v>
      </c>
      <c r="G187" s="41">
        <f t="shared" ref="G187:Z187" si="71">G$179*$D187</f>
        <v>0</v>
      </c>
      <c r="H187" s="41">
        <f t="shared" si="71"/>
        <v>0</v>
      </c>
      <c r="I187" s="41">
        <f t="shared" si="71"/>
        <v>141576.59859884015</v>
      </c>
      <c r="J187" s="41">
        <f t="shared" si="71"/>
        <v>288816.26114163391</v>
      </c>
      <c r="K187" s="41">
        <f t="shared" si="71"/>
        <v>294592.58636446664</v>
      </c>
      <c r="L187" s="41">
        <f t="shared" si="71"/>
        <v>300484.43809175596</v>
      </c>
      <c r="M187" s="41">
        <f t="shared" si="71"/>
        <v>306494.12685359106</v>
      </c>
      <c r="N187" s="41">
        <f t="shared" si="71"/>
        <v>312624.00939066289</v>
      </c>
      <c r="O187" s="41">
        <f t="shared" si="71"/>
        <v>318876.48957847618</v>
      </c>
      <c r="P187" s="41">
        <f t="shared" si="71"/>
        <v>325254.01937004569</v>
      </c>
      <c r="Q187" s="41">
        <f t="shared" si="71"/>
        <v>331759.09975744662</v>
      </c>
      <c r="R187" s="41">
        <f t="shared" si="71"/>
        <v>338394.2817525955</v>
      </c>
      <c r="S187" s="41">
        <f t="shared" si="71"/>
        <v>345162.16738764744</v>
      </c>
      <c r="T187" s="41">
        <f t="shared" si="71"/>
        <v>352065.41073540039</v>
      </c>
      <c r="U187" s="41">
        <f t="shared" si="71"/>
        <v>359106.71895010839</v>
      </c>
      <c r="V187" s="41">
        <f t="shared" si="71"/>
        <v>366288.8533291106</v>
      </c>
      <c r="W187" s="41">
        <f t="shared" si="71"/>
        <v>373614.63039569283</v>
      </c>
      <c r="X187" s="41">
        <f t="shared" si="71"/>
        <v>381086.92300360667</v>
      </c>
      <c r="Y187" s="41">
        <f t="shared" si="71"/>
        <v>388708.66146367887</v>
      </c>
      <c r="Z187" s="41">
        <f t="shared" si="71"/>
        <v>396482.8346929524</v>
      </c>
    </row>
    <row r="188" spans="2:26" x14ac:dyDescent="0.2">
      <c r="B188" s="154" t="s">
        <v>281</v>
      </c>
    </row>
    <row r="189" spans="2:26" x14ac:dyDescent="0.2">
      <c r="B189" s="63" t="s">
        <v>282</v>
      </c>
      <c r="D189" s="114">
        <f>+'Assumptions and Sensis'!M128</f>
        <v>0.08</v>
      </c>
      <c r="E189" s="114"/>
      <c r="F189" s="41">
        <f>F$180*$D189</f>
        <v>0</v>
      </c>
      <c r="G189" s="41">
        <f t="shared" ref="G189:V197" si="72">G$180*$D189</f>
        <v>0</v>
      </c>
      <c r="H189" s="41">
        <f t="shared" si="72"/>
        <v>0</v>
      </c>
      <c r="I189" s="41">
        <f t="shared" si="72"/>
        <v>72531.532901953338</v>
      </c>
      <c r="J189" s="41">
        <f t="shared" si="72"/>
        <v>160933.8071056148</v>
      </c>
      <c r="K189" s="41">
        <f t="shared" si="72"/>
        <v>168361.66902488159</v>
      </c>
      <c r="L189" s="41">
        <f t="shared" si="72"/>
        <v>171728.90240537919</v>
      </c>
      <c r="M189" s="41">
        <f t="shared" si="72"/>
        <v>175163.48045348676</v>
      </c>
      <c r="N189" s="41">
        <f t="shared" si="72"/>
        <v>178666.7500625565</v>
      </c>
      <c r="O189" s="41">
        <f t="shared" si="72"/>
        <v>182240.08506380761</v>
      </c>
      <c r="P189" s="41">
        <f t="shared" si="72"/>
        <v>185884.88676508382</v>
      </c>
      <c r="Q189" s="41">
        <f t="shared" si="72"/>
        <v>189602.58450038548</v>
      </c>
      <c r="R189" s="41">
        <f t="shared" si="72"/>
        <v>193394.63619039312</v>
      </c>
      <c r="S189" s="41">
        <f t="shared" si="72"/>
        <v>197262.52891420104</v>
      </c>
      <c r="T189" s="41">
        <f t="shared" si="72"/>
        <v>201207.77949248508</v>
      </c>
      <c r="U189" s="41">
        <f t="shared" si="72"/>
        <v>205231.93508233476</v>
      </c>
      <c r="V189" s="41">
        <f t="shared" si="72"/>
        <v>209336.57378398147</v>
      </c>
      <c r="W189" s="41">
        <f t="shared" ref="W189:Z197" si="73">W$180*$D189</f>
        <v>213523.30525966111</v>
      </c>
      <c r="X189" s="41">
        <f t="shared" si="73"/>
        <v>217793.77136485436</v>
      </c>
      <c r="Y189" s="41">
        <f t="shared" si="73"/>
        <v>222149.64679215141</v>
      </c>
      <c r="Z189" s="41">
        <f t="shared" si="73"/>
        <v>226592.63972799451</v>
      </c>
    </row>
    <row r="190" spans="2:26" x14ac:dyDescent="0.2">
      <c r="B190" s="63" t="s">
        <v>283</v>
      </c>
      <c r="D190" s="114">
        <f>+'Assumptions and Sensis'!M129</f>
        <v>0.01</v>
      </c>
      <c r="E190" s="114"/>
      <c r="F190" s="41">
        <f t="shared" ref="F190:F197" si="74">F$180*$D190</f>
        <v>0</v>
      </c>
      <c r="G190" s="41">
        <f t="shared" si="72"/>
        <v>0</v>
      </c>
      <c r="H190" s="41">
        <f t="shared" si="72"/>
        <v>0</v>
      </c>
      <c r="I190" s="41">
        <f t="shared" si="72"/>
        <v>9066.4416127441673</v>
      </c>
      <c r="J190" s="41">
        <f t="shared" si="72"/>
        <v>20116.72588820185</v>
      </c>
      <c r="K190" s="41">
        <f t="shared" si="72"/>
        <v>21045.208628110198</v>
      </c>
      <c r="L190" s="41">
        <f t="shared" si="72"/>
        <v>21466.112800672399</v>
      </c>
      <c r="M190" s="41">
        <f t="shared" si="72"/>
        <v>21895.435056685845</v>
      </c>
      <c r="N190" s="41">
        <f t="shared" si="72"/>
        <v>22333.343757819563</v>
      </c>
      <c r="O190" s="41">
        <f t="shared" si="72"/>
        <v>22780.010632975951</v>
      </c>
      <c r="P190" s="41">
        <f t="shared" si="72"/>
        <v>23235.610845635478</v>
      </c>
      <c r="Q190" s="41">
        <f t="shared" si="72"/>
        <v>23700.323062548185</v>
      </c>
      <c r="R190" s="41">
        <f t="shared" si="72"/>
        <v>24174.329523799141</v>
      </c>
      <c r="S190" s="41">
        <f t="shared" si="72"/>
        <v>24657.816114275131</v>
      </c>
      <c r="T190" s="41">
        <f t="shared" si="72"/>
        <v>25150.972436560634</v>
      </c>
      <c r="U190" s="41">
        <f t="shared" si="72"/>
        <v>25653.991885291845</v>
      </c>
      <c r="V190" s="41">
        <f t="shared" si="72"/>
        <v>26167.071722997684</v>
      </c>
      <c r="W190" s="41">
        <f t="shared" si="73"/>
        <v>26690.413157457639</v>
      </c>
      <c r="X190" s="41">
        <f t="shared" si="73"/>
        <v>27224.221420606795</v>
      </c>
      <c r="Y190" s="41">
        <f t="shared" si="73"/>
        <v>27768.705849018927</v>
      </c>
      <c r="Z190" s="41">
        <f t="shared" si="73"/>
        <v>28324.079965999314</v>
      </c>
    </row>
    <row r="191" spans="2:26" x14ac:dyDescent="0.2">
      <c r="B191" s="63" t="s">
        <v>73</v>
      </c>
      <c r="D191" s="114">
        <f>+'Assumptions and Sensis'!M130</f>
        <v>6.5000000000000002E-2</v>
      </c>
      <c r="E191" s="114"/>
      <c r="F191" s="41">
        <f t="shared" si="74"/>
        <v>0</v>
      </c>
      <c r="G191" s="41">
        <f t="shared" si="72"/>
        <v>0</v>
      </c>
      <c r="H191" s="41">
        <f t="shared" si="72"/>
        <v>0</v>
      </c>
      <c r="I191" s="41">
        <f t="shared" si="72"/>
        <v>58931.87048283709</v>
      </c>
      <c r="J191" s="41">
        <f t="shared" si="72"/>
        <v>130758.71827331203</v>
      </c>
      <c r="K191" s="41">
        <f t="shared" si="72"/>
        <v>136793.85608271629</v>
      </c>
      <c r="L191" s="41">
        <f t="shared" si="72"/>
        <v>139529.7332043706</v>
      </c>
      <c r="M191" s="41">
        <f t="shared" si="72"/>
        <v>142320.32786845797</v>
      </c>
      <c r="N191" s="41">
        <f t="shared" si="72"/>
        <v>145166.73442582716</v>
      </c>
      <c r="O191" s="41">
        <f t="shared" si="72"/>
        <v>148070.06911434367</v>
      </c>
      <c r="P191" s="41">
        <f t="shared" si="72"/>
        <v>151031.47049663062</v>
      </c>
      <c r="Q191" s="41">
        <f t="shared" si="72"/>
        <v>154052.09990656321</v>
      </c>
      <c r="R191" s="41">
        <f t="shared" si="72"/>
        <v>157133.14190469441</v>
      </c>
      <c r="S191" s="41">
        <f t="shared" si="72"/>
        <v>160275.80474278834</v>
      </c>
      <c r="T191" s="41">
        <f t="shared" si="72"/>
        <v>163481.32083764413</v>
      </c>
      <c r="U191" s="41">
        <f t="shared" si="72"/>
        <v>166750.947254397</v>
      </c>
      <c r="V191" s="41">
        <f t="shared" si="72"/>
        <v>170085.96619948494</v>
      </c>
      <c r="W191" s="41">
        <f t="shared" si="73"/>
        <v>173487.68552347468</v>
      </c>
      <c r="X191" s="41">
        <f t="shared" si="73"/>
        <v>176957.43923394417</v>
      </c>
      <c r="Y191" s="41">
        <f t="shared" si="73"/>
        <v>180496.58801862304</v>
      </c>
      <c r="Z191" s="41">
        <f t="shared" si="73"/>
        <v>184106.51977899554</v>
      </c>
    </row>
    <row r="192" spans="2:26" x14ac:dyDescent="0.2">
      <c r="B192" s="63" t="s">
        <v>284</v>
      </c>
      <c r="D192" s="114">
        <f>+'Assumptions and Sensis'!M131</f>
        <v>0.02</v>
      </c>
      <c r="E192" s="114"/>
      <c r="F192" s="41">
        <f t="shared" si="74"/>
        <v>0</v>
      </c>
      <c r="G192" s="41">
        <f t="shared" si="72"/>
        <v>0</v>
      </c>
      <c r="H192" s="41">
        <f t="shared" si="72"/>
        <v>0</v>
      </c>
      <c r="I192" s="41">
        <f t="shared" si="72"/>
        <v>18132.883225488335</v>
      </c>
      <c r="J192" s="41">
        <f t="shared" si="72"/>
        <v>40233.451776403701</v>
      </c>
      <c r="K192" s="41">
        <f t="shared" si="72"/>
        <v>42090.417256220397</v>
      </c>
      <c r="L192" s="41">
        <f t="shared" si="72"/>
        <v>42932.225601344799</v>
      </c>
      <c r="M192" s="41">
        <f t="shared" si="72"/>
        <v>43790.87011337169</v>
      </c>
      <c r="N192" s="41">
        <f t="shared" si="72"/>
        <v>44666.687515639125</v>
      </c>
      <c r="O192" s="41">
        <f t="shared" si="72"/>
        <v>45560.021265951902</v>
      </c>
      <c r="P192" s="41">
        <f t="shared" si="72"/>
        <v>46471.221691270955</v>
      </c>
      <c r="Q192" s="41">
        <f t="shared" si="72"/>
        <v>47400.646125096369</v>
      </c>
      <c r="R192" s="41">
        <f t="shared" si="72"/>
        <v>48348.659047598281</v>
      </c>
      <c r="S192" s="41">
        <f t="shared" si="72"/>
        <v>49315.632228550261</v>
      </c>
      <c r="T192" s="41">
        <f t="shared" si="72"/>
        <v>50301.944873121269</v>
      </c>
      <c r="U192" s="41">
        <f t="shared" si="72"/>
        <v>51307.983770583691</v>
      </c>
      <c r="V192" s="41">
        <f t="shared" si="72"/>
        <v>52334.143445995367</v>
      </c>
      <c r="W192" s="41">
        <f t="shared" si="73"/>
        <v>53380.826314915277</v>
      </c>
      <c r="X192" s="41">
        <f t="shared" si="73"/>
        <v>54448.442841213589</v>
      </c>
      <c r="Y192" s="41">
        <f t="shared" si="73"/>
        <v>55537.411698037853</v>
      </c>
      <c r="Z192" s="41">
        <f t="shared" si="73"/>
        <v>56648.159931998627</v>
      </c>
    </row>
    <row r="193" spans="2:26" x14ac:dyDescent="0.2">
      <c r="B193" s="63" t="s">
        <v>285</v>
      </c>
      <c r="D193" s="114">
        <f>+'Assumptions and Sensis'!M132</f>
        <v>0.03</v>
      </c>
      <c r="E193" s="114"/>
      <c r="F193" s="41">
        <f t="shared" si="74"/>
        <v>0</v>
      </c>
      <c r="G193" s="41">
        <f t="shared" si="72"/>
        <v>0</v>
      </c>
      <c r="H193" s="41">
        <f t="shared" si="72"/>
        <v>0</v>
      </c>
      <c r="I193" s="41">
        <f t="shared" si="72"/>
        <v>27199.3248382325</v>
      </c>
      <c r="J193" s="41">
        <f t="shared" si="72"/>
        <v>60350.177664605551</v>
      </c>
      <c r="K193" s="41">
        <f t="shared" si="72"/>
        <v>63135.625884330584</v>
      </c>
      <c r="L193" s="41">
        <f t="shared" si="72"/>
        <v>64398.338402017194</v>
      </c>
      <c r="M193" s="41">
        <f t="shared" si="72"/>
        <v>65686.305170057531</v>
      </c>
      <c r="N193" s="41">
        <f t="shared" si="72"/>
        <v>67000.031273458677</v>
      </c>
      <c r="O193" s="41">
        <f t="shared" si="72"/>
        <v>68340.031898927846</v>
      </c>
      <c r="P193" s="41">
        <f t="shared" si="72"/>
        <v>69706.832536906426</v>
      </c>
      <c r="Q193" s="41">
        <f t="shared" si="72"/>
        <v>71100.969187644558</v>
      </c>
      <c r="R193" s="41">
        <f t="shared" si="72"/>
        <v>72522.988571397422</v>
      </c>
      <c r="S193" s="41">
        <f t="shared" si="72"/>
        <v>73973.448342825388</v>
      </c>
      <c r="T193" s="41">
        <f t="shared" si="72"/>
        <v>75452.917309681899</v>
      </c>
      <c r="U193" s="41">
        <f t="shared" si="72"/>
        <v>76961.975655875533</v>
      </c>
      <c r="V193" s="41">
        <f t="shared" si="72"/>
        <v>78501.215168993047</v>
      </c>
      <c r="W193" s="41">
        <f t="shared" si="73"/>
        <v>80071.239472372908</v>
      </c>
      <c r="X193" s="41">
        <f t="shared" si="73"/>
        <v>81672.664261820377</v>
      </c>
      <c r="Y193" s="41">
        <f t="shared" si="73"/>
        <v>83306.117547056769</v>
      </c>
      <c r="Z193" s="41">
        <f t="shared" si="73"/>
        <v>84972.239897997933</v>
      </c>
    </row>
    <row r="194" spans="2:26" x14ac:dyDescent="0.2">
      <c r="B194" s="63" t="s">
        <v>286</v>
      </c>
      <c r="D194" s="114">
        <f>+'Assumptions and Sensis'!M133</f>
        <v>0.04</v>
      </c>
      <c r="E194" s="114"/>
      <c r="F194" s="41">
        <f t="shared" si="74"/>
        <v>0</v>
      </c>
      <c r="G194" s="41">
        <f t="shared" si="72"/>
        <v>0</v>
      </c>
      <c r="H194" s="41">
        <f t="shared" si="72"/>
        <v>0</v>
      </c>
      <c r="I194" s="41">
        <f t="shared" si="72"/>
        <v>36265.766450976669</v>
      </c>
      <c r="J194" s="41">
        <f t="shared" si="72"/>
        <v>80466.903552807402</v>
      </c>
      <c r="K194" s="41">
        <f t="shared" si="72"/>
        <v>84180.834512440793</v>
      </c>
      <c r="L194" s="41">
        <f t="shared" si="72"/>
        <v>85864.451202689597</v>
      </c>
      <c r="M194" s="41">
        <f t="shared" si="72"/>
        <v>87581.740226743379</v>
      </c>
      <c r="N194" s="41">
        <f t="shared" si="72"/>
        <v>89333.37503127825</v>
      </c>
      <c r="O194" s="41">
        <f t="shared" si="72"/>
        <v>91120.042531903804</v>
      </c>
      <c r="P194" s="41">
        <f t="shared" si="72"/>
        <v>92942.443382541911</v>
      </c>
      <c r="Q194" s="41">
        <f t="shared" si="72"/>
        <v>94801.292250192739</v>
      </c>
      <c r="R194" s="41">
        <f t="shared" si="72"/>
        <v>96697.318095196562</v>
      </c>
      <c r="S194" s="41">
        <f t="shared" si="72"/>
        <v>98631.264457100522</v>
      </c>
      <c r="T194" s="41">
        <f t="shared" si="72"/>
        <v>100603.88974624254</v>
      </c>
      <c r="U194" s="41">
        <f t="shared" si="72"/>
        <v>102615.96754116738</v>
      </c>
      <c r="V194" s="41">
        <f t="shared" si="72"/>
        <v>104668.28689199073</v>
      </c>
      <c r="W194" s="41">
        <f t="shared" si="73"/>
        <v>106761.65262983055</v>
      </c>
      <c r="X194" s="41">
        <f t="shared" si="73"/>
        <v>108896.88568242718</v>
      </c>
      <c r="Y194" s="41">
        <f t="shared" si="73"/>
        <v>111074.82339607571</v>
      </c>
      <c r="Z194" s="41">
        <f t="shared" si="73"/>
        <v>113296.31986399725</v>
      </c>
    </row>
    <row r="195" spans="2:26" x14ac:dyDescent="0.2">
      <c r="B195" s="63" t="s">
        <v>59</v>
      </c>
      <c r="D195" s="114">
        <f>+'Assumptions and Sensis'!M134</f>
        <v>0.01</v>
      </c>
      <c r="E195" s="114"/>
      <c r="F195" s="41">
        <f t="shared" si="74"/>
        <v>0</v>
      </c>
      <c r="G195" s="41">
        <f t="shared" si="72"/>
        <v>0</v>
      </c>
      <c r="H195" s="41">
        <f t="shared" si="72"/>
        <v>0</v>
      </c>
      <c r="I195" s="41">
        <f t="shared" si="72"/>
        <v>9066.4416127441673</v>
      </c>
      <c r="J195" s="41">
        <f t="shared" si="72"/>
        <v>20116.72588820185</v>
      </c>
      <c r="K195" s="41">
        <f t="shared" si="72"/>
        <v>21045.208628110198</v>
      </c>
      <c r="L195" s="41">
        <f t="shared" si="72"/>
        <v>21466.112800672399</v>
      </c>
      <c r="M195" s="41">
        <f t="shared" si="72"/>
        <v>21895.435056685845</v>
      </c>
      <c r="N195" s="41">
        <f t="shared" si="72"/>
        <v>22333.343757819563</v>
      </c>
      <c r="O195" s="41">
        <f t="shared" si="72"/>
        <v>22780.010632975951</v>
      </c>
      <c r="P195" s="41">
        <f t="shared" si="72"/>
        <v>23235.610845635478</v>
      </c>
      <c r="Q195" s="41">
        <f t="shared" si="72"/>
        <v>23700.323062548185</v>
      </c>
      <c r="R195" s="41">
        <f t="shared" si="72"/>
        <v>24174.329523799141</v>
      </c>
      <c r="S195" s="41">
        <f t="shared" si="72"/>
        <v>24657.816114275131</v>
      </c>
      <c r="T195" s="41">
        <f t="shared" si="72"/>
        <v>25150.972436560634</v>
      </c>
      <c r="U195" s="41">
        <f t="shared" si="72"/>
        <v>25653.991885291845</v>
      </c>
      <c r="V195" s="41">
        <f t="shared" si="72"/>
        <v>26167.071722997684</v>
      </c>
      <c r="W195" s="41">
        <f t="shared" si="73"/>
        <v>26690.413157457639</v>
      </c>
      <c r="X195" s="41">
        <f t="shared" si="73"/>
        <v>27224.221420606795</v>
      </c>
      <c r="Y195" s="41">
        <f t="shared" si="73"/>
        <v>27768.705849018927</v>
      </c>
      <c r="Z195" s="41">
        <f t="shared" si="73"/>
        <v>28324.079965999314</v>
      </c>
    </row>
    <row r="196" spans="2:26" x14ac:dyDescent="0.2">
      <c r="B196" s="168" t="s">
        <v>325</v>
      </c>
      <c r="D196" s="115">
        <f ca="1">+SUM(F196:Z196)/SUM(F180:Z180)</f>
        <v>7.4549348376959368E-2</v>
      </c>
      <c r="E196" s="115"/>
      <c r="F196" s="150">
        <f ca="1">+IFERROR(INDEX('Taxes and TIF'!$AR$11:$AR$45,MATCH('Phase III Pro Forma'!F$7,'Taxes and TIF'!$AG$11:$AG$45,0)),0)*'Loan Sizing'!$M$38*F169</f>
        <v>0</v>
      </c>
      <c r="G196" s="150">
        <f ca="1">+IFERROR(INDEX('Taxes and TIF'!$AR$11:$AR$45,MATCH('Phase III Pro Forma'!G$7,'Taxes and TIF'!$AG$11:$AG$45,0)),0)*'Loan Sizing'!$M$38*G169</f>
        <v>0</v>
      </c>
      <c r="H196" s="150">
        <f ca="1">+IFERROR(INDEX('Taxes and TIF'!$AR$11:$AR$45,MATCH('Phase III Pro Forma'!H$7,'Taxes and TIF'!$AG$11:$AG$45,0)),0)*'Loan Sizing'!$M$38*H169</f>
        <v>0</v>
      </c>
      <c r="I196" s="150">
        <f ca="1">+IFERROR(INDEX('Taxes and TIF'!$AR$11:$AR$45,MATCH('Phase III Pro Forma'!I$7,'Taxes and TIF'!$AG$11:$AG$45,0)),0)*'Loan Sizing'!$M$38*I169</f>
        <v>84112.568676358278</v>
      </c>
      <c r="J196" s="150">
        <f ca="1">+IFERROR(INDEX('Taxes and TIF'!$AR$11:$AR$45,MATCH('Phase III Pro Forma'!J$7,'Taxes and TIF'!$AG$11:$AG$45,0)),0)*'Loan Sizing'!$M$38*J169</f>
        <v>171589.64009977094</v>
      </c>
      <c r="K196" s="150">
        <f ca="1">+IFERROR(INDEX('Taxes and TIF'!$AR$11:$AR$45,MATCH('Phase III Pro Forma'!K$7,'Taxes and TIF'!$AG$11:$AG$45,0)),0)*'Loan Sizing'!$M$38*K169</f>
        <v>171589.64009977094</v>
      </c>
      <c r="L196" s="150">
        <f ca="1">+IFERROR(INDEX('Taxes and TIF'!$AR$11:$AR$45,MATCH('Phase III Pro Forma'!L$7,'Taxes and TIF'!$AG$11:$AG$45,0)),0)*'Loan Sizing'!$M$38*L169</f>
        <v>171589.64009977094</v>
      </c>
      <c r="M196" s="150">
        <f ca="1">+IFERROR(INDEX('Taxes and TIF'!$AR$11:$AR$45,MATCH('Phase III Pro Forma'!M$7,'Taxes and TIF'!$AG$11:$AG$45,0)),0)*'Loan Sizing'!$M$38*M169</f>
        <v>175021.43290176633</v>
      </c>
      <c r="N196" s="150">
        <f ca="1">+IFERROR(INDEX('Taxes and TIF'!$AR$11:$AR$45,MATCH('Phase III Pro Forma'!N$7,'Taxes and TIF'!$AG$11:$AG$45,0)),0)*'Loan Sizing'!$M$38*N169</f>
        <v>175021.43290176633</v>
      </c>
      <c r="O196" s="150">
        <f ca="1">+IFERROR(INDEX('Taxes and TIF'!$AR$11:$AR$45,MATCH('Phase III Pro Forma'!O$7,'Taxes and TIF'!$AG$11:$AG$45,0)),0)*'Loan Sizing'!$M$38*O169</f>
        <v>175021.43290176633</v>
      </c>
      <c r="P196" s="150">
        <f ca="1">+IFERROR(INDEX('Taxes and TIF'!$AR$11:$AR$45,MATCH('Phase III Pro Forma'!P$7,'Taxes and TIF'!$AG$11:$AG$45,0)),0)*'Loan Sizing'!$M$38*P169</f>
        <v>178521.86155980168</v>
      </c>
      <c r="Q196" s="150">
        <f ca="1">+IFERROR(INDEX('Taxes and TIF'!$AR$11:$AR$45,MATCH('Phase III Pro Forma'!Q$7,'Taxes and TIF'!$AG$11:$AG$45,0)),0)*'Loan Sizing'!$M$38*Q169</f>
        <v>178521.86155980168</v>
      </c>
      <c r="R196" s="150">
        <f ca="1">+IFERROR(INDEX('Taxes and TIF'!$AR$11:$AR$45,MATCH('Phase III Pro Forma'!R$7,'Taxes and TIF'!$AG$11:$AG$45,0)),0)*'Loan Sizing'!$M$38*R169</f>
        <v>178521.86155980168</v>
      </c>
      <c r="S196" s="150">
        <f ca="1">+IFERROR(INDEX('Taxes and TIF'!$AR$11:$AR$45,MATCH('Phase III Pro Forma'!S$7,'Taxes and TIF'!$AG$11:$AG$45,0)),0)*'Loan Sizing'!$M$38*S169</f>
        <v>182092.29879099768</v>
      </c>
      <c r="T196" s="150">
        <f ca="1">+IFERROR(INDEX('Taxes and TIF'!$AR$11:$AR$45,MATCH('Phase III Pro Forma'!T$7,'Taxes and TIF'!$AG$11:$AG$45,0)),0)*'Loan Sizing'!$M$38*T169</f>
        <v>182092.29879099768</v>
      </c>
      <c r="U196" s="150">
        <f ca="1">+IFERROR(INDEX('Taxes and TIF'!$AR$11:$AR$45,MATCH('Phase III Pro Forma'!U$7,'Taxes and TIF'!$AG$11:$AG$45,0)),0)*'Loan Sizing'!$M$38*U169</f>
        <v>182092.29879099768</v>
      </c>
      <c r="V196" s="150">
        <f ca="1">+IFERROR(INDEX('Taxes and TIF'!$AR$11:$AR$45,MATCH('Phase III Pro Forma'!V$7,'Taxes and TIF'!$AG$11:$AG$45,0)),0)*'Loan Sizing'!$M$38*V169</f>
        <v>185734.14476681768</v>
      </c>
      <c r="W196" s="150">
        <f ca="1">+IFERROR(INDEX('Taxes and TIF'!$AR$11:$AR$45,MATCH('Phase III Pro Forma'!W$7,'Taxes and TIF'!$AG$11:$AG$45,0)),0)*'Loan Sizing'!$M$38*W169</f>
        <v>185734.14476681768</v>
      </c>
      <c r="X196" s="150">
        <f ca="1">+IFERROR(INDEX('Taxes and TIF'!$AR$11:$AR$45,MATCH('Phase III Pro Forma'!X$7,'Taxes and TIF'!$AG$11:$AG$45,0)),0)*'Loan Sizing'!$M$38*X169</f>
        <v>185734.14476681768</v>
      </c>
      <c r="Y196" s="150">
        <f ca="1">+IFERROR(INDEX('Taxes and TIF'!$AR$11:$AR$45,MATCH('Phase III Pro Forma'!Y$7,'Taxes and TIF'!$AG$11:$AG$45,0)),0)*'Loan Sizing'!$M$38*Y169</f>
        <v>189448.82766215404</v>
      </c>
      <c r="Z196" s="150">
        <f ca="1">+IFERROR(INDEX('Taxes and TIF'!$AR$11:$AR$45,MATCH('Phase III Pro Forma'!Z$7,'Taxes and TIF'!$AG$11:$AG$45,0)),0)*'Loan Sizing'!$M$38*Z169</f>
        <v>189448.82766215404</v>
      </c>
    </row>
    <row r="197" spans="2:26" x14ac:dyDescent="0.2">
      <c r="B197" s="63" t="s">
        <v>287</v>
      </c>
      <c r="D197" s="114">
        <f>+'Assumptions and Sensis'!M135</f>
        <v>3.5000000000000003E-2</v>
      </c>
      <c r="E197" s="114"/>
      <c r="F197" s="41">
        <f t="shared" si="74"/>
        <v>0</v>
      </c>
      <c r="G197" s="41">
        <f t="shared" si="72"/>
        <v>0</v>
      </c>
      <c r="H197" s="41">
        <f t="shared" si="72"/>
        <v>0</v>
      </c>
      <c r="I197" s="41">
        <f t="shared" si="72"/>
        <v>31732.54564460459</v>
      </c>
      <c r="J197" s="41">
        <f t="shared" si="72"/>
        <v>70408.540608706477</v>
      </c>
      <c r="K197" s="41">
        <f t="shared" si="72"/>
        <v>73658.230198385689</v>
      </c>
      <c r="L197" s="41">
        <f t="shared" si="72"/>
        <v>75131.394802353403</v>
      </c>
      <c r="M197" s="41">
        <f t="shared" si="72"/>
        <v>76634.022698400455</v>
      </c>
      <c r="N197" s="41">
        <f t="shared" si="72"/>
        <v>78166.703152368471</v>
      </c>
      <c r="O197" s="41">
        <f t="shared" si="72"/>
        <v>79730.037215415825</v>
      </c>
      <c r="P197" s="41">
        <f t="shared" si="72"/>
        <v>81324.637959724176</v>
      </c>
      <c r="Q197" s="41">
        <f t="shared" si="72"/>
        <v>82951.130718918663</v>
      </c>
      <c r="R197" s="41">
        <f t="shared" si="72"/>
        <v>84610.153333296999</v>
      </c>
      <c r="S197" s="41">
        <f t="shared" si="72"/>
        <v>86302.356399962955</v>
      </c>
      <c r="T197" s="41">
        <f t="shared" si="72"/>
        <v>88028.403527962233</v>
      </c>
      <c r="U197" s="41">
        <f t="shared" si="72"/>
        <v>89788.971598521472</v>
      </c>
      <c r="V197" s="41">
        <f t="shared" si="72"/>
        <v>91584.751030491898</v>
      </c>
      <c r="W197" s="41">
        <f t="shared" si="73"/>
        <v>93416.446051101753</v>
      </c>
      <c r="X197" s="41">
        <f t="shared" si="73"/>
        <v>95284.774972123792</v>
      </c>
      <c r="Y197" s="41">
        <f t="shared" si="73"/>
        <v>97190.470471566252</v>
      </c>
      <c r="Z197" s="41">
        <f t="shared" si="73"/>
        <v>99134.279880997608</v>
      </c>
    </row>
    <row r="198" spans="2:26" x14ac:dyDescent="0.2">
      <c r="B198" s="155" t="s">
        <v>180</v>
      </c>
    </row>
    <row r="199" spans="2:26" x14ac:dyDescent="0.2">
      <c r="B199" s="63" t="s">
        <v>9</v>
      </c>
      <c r="D199" s="114">
        <f>+'Assumptions and Sensis'!M139</f>
        <v>0.4</v>
      </c>
      <c r="E199" s="114"/>
      <c r="F199" s="41">
        <f t="shared" ref="F199:Z199" si="75">F$182*$D199</f>
        <v>0</v>
      </c>
      <c r="G199" s="41">
        <f t="shared" si="75"/>
        <v>0</v>
      </c>
      <c r="H199" s="41">
        <f t="shared" si="75"/>
        <v>0</v>
      </c>
      <c r="I199" s="41">
        <f t="shared" si="75"/>
        <v>0</v>
      </c>
      <c r="J199" s="41">
        <f t="shared" si="75"/>
        <v>0</v>
      </c>
      <c r="K199" s="41">
        <f t="shared" si="75"/>
        <v>0</v>
      </c>
      <c r="L199" s="41">
        <f t="shared" si="75"/>
        <v>0</v>
      </c>
      <c r="M199" s="41">
        <f t="shared" si="75"/>
        <v>0</v>
      </c>
      <c r="N199" s="41">
        <f t="shared" si="75"/>
        <v>0</v>
      </c>
      <c r="O199" s="41">
        <f t="shared" si="75"/>
        <v>0</v>
      </c>
      <c r="P199" s="41">
        <f t="shared" si="75"/>
        <v>0</v>
      </c>
      <c r="Q199" s="41">
        <f t="shared" si="75"/>
        <v>0</v>
      </c>
      <c r="R199" s="41">
        <f t="shared" si="75"/>
        <v>0</v>
      </c>
      <c r="S199" s="41">
        <f t="shared" si="75"/>
        <v>0</v>
      </c>
      <c r="T199" s="41">
        <f t="shared" si="75"/>
        <v>0</v>
      </c>
      <c r="U199" s="41">
        <f t="shared" si="75"/>
        <v>0</v>
      </c>
      <c r="V199" s="41">
        <f t="shared" si="75"/>
        <v>0</v>
      </c>
      <c r="W199" s="41">
        <f t="shared" si="75"/>
        <v>0</v>
      </c>
      <c r="X199" s="41">
        <f t="shared" si="75"/>
        <v>0</v>
      </c>
      <c r="Y199" s="41">
        <f t="shared" si="75"/>
        <v>0</v>
      </c>
      <c r="Z199" s="41">
        <f t="shared" si="75"/>
        <v>0</v>
      </c>
    </row>
    <row r="200" spans="2:26" x14ac:dyDescent="0.2">
      <c r="B200" s="136" t="s">
        <v>313</v>
      </c>
      <c r="C200" s="136"/>
      <c r="D200" s="136"/>
      <c r="E200" s="136"/>
      <c r="F200" s="128">
        <f t="shared" ref="F200:Z200" ca="1" si="76">+SUM(F186:F199)</f>
        <v>0</v>
      </c>
      <c r="G200" s="128">
        <f t="shared" ca="1" si="76"/>
        <v>0</v>
      </c>
      <c r="H200" s="128">
        <f t="shared" ca="1" si="76"/>
        <v>0</v>
      </c>
      <c r="I200" s="128">
        <f t="shared" ca="1" si="76"/>
        <v>664713.94343522633</v>
      </c>
      <c r="J200" s="128">
        <f t="shared" ca="1" si="76"/>
        <v>1443560.4345108639</v>
      </c>
      <c r="K200" s="128">
        <f t="shared" ca="1" si="76"/>
        <v>1497411.8543948785</v>
      </c>
      <c r="L200" s="128">
        <f t="shared" ca="1" si="76"/>
        <v>1523928.2986807809</v>
      </c>
      <c r="M200" s="128">
        <f t="shared" ca="1" si="76"/>
        <v>1554406.8646543962</v>
      </c>
      <c r="N200" s="128">
        <f t="shared" ca="1" si="76"/>
        <v>1581994.5732894491</v>
      </c>
      <c r="O200" s="128">
        <f t="shared" ca="1" si="76"/>
        <v>1610134.0360972027</v>
      </c>
      <c r="P200" s="128">
        <f t="shared" ca="1" si="76"/>
        <v>1642336.7168191471</v>
      </c>
      <c r="Q200" s="128">
        <f t="shared" ca="1" si="76"/>
        <v>1671613.0139243337</v>
      </c>
      <c r="R200" s="128">
        <f t="shared" ca="1" si="76"/>
        <v>1701474.8369716241</v>
      </c>
      <c r="S200" s="128">
        <f t="shared" ca="1" si="76"/>
        <v>1735504.3337110563</v>
      </c>
      <c r="T200" s="128">
        <f t="shared" ca="1" si="76"/>
        <v>1766572.5744094576</v>
      </c>
      <c r="U200" s="128">
        <f t="shared" ca="1" si="76"/>
        <v>1798262.179921827</v>
      </c>
      <c r="V200" s="128">
        <f t="shared" ca="1" si="76"/>
        <v>1834227.4235202635</v>
      </c>
      <c r="W200" s="128">
        <f t="shared" ca="1" si="76"/>
        <v>1867197.2890953328</v>
      </c>
      <c r="X200" s="128">
        <f t="shared" ca="1" si="76"/>
        <v>1900826.5519819034</v>
      </c>
      <c r="Y200" s="128">
        <f t="shared" ca="1" si="76"/>
        <v>1938843.0830215411</v>
      </c>
      <c r="Z200" s="128">
        <f t="shared" ca="1" si="76"/>
        <v>1973830.9681287291</v>
      </c>
    </row>
    <row r="202" spans="2:26" x14ac:dyDescent="0.2">
      <c r="B202" s="136" t="s">
        <v>312</v>
      </c>
      <c r="C202" s="136"/>
      <c r="D202" s="136"/>
      <c r="E202" s="136"/>
      <c r="F202" s="128">
        <f t="shared" ref="F202:Z202" ca="1" si="77">+F183-F200</f>
        <v>0</v>
      </c>
      <c r="G202" s="128">
        <f t="shared" ca="1" si="77"/>
        <v>0</v>
      </c>
      <c r="H202" s="128">
        <f t="shared" ca="1" si="77"/>
        <v>0</v>
      </c>
      <c r="I202" s="128">
        <f t="shared" ca="1" si="77"/>
        <v>241930.21783919039</v>
      </c>
      <c r="J202" s="128">
        <f t="shared" ca="1" si="77"/>
        <v>568112.15430932119</v>
      </c>
      <c r="K202" s="128">
        <f t="shared" ca="1" si="77"/>
        <v>607109.00841614115</v>
      </c>
      <c r="L202" s="128">
        <f t="shared" ca="1" si="77"/>
        <v>622682.98138645897</v>
      </c>
      <c r="M202" s="128">
        <f t="shared" ca="1" si="77"/>
        <v>635136.64101418806</v>
      </c>
      <c r="N202" s="128">
        <f t="shared" ca="1" si="77"/>
        <v>651339.80249250703</v>
      </c>
      <c r="O202" s="128">
        <f t="shared" ca="1" si="77"/>
        <v>667867.02720039221</v>
      </c>
      <c r="P202" s="128">
        <f t="shared" ca="1" si="77"/>
        <v>681224.36774440063</v>
      </c>
      <c r="Q202" s="128">
        <f t="shared" ca="1" si="77"/>
        <v>698419.29233048484</v>
      </c>
      <c r="R202" s="128">
        <f t="shared" ca="1" si="77"/>
        <v>715958.11540828994</v>
      </c>
      <c r="S202" s="128">
        <f t="shared" ca="1" si="77"/>
        <v>730277.27771645668</v>
      </c>
      <c r="T202" s="128">
        <f t="shared" ca="1" si="77"/>
        <v>748524.66924660583</v>
      </c>
      <c r="U202" s="128">
        <f t="shared" ca="1" si="77"/>
        <v>767137.00860735751</v>
      </c>
      <c r="V202" s="128">
        <f t="shared" ca="1" si="77"/>
        <v>782479.74877950479</v>
      </c>
      <c r="W202" s="128">
        <f t="shared" ca="1" si="77"/>
        <v>801844.0266504311</v>
      </c>
      <c r="X202" s="128">
        <f t="shared" ca="1" si="77"/>
        <v>821595.590078776</v>
      </c>
      <c r="Y202" s="128">
        <f t="shared" ca="1" si="77"/>
        <v>838027.50188035145</v>
      </c>
      <c r="Z202" s="128">
        <f t="shared" ca="1" si="77"/>
        <v>858577.02847120212</v>
      </c>
    </row>
    <row r="204" spans="2:26" x14ac:dyDescent="0.2">
      <c r="B204" s="155" t="s">
        <v>83</v>
      </c>
    </row>
    <row r="205" spans="2:26" x14ac:dyDescent="0.2">
      <c r="B205" s="63" t="s">
        <v>288</v>
      </c>
      <c r="D205" s="114">
        <f>+'Assumptions and Sensis'!M137</f>
        <v>0.03</v>
      </c>
      <c r="E205" s="114"/>
      <c r="F205" s="41">
        <f t="shared" ref="F205:Z205" si="78">F$180*$D205</f>
        <v>0</v>
      </c>
      <c r="G205" s="41">
        <f t="shared" si="78"/>
        <v>0</v>
      </c>
      <c r="H205" s="41">
        <f t="shared" si="78"/>
        <v>0</v>
      </c>
      <c r="I205" s="41">
        <f t="shared" si="78"/>
        <v>27199.3248382325</v>
      </c>
      <c r="J205" s="41">
        <f t="shared" si="78"/>
        <v>60350.177664605551</v>
      </c>
      <c r="K205" s="41">
        <f t="shared" si="78"/>
        <v>63135.625884330584</v>
      </c>
      <c r="L205" s="41">
        <f t="shared" si="78"/>
        <v>64398.338402017194</v>
      </c>
      <c r="M205" s="41">
        <f t="shared" si="78"/>
        <v>65686.305170057531</v>
      </c>
      <c r="N205" s="41">
        <f t="shared" si="78"/>
        <v>67000.031273458677</v>
      </c>
      <c r="O205" s="41">
        <f t="shared" si="78"/>
        <v>68340.031898927846</v>
      </c>
      <c r="P205" s="41">
        <f t="shared" si="78"/>
        <v>69706.832536906426</v>
      </c>
      <c r="Q205" s="41">
        <f t="shared" si="78"/>
        <v>71100.969187644558</v>
      </c>
      <c r="R205" s="41">
        <f t="shared" si="78"/>
        <v>72522.988571397422</v>
      </c>
      <c r="S205" s="41">
        <f t="shared" si="78"/>
        <v>73973.448342825388</v>
      </c>
      <c r="T205" s="41">
        <f t="shared" si="78"/>
        <v>75452.917309681899</v>
      </c>
      <c r="U205" s="41">
        <f t="shared" si="78"/>
        <v>76961.975655875533</v>
      </c>
      <c r="V205" s="41">
        <f t="shared" si="78"/>
        <v>78501.215168993047</v>
      </c>
      <c r="W205" s="41">
        <f t="shared" si="78"/>
        <v>80071.239472372908</v>
      </c>
      <c r="X205" s="41">
        <f t="shared" si="78"/>
        <v>81672.664261820377</v>
      </c>
      <c r="Y205" s="41">
        <f t="shared" si="78"/>
        <v>83306.117547056769</v>
      </c>
      <c r="Z205" s="41">
        <f t="shared" si="78"/>
        <v>84972.239897997933</v>
      </c>
    </row>
    <row r="206" spans="2:26" x14ac:dyDescent="0.2">
      <c r="B206" s="137" t="s">
        <v>314</v>
      </c>
      <c r="C206" s="137"/>
      <c r="D206" s="137"/>
      <c r="E206" s="137"/>
      <c r="F206" s="138">
        <f ca="1">+F202-F205</f>
        <v>0</v>
      </c>
      <c r="G206" s="138">
        <f t="shared" ref="G206:Z206" ca="1" si="79">+G202-G205</f>
        <v>0</v>
      </c>
      <c r="H206" s="138">
        <f t="shared" ca="1" si="79"/>
        <v>0</v>
      </c>
      <c r="I206" s="138">
        <f t="shared" ca="1" si="79"/>
        <v>214730.89300095788</v>
      </c>
      <c r="J206" s="138">
        <f t="shared" ca="1" si="79"/>
        <v>507761.97664471564</v>
      </c>
      <c r="K206" s="138">
        <f t="shared" ca="1" si="79"/>
        <v>543973.38253181055</v>
      </c>
      <c r="L206" s="138">
        <f t="shared" ca="1" si="79"/>
        <v>558284.64298444171</v>
      </c>
      <c r="M206" s="138">
        <f t="shared" ca="1" si="79"/>
        <v>569450.33584413049</v>
      </c>
      <c r="N206" s="138">
        <f t="shared" ca="1" si="79"/>
        <v>584339.77121904842</v>
      </c>
      <c r="O206" s="138">
        <f t="shared" ca="1" si="79"/>
        <v>599526.99530146434</v>
      </c>
      <c r="P206" s="138">
        <f t="shared" ca="1" si="79"/>
        <v>611517.53520749416</v>
      </c>
      <c r="Q206" s="138">
        <f t="shared" ca="1" si="79"/>
        <v>627318.32314284029</v>
      </c>
      <c r="R206" s="138">
        <f t="shared" ca="1" si="79"/>
        <v>643435.12683689257</v>
      </c>
      <c r="S206" s="138">
        <f t="shared" ca="1" si="79"/>
        <v>656303.82937363128</v>
      </c>
      <c r="T206" s="138">
        <f t="shared" ca="1" si="79"/>
        <v>673071.75193692395</v>
      </c>
      <c r="U206" s="138">
        <f t="shared" ca="1" si="79"/>
        <v>690175.03295148199</v>
      </c>
      <c r="V206" s="138">
        <f t="shared" ca="1" si="79"/>
        <v>703978.5336105118</v>
      </c>
      <c r="W206" s="138">
        <f t="shared" ca="1" si="79"/>
        <v>721772.78717805818</v>
      </c>
      <c r="X206" s="138">
        <f t="shared" ca="1" si="79"/>
        <v>739922.92581695563</v>
      </c>
      <c r="Y206" s="138">
        <f t="shared" ca="1" si="79"/>
        <v>754721.3843332947</v>
      </c>
      <c r="Z206" s="138">
        <f t="shared" ca="1" si="79"/>
        <v>773604.78857320419</v>
      </c>
    </row>
    <row r="207" spans="2:26" x14ac:dyDescent="0.2">
      <c r="B207" s="142" t="s">
        <v>254</v>
      </c>
      <c r="C207" s="140"/>
      <c r="D207" s="140"/>
      <c r="E207" s="140"/>
      <c r="F207" s="143" t="str">
        <f t="shared" ref="F207:Z207" ca="1" si="80">+IFERROR(F206/F183,"")</f>
        <v/>
      </c>
      <c r="G207" s="143" t="str">
        <f t="shared" ca="1" si="80"/>
        <v/>
      </c>
      <c r="H207" s="143" t="str">
        <f t="shared" ca="1" si="80"/>
        <v/>
      </c>
      <c r="I207" s="143">
        <f t="shared" ca="1" si="80"/>
        <v>0.23684142265817187</v>
      </c>
      <c r="J207" s="143">
        <f t="shared" ca="1" si="80"/>
        <v>0.25240786172988033</v>
      </c>
      <c r="K207" s="143">
        <f t="shared" ca="1" si="80"/>
        <v>0.25847849367728409</v>
      </c>
      <c r="L207" s="143">
        <f t="shared" ca="1" si="80"/>
        <v>0.26007719616890962</v>
      </c>
      <c r="M207" s="143">
        <f t="shared" ca="1" si="80"/>
        <v>0.26007719616890962</v>
      </c>
      <c r="N207" s="143">
        <f t="shared" ca="1" si="80"/>
        <v>0.26164455155285643</v>
      </c>
      <c r="O207" s="143">
        <f t="shared" ca="1" si="80"/>
        <v>0.26318117447829431</v>
      </c>
      <c r="P207" s="143">
        <f t="shared" ca="1" si="80"/>
        <v>0.26318117447829448</v>
      </c>
      <c r="Q207" s="143">
        <f t="shared" ca="1" si="80"/>
        <v>0.26468766754244949</v>
      </c>
      <c r="R207" s="143">
        <f t="shared" ca="1" si="80"/>
        <v>0.266164621526915</v>
      </c>
      <c r="S207" s="143">
        <f t="shared" ca="1" si="80"/>
        <v>0.26616462152691528</v>
      </c>
      <c r="T207" s="143">
        <f t="shared" ca="1" si="80"/>
        <v>0.26761261562933258</v>
      </c>
      <c r="U207" s="143">
        <f t="shared" ca="1" si="80"/>
        <v>0.26903221769052588</v>
      </c>
      <c r="V207" s="143">
        <f t="shared" ca="1" si="80"/>
        <v>0.26903221769052593</v>
      </c>
      <c r="W207" s="143">
        <f t="shared" ca="1" si="80"/>
        <v>0.27042398441718601</v>
      </c>
      <c r="X207" s="143">
        <f t="shared" ca="1" si="80"/>
        <v>0.27178846160018622</v>
      </c>
      <c r="Y207" s="143">
        <f t="shared" ca="1" si="80"/>
        <v>0.27178846160018622</v>
      </c>
      <c r="Z207" s="143">
        <f t="shared" ca="1" si="80"/>
        <v>0.2731261843286179</v>
      </c>
    </row>
    <row r="208" spans="2:26" x14ac:dyDescent="0.2">
      <c r="B208" s="142" t="s">
        <v>188</v>
      </c>
      <c r="C208" s="140"/>
      <c r="D208" s="140"/>
      <c r="E208" s="140"/>
      <c r="F208" s="141">
        <f ca="1">+F202/'Assumptions and Sensis'!$P$156</f>
        <v>0</v>
      </c>
      <c r="G208" s="141">
        <f ca="1">+G202/'Assumptions and Sensis'!$P$156</f>
        <v>0</v>
      </c>
      <c r="H208" s="141">
        <f ca="1">+H202/'Assumptions and Sensis'!$P$156</f>
        <v>0</v>
      </c>
      <c r="I208" s="141">
        <f ca="1">+I202/'Assumptions and Sensis'!$P$156</f>
        <v>3024127.7229898795</v>
      </c>
      <c r="J208" s="141">
        <f ca="1">+J202/'Assumptions and Sensis'!$P$156</f>
        <v>7101401.9288665149</v>
      </c>
      <c r="K208" s="141">
        <f ca="1">+K202/'Assumptions and Sensis'!$P$156</f>
        <v>7588862.605201764</v>
      </c>
      <c r="L208" s="141">
        <f ca="1">+L202/'Assumptions and Sensis'!$P$156</f>
        <v>7783537.2673307369</v>
      </c>
      <c r="M208" s="141">
        <f ca="1">+M202/'Assumptions and Sensis'!$P$156</f>
        <v>7939208.012677351</v>
      </c>
      <c r="N208" s="141">
        <f ca="1">+N202/'Assumptions and Sensis'!$P$156</f>
        <v>8141747.5311563378</v>
      </c>
      <c r="O208" s="141">
        <f ca="1">+O202/'Assumptions and Sensis'!$P$156</f>
        <v>8348337.8400049023</v>
      </c>
      <c r="P208" s="141">
        <f ca="1">+P202/'Assumptions and Sensis'!$P$156</f>
        <v>8515304.5968050081</v>
      </c>
      <c r="Q208" s="141">
        <f ca="1">+Q202/'Assumptions and Sensis'!$P$156</f>
        <v>8730241.1541310605</v>
      </c>
      <c r="R208" s="141">
        <f ca="1">+R202/'Assumptions and Sensis'!$P$156</f>
        <v>8949476.4426036235</v>
      </c>
      <c r="S208" s="141">
        <f ca="1">+S202/'Assumptions and Sensis'!$P$156</f>
        <v>9128465.9714557081</v>
      </c>
      <c r="T208" s="141">
        <f ca="1">+T202/'Assumptions and Sensis'!$P$156</f>
        <v>9356558.3655825723</v>
      </c>
      <c r="U208" s="141">
        <f ca="1">+U202/'Assumptions and Sensis'!$P$156</f>
        <v>9589212.607591968</v>
      </c>
      <c r="V208" s="141">
        <f ca="1">+V202/'Assumptions and Sensis'!$P$156</f>
        <v>9780996.8597438093</v>
      </c>
      <c r="W208" s="141">
        <f ca="1">+W202/'Assumptions and Sensis'!$P$156</f>
        <v>10023050.333130389</v>
      </c>
      <c r="X208" s="141">
        <f ca="1">+X202/'Assumptions and Sensis'!$P$156</f>
        <v>10269944.8759847</v>
      </c>
      <c r="Y208" s="141">
        <f ca="1">+Y202/'Assumptions and Sensis'!$P$156</f>
        <v>10475343.773504393</v>
      </c>
      <c r="Z208" s="141">
        <f ca="1">+Z202/'Assumptions and Sensis'!$P$156</f>
        <v>10732212.855890026</v>
      </c>
    </row>
    <row r="210" spans="2:26" x14ac:dyDescent="0.2">
      <c r="B210" s="147" t="s">
        <v>31</v>
      </c>
      <c r="F210" s="149">
        <f>+'Assumptions and Sensis'!$H$43</f>
        <v>45657</v>
      </c>
      <c r="G210" s="149">
        <f>+EOMONTH(F210,12)</f>
        <v>46022</v>
      </c>
      <c r="H210" s="149">
        <f t="shared" ref="H210:Z210" si="81">+EOMONTH(G210,12)</f>
        <v>46387</v>
      </c>
      <c r="I210" s="149">
        <f t="shared" si="81"/>
        <v>46752</v>
      </c>
      <c r="J210" s="149">
        <f t="shared" si="81"/>
        <v>47118</v>
      </c>
      <c r="K210" s="149">
        <f t="shared" si="81"/>
        <v>47483</v>
      </c>
      <c r="L210" s="149">
        <f t="shared" si="81"/>
        <v>47848</v>
      </c>
      <c r="M210" s="149">
        <f t="shared" si="81"/>
        <v>48213</v>
      </c>
      <c r="N210" s="149">
        <f t="shared" si="81"/>
        <v>48579</v>
      </c>
      <c r="O210" s="149">
        <f t="shared" si="81"/>
        <v>48944</v>
      </c>
      <c r="P210" s="149">
        <f t="shared" si="81"/>
        <v>49309</v>
      </c>
      <c r="Q210" s="149">
        <f t="shared" si="81"/>
        <v>49674</v>
      </c>
      <c r="R210" s="149">
        <f t="shared" si="81"/>
        <v>50040</v>
      </c>
      <c r="S210" s="149">
        <f t="shared" si="81"/>
        <v>50405</v>
      </c>
      <c r="T210" s="149">
        <f t="shared" si="81"/>
        <v>50770</v>
      </c>
      <c r="U210" s="149">
        <f t="shared" si="81"/>
        <v>51135</v>
      </c>
      <c r="V210" s="149">
        <f t="shared" si="81"/>
        <v>51501</v>
      </c>
      <c r="W210" s="149">
        <f t="shared" si="81"/>
        <v>51866</v>
      </c>
      <c r="X210" s="149">
        <f t="shared" si="81"/>
        <v>52231</v>
      </c>
      <c r="Y210" s="149">
        <f t="shared" si="81"/>
        <v>52596</v>
      </c>
      <c r="Z210" s="149">
        <f t="shared" si="81"/>
        <v>52962</v>
      </c>
    </row>
    <row r="211" spans="2:26" x14ac:dyDescent="0.2">
      <c r="B211" s="32" t="s">
        <v>331</v>
      </c>
      <c r="F211" s="33">
        <v>0</v>
      </c>
      <c r="G211" s="33">
        <f t="shared" ref="G211:Z211" si="82">+F214</f>
        <v>0</v>
      </c>
      <c r="H211" s="33">
        <f t="shared" si="82"/>
        <v>0</v>
      </c>
      <c r="I211" s="33">
        <f t="shared" si="82"/>
        <v>0</v>
      </c>
      <c r="J211" s="33">
        <f t="shared" ca="1" si="82"/>
        <v>6071090.084161412</v>
      </c>
      <c r="K211" s="33">
        <f t="shared" ca="1" si="82"/>
        <v>6071090.084161412</v>
      </c>
      <c r="L211" s="33">
        <f t="shared" ca="1" si="82"/>
        <v>6071090.084161412</v>
      </c>
      <c r="M211" s="33">
        <f t="shared" ca="1" si="82"/>
        <v>6071090.084161412</v>
      </c>
      <c r="N211" s="33">
        <f t="shared" ca="1" si="82"/>
        <v>6071090.084161412</v>
      </c>
      <c r="O211" s="33">
        <f t="shared" ca="1" si="82"/>
        <v>6071090.084161412</v>
      </c>
      <c r="P211" s="33">
        <f t="shared" ca="1" si="82"/>
        <v>6071090.084161412</v>
      </c>
      <c r="Q211" s="33">
        <f t="shared" ca="1" si="82"/>
        <v>6071090.084161412</v>
      </c>
      <c r="R211" s="33">
        <f t="shared" ca="1" si="82"/>
        <v>6071090.084161412</v>
      </c>
      <c r="S211" s="33">
        <f t="shared" ca="1" si="82"/>
        <v>6071090.084161412</v>
      </c>
      <c r="T211" s="33">
        <f t="shared" ca="1" si="82"/>
        <v>6071090.084161412</v>
      </c>
      <c r="U211" s="33">
        <f t="shared" ca="1" si="82"/>
        <v>6071090.084161412</v>
      </c>
      <c r="V211" s="33">
        <f t="shared" ca="1" si="82"/>
        <v>6071090.084161412</v>
      </c>
      <c r="W211" s="33">
        <f t="shared" ca="1" si="82"/>
        <v>6071090.084161412</v>
      </c>
      <c r="X211" s="33">
        <f t="shared" ca="1" si="82"/>
        <v>6071090.084161412</v>
      </c>
      <c r="Y211" s="33">
        <f t="shared" ca="1" si="82"/>
        <v>6071090.084161412</v>
      </c>
      <c r="Z211" s="33">
        <f t="shared" ca="1" si="82"/>
        <v>6071090.084161412</v>
      </c>
    </row>
    <row r="212" spans="2:26" x14ac:dyDescent="0.2">
      <c r="B212" s="32" t="s">
        <v>342</v>
      </c>
      <c r="F212" s="150">
        <f>+IF(YEAR(F$140)=YEAR('Assumptions and Sensis'!$H$47),'S&amp;U'!$T$18,0)</f>
        <v>0</v>
      </c>
      <c r="G212" s="150">
        <f>+IF(YEAR(G$140)=YEAR('Assumptions and Sensis'!$H$47),'S&amp;U'!$T$18,0)</f>
        <v>0</v>
      </c>
      <c r="H212" s="150">
        <f>+IF(YEAR(H$140)=YEAR('Assumptions and Sensis'!$H$47),'S&amp;U'!$T$18,0)</f>
        <v>0</v>
      </c>
      <c r="I212" s="150">
        <f ca="1">+IF(YEAR(I$140)=YEAR('Assumptions and Sensis'!$H$47),'S&amp;U'!$T$18,0)</f>
        <v>6071090.084161412</v>
      </c>
      <c r="J212" s="150">
        <f>+IF(YEAR(J$140)=YEAR('Assumptions and Sensis'!$H$47),'S&amp;U'!$T$18,0)</f>
        <v>0</v>
      </c>
      <c r="K212" s="150">
        <f>+IF(YEAR(K$140)=YEAR('Assumptions and Sensis'!$H$47),'S&amp;U'!$T$18,0)</f>
        <v>0</v>
      </c>
      <c r="L212" s="150">
        <f>+IF(YEAR(L$140)=YEAR('Assumptions and Sensis'!$H$47),'S&amp;U'!$T$18,0)</f>
        <v>0</v>
      </c>
      <c r="M212" s="150">
        <f>+IF(YEAR(M$140)=YEAR('Assumptions and Sensis'!$H$47),'S&amp;U'!$T$18,0)</f>
        <v>0</v>
      </c>
      <c r="N212" s="150">
        <f>+IF(YEAR(N$140)=YEAR('Assumptions and Sensis'!$H$47),'S&amp;U'!$T$18,0)</f>
        <v>0</v>
      </c>
      <c r="O212" s="150">
        <f>+IF(YEAR(O$140)=YEAR('Assumptions and Sensis'!$H$47),'S&amp;U'!$T$18,0)</f>
        <v>0</v>
      </c>
      <c r="P212" s="150">
        <f>+IF(YEAR(P$140)=YEAR('Assumptions and Sensis'!$H$47),'S&amp;U'!$T$18,0)</f>
        <v>0</v>
      </c>
      <c r="Q212" s="150">
        <f>+IF(YEAR(Q$140)=YEAR('Assumptions and Sensis'!$H$47),'S&amp;U'!$T$18,0)</f>
        <v>0</v>
      </c>
      <c r="R212" s="150">
        <f>+IF(YEAR(R$140)=YEAR('Assumptions and Sensis'!$H$47),'S&amp;U'!$T$18,0)</f>
        <v>0</v>
      </c>
      <c r="S212" s="150">
        <f>+IF(YEAR(S$140)=YEAR('Assumptions and Sensis'!$H$47),'S&amp;U'!$T$18,0)</f>
        <v>0</v>
      </c>
      <c r="T212" s="150">
        <f>+IF(YEAR(T$140)=YEAR('Assumptions and Sensis'!$H$47),'S&amp;U'!$T$18,0)</f>
        <v>0</v>
      </c>
      <c r="U212" s="150">
        <f>+IF(YEAR(U$140)=YEAR('Assumptions and Sensis'!$H$47),'S&amp;U'!$T$18,0)</f>
        <v>0</v>
      </c>
      <c r="V212" s="150">
        <f>+IF(YEAR(V$140)=YEAR('Assumptions and Sensis'!$H$47),'S&amp;U'!$T$18,0)</f>
        <v>0</v>
      </c>
      <c r="W212" s="150">
        <f>+IF(YEAR(W$140)=YEAR('Assumptions and Sensis'!$H$47),'S&amp;U'!$T$18,0)</f>
        <v>0</v>
      </c>
      <c r="X212" s="150">
        <f>+IF(YEAR(X$140)=YEAR('Assumptions and Sensis'!$H$47),'S&amp;U'!$T$18,0)</f>
        <v>0</v>
      </c>
      <c r="Y212" s="150">
        <f>+IF(YEAR(Y$140)=YEAR('Assumptions and Sensis'!$H$47),'S&amp;U'!$T$18,0)</f>
        <v>0</v>
      </c>
      <c r="Z212" s="150">
        <f>+IF(YEAR(Z$140)=YEAR('Assumptions and Sensis'!$H$47),'S&amp;U'!$T$18,0)</f>
        <v>0</v>
      </c>
    </row>
    <row r="213" spans="2:26" x14ac:dyDescent="0.2">
      <c r="B213" s="32" t="s">
        <v>162</v>
      </c>
      <c r="F213" s="150">
        <v>0</v>
      </c>
      <c r="G213" s="150">
        <v>0</v>
      </c>
      <c r="H213" s="150">
        <v>0</v>
      </c>
      <c r="I213" s="150">
        <v>0</v>
      </c>
      <c r="J213" s="150">
        <v>0</v>
      </c>
      <c r="K213" s="150">
        <v>0</v>
      </c>
      <c r="L213" s="150">
        <v>0</v>
      </c>
      <c r="M213" s="150">
        <v>0</v>
      </c>
      <c r="N213" s="150">
        <v>0</v>
      </c>
      <c r="O213" s="150">
        <v>0</v>
      </c>
      <c r="P213" s="150">
        <v>0</v>
      </c>
      <c r="Q213" s="150">
        <v>0</v>
      </c>
      <c r="R213" s="150">
        <v>0</v>
      </c>
      <c r="S213" s="150">
        <v>0</v>
      </c>
      <c r="T213" s="150">
        <v>0</v>
      </c>
      <c r="U213" s="150">
        <v>0</v>
      </c>
      <c r="V213" s="150">
        <v>0</v>
      </c>
      <c r="W213" s="150">
        <v>0</v>
      </c>
      <c r="X213" s="150">
        <v>0</v>
      </c>
      <c r="Y213" s="150">
        <v>0</v>
      </c>
      <c r="Z213" s="150">
        <v>0</v>
      </c>
    </row>
    <row r="214" spans="2:26" x14ac:dyDescent="0.2">
      <c r="B214" s="32" t="s">
        <v>333</v>
      </c>
      <c r="F214" s="150">
        <f t="shared" ref="F214:N214" si="83">+SUM(F211:F213)</f>
        <v>0</v>
      </c>
      <c r="G214" s="150">
        <f t="shared" si="83"/>
        <v>0</v>
      </c>
      <c r="H214" s="150">
        <f t="shared" si="83"/>
        <v>0</v>
      </c>
      <c r="I214" s="150">
        <f t="shared" ca="1" si="83"/>
        <v>6071090.084161412</v>
      </c>
      <c r="J214" s="150">
        <f t="shared" ca="1" si="83"/>
        <v>6071090.084161412</v>
      </c>
      <c r="K214" s="150">
        <f t="shared" ca="1" si="83"/>
        <v>6071090.084161412</v>
      </c>
      <c r="L214" s="150">
        <f t="shared" ca="1" si="83"/>
        <v>6071090.084161412</v>
      </c>
      <c r="M214" s="150">
        <f t="shared" ca="1" si="83"/>
        <v>6071090.084161412</v>
      </c>
      <c r="N214" s="150">
        <f t="shared" ca="1" si="83"/>
        <v>6071090.084161412</v>
      </c>
      <c r="O214" s="150">
        <f t="shared" ref="O214" ca="1" si="84">+SUM(O211:O213)</f>
        <v>6071090.084161412</v>
      </c>
      <c r="P214" s="150">
        <f t="shared" ref="P214:Z214" ca="1" si="85">+SUM(P211:P213)</f>
        <v>6071090.084161412</v>
      </c>
      <c r="Q214" s="150">
        <f t="shared" ca="1" si="85"/>
        <v>6071090.084161412</v>
      </c>
      <c r="R214" s="150">
        <f t="shared" ca="1" si="85"/>
        <v>6071090.084161412</v>
      </c>
      <c r="S214" s="150">
        <f t="shared" ca="1" si="85"/>
        <v>6071090.084161412</v>
      </c>
      <c r="T214" s="150">
        <f t="shared" ca="1" si="85"/>
        <v>6071090.084161412</v>
      </c>
      <c r="U214" s="150">
        <f t="shared" ca="1" si="85"/>
        <v>6071090.084161412</v>
      </c>
      <c r="V214" s="150">
        <f t="shared" ca="1" si="85"/>
        <v>6071090.084161412</v>
      </c>
      <c r="W214" s="150">
        <f t="shared" ca="1" si="85"/>
        <v>6071090.084161412</v>
      </c>
      <c r="X214" s="150">
        <f t="shared" ca="1" si="85"/>
        <v>6071090.084161412</v>
      </c>
      <c r="Y214" s="150">
        <f t="shared" ca="1" si="85"/>
        <v>6071090.084161412</v>
      </c>
      <c r="Z214" s="150">
        <f t="shared" ca="1" si="85"/>
        <v>6071090.084161412</v>
      </c>
    </row>
    <row r="216" spans="2:26" x14ac:dyDescent="0.2">
      <c r="B216" s="40" t="s">
        <v>332</v>
      </c>
      <c r="F216" s="33">
        <f>+F214*'Assumptions and Sensis'!$P$184</f>
        <v>0</v>
      </c>
      <c r="G216" s="33">
        <f>+G214*'Assumptions and Sensis'!$P$184</f>
        <v>0</v>
      </c>
      <c r="H216" s="33">
        <f>+H214*'Assumptions and Sensis'!$P$184</f>
        <v>0</v>
      </c>
      <c r="I216" s="33">
        <f ca="1">+I214*'Assumptions and Sensis'!$P$184</f>
        <v>364265.40504968469</v>
      </c>
      <c r="J216" s="33">
        <f ca="1">+J214*'Assumptions and Sensis'!$P$184</f>
        <v>364265.40504968469</v>
      </c>
      <c r="K216" s="33">
        <f ca="1">+K214*'Assumptions and Sensis'!$P$184</f>
        <v>364265.40504968469</v>
      </c>
      <c r="L216" s="33">
        <f ca="1">+L214*'Assumptions and Sensis'!$P$184</f>
        <v>364265.40504968469</v>
      </c>
      <c r="M216" s="33">
        <f ca="1">+M214*'Assumptions and Sensis'!$P$184</f>
        <v>364265.40504968469</v>
      </c>
      <c r="N216" s="33">
        <f ca="1">+N214*'Assumptions and Sensis'!$P$184</f>
        <v>364265.40504968469</v>
      </c>
      <c r="O216" s="33">
        <f ca="1">+O214*'Assumptions and Sensis'!$P$184</f>
        <v>364265.40504968469</v>
      </c>
      <c r="P216" s="33">
        <f ca="1">+P214*'Assumptions and Sensis'!$P$184</f>
        <v>364265.40504968469</v>
      </c>
      <c r="Q216" s="33">
        <f ca="1">+Q214*'Assumptions and Sensis'!$P$184</f>
        <v>364265.40504968469</v>
      </c>
      <c r="R216" s="33">
        <f ca="1">+R214*'Assumptions and Sensis'!$P$184</f>
        <v>364265.40504968469</v>
      </c>
      <c r="S216" s="33">
        <f ca="1">+S214*'Assumptions and Sensis'!$P$184</f>
        <v>364265.40504968469</v>
      </c>
      <c r="T216" s="33">
        <f ca="1">+T214*'Assumptions and Sensis'!$P$184</f>
        <v>364265.40504968469</v>
      </c>
      <c r="U216" s="33">
        <f ca="1">+U214*'Assumptions and Sensis'!$P$184</f>
        <v>364265.40504968469</v>
      </c>
      <c r="V216" s="33">
        <f ca="1">+V214*'Assumptions and Sensis'!$P$184</f>
        <v>364265.40504968469</v>
      </c>
      <c r="W216" s="33">
        <f ca="1">+W214*'Assumptions and Sensis'!$P$184</f>
        <v>364265.40504968469</v>
      </c>
      <c r="X216" s="33">
        <f ca="1">+X214*'Assumptions and Sensis'!$P$184</f>
        <v>364265.40504968469</v>
      </c>
      <c r="Y216" s="33">
        <f ca="1">+Y214*'Assumptions and Sensis'!$P$184</f>
        <v>364265.40504968469</v>
      </c>
      <c r="Z216" s="33">
        <f ca="1">+Z214*'Assumptions and Sensis'!$P$184</f>
        <v>364265.40504968469</v>
      </c>
    </row>
    <row r="217" spans="2:26" x14ac:dyDescent="0.2">
      <c r="B217" s="136" t="s">
        <v>341</v>
      </c>
      <c r="C217" s="136"/>
      <c r="D217" s="136"/>
      <c r="E217" s="136"/>
      <c r="F217" s="128">
        <f t="shared" ref="F217:K217" si="86">+F216-F213</f>
        <v>0</v>
      </c>
      <c r="G217" s="128">
        <f t="shared" si="86"/>
        <v>0</v>
      </c>
      <c r="H217" s="128">
        <f t="shared" si="86"/>
        <v>0</v>
      </c>
      <c r="I217" s="128">
        <f t="shared" ca="1" si="86"/>
        <v>364265.40504968469</v>
      </c>
      <c r="J217" s="128">
        <f t="shared" ca="1" si="86"/>
        <v>364265.40504968469</v>
      </c>
      <c r="K217" s="128">
        <f t="shared" ca="1" si="86"/>
        <v>364265.40504968469</v>
      </c>
      <c r="L217" s="128">
        <f ca="1">+L216-L213</f>
        <v>364265.40504968469</v>
      </c>
      <c r="M217" s="128">
        <f t="shared" ref="M217:Z217" ca="1" si="87">+M216-M213</f>
        <v>364265.40504968469</v>
      </c>
      <c r="N217" s="128">
        <f t="shared" ca="1" si="87"/>
        <v>364265.40504968469</v>
      </c>
      <c r="O217" s="128">
        <f t="shared" ca="1" si="87"/>
        <v>364265.40504968469</v>
      </c>
      <c r="P217" s="128">
        <f t="shared" ca="1" si="87"/>
        <v>364265.40504968469</v>
      </c>
      <c r="Q217" s="128">
        <f t="shared" ca="1" si="87"/>
        <v>364265.40504968469</v>
      </c>
      <c r="R217" s="128">
        <f t="shared" ca="1" si="87"/>
        <v>364265.40504968469</v>
      </c>
      <c r="S217" s="128">
        <f t="shared" ca="1" si="87"/>
        <v>364265.40504968469</v>
      </c>
      <c r="T217" s="128">
        <f t="shared" ca="1" si="87"/>
        <v>364265.40504968469</v>
      </c>
      <c r="U217" s="128">
        <f t="shared" ca="1" si="87"/>
        <v>364265.40504968469</v>
      </c>
      <c r="V217" s="128">
        <f t="shared" ca="1" si="87"/>
        <v>364265.40504968469</v>
      </c>
      <c r="W217" s="128">
        <f t="shared" ca="1" si="87"/>
        <v>364265.40504968469</v>
      </c>
      <c r="X217" s="128">
        <f t="shared" ca="1" si="87"/>
        <v>364265.40504968469</v>
      </c>
      <c r="Y217" s="128">
        <f t="shared" ca="1" si="87"/>
        <v>364265.40504968469</v>
      </c>
      <c r="Z217" s="128">
        <f t="shared" ca="1" si="87"/>
        <v>364265.40504968469</v>
      </c>
    </row>
    <row r="218" spans="2:26" x14ac:dyDescent="0.2">
      <c r="B218" s="145" t="s">
        <v>181</v>
      </c>
      <c r="F218" s="178" t="str">
        <f t="shared" ref="F218:J218" ca="1" si="88">+IFERROR(F206/F217,"")</f>
        <v/>
      </c>
      <c r="G218" s="178" t="str">
        <f t="shared" ca="1" si="88"/>
        <v/>
      </c>
      <c r="H218" s="178" t="str">
        <f t="shared" ca="1" si="88"/>
        <v/>
      </c>
      <c r="I218" s="178">
        <f t="shared" ca="1" si="88"/>
        <v>0.58949021791314282</v>
      </c>
      <c r="J218" s="178">
        <f t="shared" ca="1" si="88"/>
        <v>1.3939341194793353</v>
      </c>
      <c r="K218" s="178">
        <f ca="1">+IFERROR(K206/K217,"")</f>
        <v>1.4933435209352759</v>
      </c>
      <c r="L218" s="178">
        <f t="shared" ref="L218:Z218" ca="1" si="89">+IFERROR(L206/L217,"")</f>
        <v>1.5326315242818445</v>
      </c>
      <c r="M218" s="178">
        <f t="shared" ca="1" si="89"/>
        <v>1.5632841547674812</v>
      </c>
      <c r="N218" s="178">
        <f t="shared" ca="1" si="89"/>
        <v>1.6041593934492524</v>
      </c>
      <c r="O218" s="178">
        <f t="shared" ca="1" si="89"/>
        <v>1.6458521369046579</v>
      </c>
      <c r="P218" s="178">
        <f t="shared" ca="1" si="89"/>
        <v>1.6787691796427526</v>
      </c>
      <c r="Q218" s="178">
        <f t="shared" ca="1" si="89"/>
        <v>1.7221463099337584</v>
      </c>
      <c r="R218" s="178">
        <f t="shared" ca="1" si="89"/>
        <v>1.7663909828305819</v>
      </c>
      <c r="S218" s="178">
        <f t="shared" ca="1" si="89"/>
        <v>1.801718802487196</v>
      </c>
      <c r="T218" s="178">
        <f t="shared" ca="1" si="89"/>
        <v>1.8477509601690532</v>
      </c>
      <c r="U218" s="178">
        <f t="shared" ca="1" si="89"/>
        <v>1.8947037610045461</v>
      </c>
      <c r="V218" s="178">
        <f t="shared" ca="1" si="89"/>
        <v>1.9325978362246377</v>
      </c>
      <c r="W218" s="178">
        <f t="shared" ca="1" si="89"/>
        <v>1.981447530213885</v>
      </c>
      <c r="X218" s="178">
        <f t="shared" ca="1" si="89"/>
        <v>2.0312742180829177</v>
      </c>
      <c r="Y218" s="178">
        <f t="shared" ca="1" si="89"/>
        <v>2.071899702444576</v>
      </c>
      <c r="Z218" s="178">
        <f t="shared" ca="1" si="89"/>
        <v>2.1237393885035196</v>
      </c>
    </row>
    <row r="220" spans="2:26" x14ac:dyDescent="0.2">
      <c r="B220" s="40" t="s">
        <v>156</v>
      </c>
      <c r="F220" s="33">
        <f>+F212*'Assumptions and Sensis'!$P$185</f>
        <v>0</v>
      </c>
      <c r="G220" s="33">
        <f>+G212*'Assumptions and Sensis'!$P$185</f>
        <v>0</v>
      </c>
      <c r="H220" s="33">
        <f>+H212*'Assumptions and Sensis'!$P$185</f>
        <v>0</v>
      </c>
      <c r="I220" s="33">
        <f ca="1">+I212*'Assumptions and Sensis'!$P$185</f>
        <v>60710.900841614122</v>
      </c>
      <c r="J220" s="33">
        <f>+J212*'Assumptions and Sensis'!$P$185</f>
        <v>0</v>
      </c>
      <c r="K220" s="33">
        <f>+K212*'Assumptions and Sensis'!$P$185</f>
        <v>0</v>
      </c>
      <c r="L220" s="33">
        <f>+L212*'Assumptions and Sensis'!$P$185</f>
        <v>0</v>
      </c>
      <c r="M220" s="33">
        <f>+M212*'Assumptions and Sensis'!$P$185</f>
        <v>0</v>
      </c>
      <c r="N220" s="33">
        <f>+N212*'Assumptions and Sensis'!$P$185</f>
        <v>0</v>
      </c>
      <c r="O220" s="33">
        <f>+O212*'Assumptions and Sensis'!$P$185</f>
        <v>0</v>
      </c>
      <c r="P220" s="33">
        <f>+P212*'Assumptions and Sensis'!$P$185</f>
        <v>0</v>
      </c>
      <c r="Q220" s="33">
        <f>+Q212*'Assumptions and Sensis'!$P$185</f>
        <v>0</v>
      </c>
      <c r="R220" s="33">
        <f>+R212*'Assumptions and Sensis'!$P$185</f>
        <v>0</v>
      </c>
      <c r="S220" s="33">
        <f>+S212*'Assumptions and Sensis'!$P$185</f>
        <v>0</v>
      </c>
      <c r="T220" s="33">
        <f>+T212*'Assumptions and Sensis'!$P$185</f>
        <v>0</v>
      </c>
      <c r="U220" s="33">
        <f>+U212*'Assumptions and Sensis'!$P$185</f>
        <v>0</v>
      </c>
      <c r="V220" s="33">
        <f>+V212*'Assumptions and Sensis'!$P$185</f>
        <v>0</v>
      </c>
      <c r="W220" s="33">
        <f>+W212*'Assumptions and Sensis'!$P$185</f>
        <v>0</v>
      </c>
      <c r="X220" s="33">
        <f>+X212*'Assumptions and Sensis'!$P$185</f>
        <v>0</v>
      </c>
      <c r="Y220" s="33">
        <f>+Y212*'Assumptions and Sensis'!$P$185</f>
        <v>0</v>
      </c>
      <c r="Z220" s="33">
        <f>+Z212*'Assumptions and Sensis'!$P$185</f>
        <v>0</v>
      </c>
    </row>
    <row r="222" spans="2:26" x14ac:dyDescent="0.2">
      <c r="B222" s="136" t="s">
        <v>334</v>
      </c>
      <c r="C222" s="136"/>
      <c r="D222" s="136"/>
      <c r="E222" s="136"/>
      <c r="F222" s="128">
        <f ca="1">+F206-F217-F220</f>
        <v>0</v>
      </c>
      <c r="G222" s="128">
        <f t="shared" ref="G222:Z222" ca="1" si="90">+G206-G217-G220</f>
        <v>0</v>
      </c>
      <c r="H222" s="128">
        <f t="shared" ca="1" si="90"/>
        <v>0</v>
      </c>
      <c r="I222" s="128">
        <f t="shared" ca="1" si="90"/>
        <v>-210245.41289034093</v>
      </c>
      <c r="J222" s="128">
        <f t="shared" ca="1" si="90"/>
        <v>143496.57159503095</v>
      </c>
      <c r="K222" s="128">
        <f t="shared" ca="1" si="90"/>
        <v>179707.97748212586</v>
      </c>
      <c r="L222" s="128">
        <f t="shared" ca="1" si="90"/>
        <v>194019.23793475702</v>
      </c>
      <c r="M222" s="128">
        <f t="shared" ca="1" si="90"/>
        <v>205184.9307944458</v>
      </c>
      <c r="N222" s="128">
        <f t="shared" ca="1" si="90"/>
        <v>220074.36616936373</v>
      </c>
      <c r="O222" s="128">
        <f t="shared" ca="1" si="90"/>
        <v>235261.59025177965</v>
      </c>
      <c r="P222" s="128">
        <f t="shared" ca="1" si="90"/>
        <v>247252.13015780947</v>
      </c>
      <c r="Q222" s="128">
        <f t="shared" ca="1" si="90"/>
        <v>263052.9180931556</v>
      </c>
      <c r="R222" s="128">
        <f t="shared" ca="1" si="90"/>
        <v>279169.72178720788</v>
      </c>
      <c r="S222" s="128">
        <f t="shared" ca="1" si="90"/>
        <v>292038.42432394659</v>
      </c>
      <c r="T222" s="128">
        <f t="shared" ca="1" si="90"/>
        <v>308806.34688723926</v>
      </c>
      <c r="U222" s="128">
        <f t="shared" ca="1" si="90"/>
        <v>325909.6279017973</v>
      </c>
      <c r="V222" s="128">
        <f t="shared" ca="1" si="90"/>
        <v>339713.12856082711</v>
      </c>
      <c r="W222" s="128">
        <f t="shared" ca="1" si="90"/>
        <v>357507.38212837349</v>
      </c>
      <c r="X222" s="128">
        <f t="shared" ca="1" si="90"/>
        <v>375657.52076727094</v>
      </c>
      <c r="Y222" s="128">
        <f t="shared" ca="1" si="90"/>
        <v>390455.97928361001</v>
      </c>
      <c r="Z222" s="128">
        <f t="shared" ca="1" si="90"/>
        <v>409339.3835235195</v>
      </c>
    </row>
    <row r="224" spans="2:26" x14ac:dyDescent="0.2">
      <c r="B224" s="147" t="s">
        <v>335</v>
      </c>
    </row>
    <row r="225" spans="2:26" x14ac:dyDescent="0.2">
      <c r="B225" s="32" t="s">
        <v>336</v>
      </c>
      <c r="F225" s="33">
        <f>+IF(YEAR(F$140)=YEAR('Assumptions and Sensis'!$H$51),F208,0)</f>
        <v>0</v>
      </c>
      <c r="G225" s="33">
        <f>+IF(YEAR(G$140)=YEAR('Assumptions and Sensis'!$H$51),G208,0)</f>
        <v>0</v>
      </c>
      <c r="H225" s="33">
        <f>+IF(YEAR(H$140)=YEAR('Assumptions and Sensis'!$H$51),H208,0)</f>
        <v>0</v>
      </c>
      <c r="I225" s="33">
        <f>+IF(YEAR(I$140)=YEAR('Assumptions and Sensis'!$H$51),I208,0)</f>
        <v>0</v>
      </c>
      <c r="J225" s="33">
        <f>+IF(YEAR(J$140)=YEAR('Assumptions and Sensis'!$H$51),J208,0)</f>
        <v>0</v>
      </c>
      <c r="K225" s="33">
        <f>+IF(YEAR(K$140)=YEAR('Assumptions and Sensis'!$H$51),K208,0)</f>
        <v>0</v>
      </c>
      <c r="L225" s="33">
        <f ca="1">+IF(YEAR(L$140)=YEAR('Assumptions and Sensis'!$H$51),L208,0)</f>
        <v>7783537.2673307369</v>
      </c>
      <c r="M225" s="33">
        <f>+IF(YEAR(M$140)=YEAR('Assumptions and Sensis'!$H$51),M208,0)</f>
        <v>0</v>
      </c>
      <c r="N225" s="33">
        <f>+IF(YEAR(N$140)=YEAR('Assumptions and Sensis'!$H$51),N208,0)</f>
        <v>0</v>
      </c>
      <c r="O225" s="33">
        <f>+IF(YEAR(O$140)=YEAR('Assumptions and Sensis'!$H$51),O208,0)</f>
        <v>0</v>
      </c>
      <c r="P225" s="33">
        <f>+IF(YEAR(P$140)=YEAR('Assumptions and Sensis'!$H$51),P208,0)</f>
        <v>0</v>
      </c>
      <c r="Q225" s="33">
        <f>+IF(YEAR(Q$140)=YEAR('Assumptions and Sensis'!$H$51),Q208,0)</f>
        <v>0</v>
      </c>
      <c r="R225" s="33">
        <f>+IF(YEAR(R$140)=YEAR('Assumptions and Sensis'!$H$51),R208,0)</f>
        <v>0</v>
      </c>
      <c r="S225" s="33">
        <f>+IF(YEAR(S$140)=YEAR('Assumptions and Sensis'!$H$51),S208,0)</f>
        <v>0</v>
      </c>
      <c r="T225" s="33">
        <f>+IF(YEAR(T$140)=YEAR('Assumptions and Sensis'!$H$51),T208,0)</f>
        <v>0</v>
      </c>
      <c r="U225" s="33">
        <f>+IF(YEAR(U$140)=YEAR('Assumptions and Sensis'!$H$51),U208,0)</f>
        <v>0</v>
      </c>
      <c r="V225" s="33">
        <f>+IF(YEAR(V$140)=YEAR('Assumptions and Sensis'!$H$51),V208,0)</f>
        <v>0</v>
      </c>
      <c r="W225" s="33">
        <f>+IF(YEAR(W$140)=YEAR('Assumptions and Sensis'!$H$51),W208,0)</f>
        <v>0</v>
      </c>
      <c r="X225" s="33">
        <f>+IF(YEAR(X$140)=YEAR('Assumptions and Sensis'!$H$51),X208,0)</f>
        <v>0</v>
      </c>
      <c r="Y225" s="33">
        <f>+IF(YEAR(Y$140)=YEAR('Assumptions and Sensis'!$H$51),Y208,0)</f>
        <v>0</v>
      </c>
      <c r="Z225" s="33">
        <f>+IF(YEAR(Z$140)=YEAR('Assumptions and Sensis'!$H$51),Z208,0)</f>
        <v>0</v>
      </c>
    </row>
    <row r="226" spans="2:26" x14ac:dyDescent="0.2">
      <c r="B226" s="32" t="s">
        <v>337</v>
      </c>
      <c r="F226" s="150">
        <f>-F225*'Assumptions and Sensis'!$P$161</f>
        <v>0</v>
      </c>
      <c r="G226" s="150">
        <f>-G225*'Assumptions and Sensis'!$P$161</f>
        <v>0</v>
      </c>
      <c r="H226" s="150">
        <f>-H225*'Assumptions and Sensis'!$P$161</f>
        <v>0</v>
      </c>
      <c r="I226" s="150">
        <f>-I225*'Assumptions and Sensis'!$P$161</f>
        <v>0</v>
      </c>
      <c r="J226" s="150">
        <f>-J225*'Assumptions and Sensis'!$P$161</f>
        <v>0</v>
      </c>
      <c r="K226" s="150">
        <f>-K225*'Assumptions and Sensis'!$P$161</f>
        <v>0</v>
      </c>
      <c r="L226" s="150">
        <f ca="1">-L225*'Assumptions and Sensis'!$P$161</f>
        <v>-155670.74534661474</v>
      </c>
      <c r="M226" s="150">
        <f>-M225*'Assumptions and Sensis'!$P$161</f>
        <v>0</v>
      </c>
      <c r="N226" s="150">
        <f>-N225*'Assumptions and Sensis'!$P$161</f>
        <v>0</v>
      </c>
      <c r="O226" s="150">
        <f>-O225*'Assumptions and Sensis'!$P$161</f>
        <v>0</v>
      </c>
      <c r="P226" s="150">
        <f>-P225*'Assumptions and Sensis'!$P$161</f>
        <v>0</v>
      </c>
      <c r="Q226" s="150">
        <f>-Q225*'Assumptions and Sensis'!$P$161</f>
        <v>0</v>
      </c>
      <c r="R226" s="150">
        <f>-R225*'Assumptions and Sensis'!$P$161</f>
        <v>0</v>
      </c>
      <c r="S226" s="150">
        <f>-S225*'Assumptions and Sensis'!$P$161</f>
        <v>0</v>
      </c>
      <c r="T226" s="150">
        <f>-T225*'Assumptions and Sensis'!$P$161</f>
        <v>0</v>
      </c>
      <c r="U226" s="150">
        <f>-U225*'Assumptions and Sensis'!$P$161</f>
        <v>0</v>
      </c>
      <c r="V226" s="150">
        <f>-V225*'Assumptions and Sensis'!$P$161</f>
        <v>0</v>
      </c>
      <c r="W226" s="150">
        <f>-W225*'Assumptions and Sensis'!$P$161</f>
        <v>0</v>
      </c>
      <c r="X226" s="150">
        <f>-X225*'Assumptions and Sensis'!$P$161</f>
        <v>0</v>
      </c>
      <c r="Y226" s="150">
        <f>-Y225*'Assumptions and Sensis'!$P$161</f>
        <v>0</v>
      </c>
      <c r="Z226" s="150">
        <f>-Z225*'Assumptions and Sensis'!$P$161</f>
        <v>0</v>
      </c>
    </row>
    <row r="227" spans="2:26" x14ac:dyDescent="0.2">
      <c r="B227" s="32" t="s">
        <v>338</v>
      </c>
      <c r="F227" s="150">
        <f>+IF(YEAR(F$140)=YEAR('Assumptions and Sensis'!$H$51),-F214,0)</f>
        <v>0</v>
      </c>
      <c r="G227" s="150">
        <f>+IF(YEAR(G$140)=YEAR('Assumptions and Sensis'!$H$51),-G214,0)</f>
        <v>0</v>
      </c>
      <c r="H227" s="150">
        <f>+IF(YEAR(H$140)=YEAR('Assumptions and Sensis'!$H$51),-H214,0)</f>
        <v>0</v>
      </c>
      <c r="I227" s="150">
        <f>+IF(YEAR(I$140)=YEAR('Assumptions and Sensis'!$H$51),-I214,0)</f>
        <v>0</v>
      </c>
      <c r="J227" s="150">
        <f>+IF(YEAR(J$140)=YEAR('Assumptions and Sensis'!$H$51),-J214,0)</f>
        <v>0</v>
      </c>
      <c r="K227" s="150">
        <f>+IF(YEAR(K$140)=YEAR('Assumptions and Sensis'!$H$51),-K214,0)</f>
        <v>0</v>
      </c>
      <c r="L227" s="150">
        <f ca="1">+IF(YEAR(L$140)=YEAR('Assumptions and Sensis'!$H$51),-L214,0)</f>
        <v>-6071090.084161412</v>
      </c>
      <c r="M227" s="150">
        <f>+IF(YEAR(M$140)=YEAR('Assumptions and Sensis'!$H$51),-M214,0)</f>
        <v>0</v>
      </c>
      <c r="N227" s="150">
        <f>+IF(YEAR(N$140)=YEAR('Assumptions and Sensis'!$H$51),-N214,0)</f>
        <v>0</v>
      </c>
      <c r="O227" s="150">
        <f>+IF(YEAR(O$140)=YEAR('Assumptions and Sensis'!$H$51),-O214,0)</f>
        <v>0</v>
      </c>
      <c r="P227" s="150">
        <f>+IF(YEAR(P$140)=YEAR('Assumptions and Sensis'!$H$51),-P214,0)</f>
        <v>0</v>
      </c>
      <c r="Q227" s="150">
        <f>+IF(YEAR(Q$140)=YEAR('Assumptions and Sensis'!$H$51),-Q214,0)</f>
        <v>0</v>
      </c>
      <c r="R227" s="150">
        <f>+IF(YEAR(R$140)=YEAR('Assumptions and Sensis'!$H$51),-R214,0)</f>
        <v>0</v>
      </c>
      <c r="S227" s="150">
        <f>+IF(YEAR(S$140)=YEAR('Assumptions and Sensis'!$H$51),-S214,0)</f>
        <v>0</v>
      </c>
      <c r="T227" s="150">
        <f>+IF(YEAR(T$140)=YEAR('Assumptions and Sensis'!$H$51),-T214,0)</f>
        <v>0</v>
      </c>
      <c r="U227" s="150">
        <f>+IF(YEAR(U$140)=YEAR('Assumptions and Sensis'!$H$51),-U214,0)</f>
        <v>0</v>
      </c>
      <c r="V227" s="150">
        <f>+IF(YEAR(V$140)=YEAR('Assumptions and Sensis'!$H$51),-V214,0)</f>
        <v>0</v>
      </c>
      <c r="W227" s="150">
        <f>+IF(YEAR(W$140)=YEAR('Assumptions and Sensis'!$H$51),-W214,0)</f>
        <v>0</v>
      </c>
      <c r="X227" s="150">
        <f>+IF(YEAR(X$140)=YEAR('Assumptions and Sensis'!$H$51),-X214,0)</f>
        <v>0</v>
      </c>
      <c r="Y227" s="150">
        <f>+IF(YEAR(Y$140)=YEAR('Assumptions and Sensis'!$H$51),-Y214,0)</f>
        <v>0</v>
      </c>
      <c r="Z227" s="150">
        <f>+IF(YEAR(Z$140)=YEAR('Assumptions and Sensis'!$H$51),-Z214,0)</f>
        <v>0</v>
      </c>
    </row>
    <row r="228" spans="2:26" x14ac:dyDescent="0.2">
      <c r="B228" s="136" t="s">
        <v>339</v>
      </c>
      <c r="C228" s="136"/>
      <c r="D228" s="136"/>
      <c r="E228" s="136"/>
      <c r="F228" s="128">
        <f t="shared" ref="F228:Z228" si="91">+SUM(F225:F227)</f>
        <v>0</v>
      </c>
      <c r="G228" s="128">
        <f t="shared" si="91"/>
        <v>0</v>
      </c>
      <c r="H228" s="128">
        <f t="shared" si="91"/>
        <v>0</v>
      </c>
      <c r="I228" s="128">
        <f t="shared" si="91"/>
        <v>0</v>
      </c>
      <c r="J228" s="128">
        <f t="shared" si="91"/>
        <v>0</v>
      </c>
      <c r="K228" s="128">
        <f t="shared" si="91"/>
        <v>0</v>
      </c>
      <c r="L228" s="128">
        <f t="shared" ca="1" si="91"/>
        <v>1556776.4378227098</v>
      </c>
      <c r="M228" s="128">
        <f t="shared" si="91"/>
        <v>0</v>
      </c>
      <c r="N228" s="128">
        <f t="shared" si="91"/>
        <v>0</v>
      </c>
      <c r="O228" s="128">
        <f t="shared" si="91"/>
        <v>0</v>
      </c>
      <c r="P228" s="128">
        <f t="shared" si="91"/>
        <v>0</v>
      </c>
      <c r="Q228" s="128">
        <f t="shared" si="91"/>
        <v>0</v>
      </c>
      <c r="R228" s="128">
        <f t="shared" si="91"/>
        <v>0</v>
      </c>
      <c r="S228" s="128">
        <f t="shared" si="91"/>
        <v>0</v>
      </c>
      <c r="T228" s="128">
        <f t="shared" si="91"/>
        <v>0</v>
      </c>
      <c r="U228" s="128">
        <f t="shared" si="91"/>
        <v>0</v>
      </c>
      <c r="V228" s="128">
        <f t="shared" si="91"/>
        <v>0</v>
      </c>
      <c r="W228" s="128">
        <f t="shared" si="91"/>
        <v>0</v>
      </c>
      <c r="X228" s="128">
        <f t="shared" si="91"/>
        <v>0</v>
      </c>
      <c r="Y228" s="128">
        <f t="shared" si="91"/>
        <v>0</v>
      </c>
      <c r="Z228" s="128">
        <f t="shared" si="91"/>
        <v>0</v>
      </c>
    </row>
    <row r="230" spans="2:26" x14ac:dyDescent="0.2">
      <c r="B230" s="137" t="s">
        <v>340</v>
      </c>
      <c r="C230" s="137"/>
      <c r="D230" s="137"/>
      <c r="E230" s="137"/>
      <c r="F230" s="138">
        <f ca="1">+IF(YEAR(F$140)&lt;=YEAR('Assumptions and Sensis'!$H$51),'Phase III Pro Forma'!F228+'Phase III Pro Forma'!F222,0)</f>
        <v>0</v>
      </c>
      <c r="G230" s="138">
        <f ca="1">+IF(YEAR(G$140)&lt;=YEAR('Assumptions and Sensis'!$H$51),'Phase III Pro Forma'!G228+'Phase III Pro Forma'!G222,0)</f>
        <v>0</v>
      </c>
      <c r="H230" s="138">
        <f ca="1">+IF(YEAR(H$140)&lt;=YEAR('Assumptions and Sensis'!$H$51),'Phase III Pro Forma'!H228+'Phase III Pro Forma'!H222,0)</f>
        <v>0</v>
      </c>
      <c r="I230" s="138">
        <f ca="1">+IF(YEAR(I$140)&lt;=YEAR('Assumptions and Sensis'!$H$51),'Phase III Pro Forma'!I228+'Phase III Pro Forma'!I222,0)</f>
        <v>-210245.41289034093</v>
      </c>
      <c r="J230" s="138">
        <f ca="1">+IF(YEAR(J$140)&lt;=YEAR('Assumptions and Sensis'!$H$51),'Phase III Pro Forma'!J228+'Phase III Pro Forma'!J222,0)</f>
        <v>143496.57159503095</v>
      </c>
      <c r="K230" s="138">
        <f ca="1">+IF(YEAR(K$140)&lt;=YEAR('Assumptions and Sensis'!$H$51),'Phase III Pro Forma'!K228+'Phase III Pro Forma'!K222,0)</f>
        <v>179707.97748212586</v>
      </c>
      <c r="L230" s="138">
        <f ca="1">+IF(YEAR(L$140)&lt;=YEAR('Assumptions and Sensis'!$H$51),'Phase III Pro Forma'!L228+'Phase III Pro Forma'!L222,0)</f>
        <v>1750795.6757574668</v>
      </c>
      <c r="M230" s="138">
        <f>+IF(YEAR(M$140)&lt;=YEAR('Assumptions and Sensis'!$H$51),'Phase III Pro Forma'!M228+'Phase III Pro Forma'!M222,0)</f>
        <v>0</v>
      </c>
      <c r="N230" s="138">
        <f>+IF(YEAR(N$140)&lt;=YEAR('Assumptions and Sensis'!$H$51),'Phase III Pro Forma'!N228+'Phase III Pro Forma'!N222,0)</f>
        <v>0</v>
      </c>
      <c r="O230" s="138">
        <f>+IF(YEAR(O$140)&lt;=YEAR('Assumptions and Sensis'!$H$51),'Phase III Pro Forma'!O228+'Phase III Pro Forma'!O222,0)</f>
        <v>0</v>
      </c>
      <c r="P230" s="138">
        <f>+IF(YEAR(P$140)&lt;=YEAR('Assumptions and Sensis'!$H$51),'Phase III Pro Forma'!P228+'Phase III Pro Forma'!P222,0)</f>
        <v>0</v>
      </c>
      <c r="Q230" s="138">
        <f>+IF(YEAR(Q$140)&lt;=YEAR('Assumptions and Sensis'!$H$51),'Phase III Pro Forma'!Q228+'Phase III Pro Forma'!Q222,0)</f>
        <v>0</v>
      </c>
      <c r="R230" s="138">
        <f>+IF(YEAR(R$140)&lt;=YEAR('Assumptions and Sensis'!$H$51),'Phase III Pro Forma'!R228+'Phase III Pro Forma'!R222,0)</f>
        <v>0</v>
      </c>
      <c r="S230" s="138">
        <f>+IF(YEAR(S$140)&lt;=YEAR('Assumptions and Sensis'!$H$51),'Phase III Pro Forma'!S228+'Phase III Pro Forma'!S222,0)</f>
        <v>0</v>
      </c>
      <c r="T230" s="138">
        <f>+IF(YEAR(T$140)&lt;=YEAR('Assumptions and Sensis'!$H$51),'Phase III Pro Forma'!T228+'Phase III Pro Forma'!T222,0)</f>
        <v>0</v>
      </c>
      <c r="U230" s="138">
        <f>+IF(YEAR(U$140)&lt;=YEAR('Assumptions and Sensis'!$H$51),'Phase III Pro Forma'!U228+'Phase III Pro Forma'!U222,0)</f>
        <v>0</v>
      </c>
      <c r="V230" s="138">
        <f>+IF(YEAR(V$140)&lt;=YEAR('Assumptions and Sensis'!$H$51),'Phase III Pro Forma'!V228+'Phase III Pro Forma'!V222,0)</f>
        <v>0</v>
      </c>
      <c r="W230" s="138">
        <f>+IF(YEAR(W$140)&lt;=YEAR('Assumptions and Sensis'!$H$51),'Phase III Pro Forma'!W228+'Phase III Pro Forma'!W222,0)</f>
        <v>0</v>
      </c>
      <c r="X230" s="138">
        <f>+IF(YEAR(X$140)&lt;=YEAR('Assumptions and Sensis'!$H$51),'Phase III Pro Forma'!X228+'Phase III Pro Forma'!X222,0)</f>
        <v>0</v>
      </c>
      <c r="Y230" s="138">
        <f>+IF(YEAR(Y$140)&lt;=YEAR('Assumptions and Sensis'!$H$51),'Phase III Pro Forma'!Y228+'Phase III Pro Forma'!Y222,0)</f>
        <v>0</v>
      </c>
      <c r="Z230" s="138">
        <f>+IF(YEAR(Z$140)&lt;=YEAR('Assumptions and Sensis'!$H$51),'Phase III Pro Forma'!Z228+'Phase III Pro Forma'!Z222,0)</f>
        <v>0</v>
      </c>
    </row>
    <row r="232" spans="2:26" x14ac:dyDescent="0.2">
      <c r="B232" s="36" t="s">
        <v>769</v>
      </c>
      <c r="C232" s="37"/>
      <c r="D232" s="37"/>
      <c r="E232" s="37"/>
      <c r="F232" s="135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4" spans="2:26" x14ac:dyDescent="0.2">
      <c r="B234" s="147" t="s">
        <v>235</v>
      </c>
      <c r="C234" s="148"/>
      <c r="D234" s="148"/>
      <c r="E234" s="148"/>
      <c r="F234" s="149">
        <f>+'Assumptions and Sensis'!$H$43</f>
        <v>45657</v>
      </c>
      <c r="G234" s="149">
        <f>+EOMONTH(F234,12)</f>
        <v>46022</v>
      </c>
      <c r="H234" s="149">
        <f t="shared" ref="H234:Z234" si="92">+EOMONTH(G234,12)</f>
        <v>46387</v>
      </c>
      <c r="I234" s="149">
        <f t="shared" si="92"/>
        <v>46752</v>
      </c>
      <c r="J234" s="149">
        <f t="shared" si="92"/>
        <v>47118</v>
      </c>
      <c r="K234" s="149">
        <f t="shared" si="92"/>
        <v>47483</v>
      </c>
      <c r="L234" s="149">
        <f t="shared" si="92"/>
        <v>47848</v>
      </c>
      <c r="M234" s="149">
        <f t="shared" si="92"/>
        <v>48213</v>
      </c>
      <c r="N234" s="149">
        <f t="shared" si="92"/>
        <v>48579</v>
      </c>
      <c r="O234" s="149">
        <f t="shared" si="92"/>
        <v>48944</v>
      </c>
      <c r="P234" s="149">
        <f t="shared" si="92"/>
        <v>49309</v>
      </c>
      <c r="Q234" s="149">
        <f t="shared" si="92"/>
        <v>49674</v>
      </c>
      <c r="R234" s="149">
        <f t="shared" si="92"/>
        <v>50040</v>
      </c>
      <c r="S234" s="149">
        <f t="shared" si="92"/>
        <v>50405</v>
      </c>
      <c r="T234" s="149">
        <f t="shared" si="92"/>
        <v>50770</v>
      </c>
      <c r="U234" s="149">
        <f t="shared" si="92"/>
        <v>51135</v>
      </c>
      <c r="V234" s="149">
        <f t="shared" si="92"/>
        <v>51501</v>
      </c>
      <c r="W234" s="149">
        <f t="shared" si="92"/>
        <v>51866</v>
      </c>
      <c r="X234" s="149">
        <f t="shared" si="92"/>
        <v>52231</v>
      </c>
      <c r="Y234" s="149">
        <f t="shared" si="92"/>
        <v>52596</v>
      </c>
      <c r="Z234" s="149">
        <f t="shared" si="92"/>
        <v>52962</v>
      </c>
    </row>
    <row r="235" spans="2:26" x14ac:dyDescent="0.2">
      <c r="B235" s="32" t="s">
        <v>756</v>
      </c>
      <c r="C235" s="32"/>
      <c r="D235" s="39"/>
      <c r="E235" s="39"/>
      <c r="F235" s="41">
        <f>+IF(AND(F234&gt;='Assumptions and Sensis'!$H$47,F234&lt;'Assumptions and Sensis'!$H$49),'Assumptions and Sensis'!$P$241/ROUNDUP(('Assumptions and Sensis'!$H$48/12),0),0)</f>
        <v>0</v>
      </c>
      <c r="G235" s="41">
        <f>+IF(AND(G234&gt;='Assumptions and Sensis'!$H$47,G234&lt;'Assumptions and Sensis'!$H$49),'Assumptions and Sensis'!$P$241/ROUNDUP(('Assumptions and Sensis'!$H$48/12),0),0)</f>
        <v>0</v>
      </c>
      <c r="H235" s="41">
        <f>+IF(AND(H234&gt;='Assumptions and Sensis'!$H$47,H234&lt;'Assumptions and Sensis'!$H$49),'Assumptions and Sensis'!$P$241/ROUNDUP(('Assumptions and Sensis'!$H$48/12),0),0)</f>
        <v>0</v>
      </c>
      <c r="I235" s="41">
        <f>+IF(AND(I234&gt;='Assumptions and Sensis'!$H$47,I234&lt;'Assumptions and Sensis'!$H$49),'Assumptions and Sensis'!$P$241/ROUNDUP(('Assumptions and Sensis'!$H$48/12),0),0)</f>
        <v>117315</v>
      </c>
      <c r="J235" s="41">
        <f>+IF(AND(J234&gt;='Assumptions and Sensis'!$H$47,J234&lt;'Assumptions and Sensis'!$H$49),'Assumptions and Sensis'!$P$241/ROUNDUP(('Assumptions and Sensis'!$H$48/12),0),0)</f>
        <v>117315</v>
      </c>
      <c r="K235" s="41">
        <f>+IF(AND(K234&gt;='Assumptions and Sensis'!$H$47,K234&lt;'Assumptions and Sensis'!$H$49),'Assumptions and Sensis'!$P$241/ROUNDUP(('Assumptions and Sensis'!$H$48/12),0),0)</f>
        <v>0</v>
      </c>
      <c r="L235" s="41">
        <f>+IF(AND(L234&gt;='Assumptions and Sensis'!$H$47,L234&lt;'Assumptions and Sensis'!$H$49),'Assumptions and Sensis'!$P$241/ROUNDUP(('Assumptions and Sensis'!$H$48/12),0),0)</f>
        <v>0</v>
      </c>
      <c r="M235" s="41">
        <f>+IF(AND(M234&gt;='Assumptions and Sensis'!$H$47,M234&lt;'Assumptions and Sensis'!$H$49),'Assumptions and Sensis'!$P$241/ROUNDUP(('Assumptions and Sensis'!$H$48/12),0),0)</f>
        <v>0</v>
      </c>
      <c r="N235" s="41">
        <f>+IF(AND(N234&gt;='Assumptions and Sensis'!$H$47,N234&lt;'Assumptions and Sensis'!$H$49),'Assumptions and Sensis'!$P$241/ROUNDUP(('Assumptions and Sensis'!$H$48/12),0),0)</f>
        <v>0</v>
      </c>
      <c r="O235" s="41">
        <f>+IF(AND(O234&gt;='Assumptions and Sensis'!$H$47,O234&lt;'Assumptions and Sensis'!$H$49),'Assumptions and Sensis'!$P$241/ROUNDUP(('Assumptions and Sensis'!$H$48/12),0),0)</f>
        <v>0</v>
      </c>
      <c r="P235" s="41">
        <f>+IF(AND(P234&gt;='Assumptions and Sensis'!$H$47,P234&lt;'Assumptions and Sensis'!$H$49),'Assumptions and Sensis'!$P$241/ROUNDUP(('Assumptions and Sensis'!$H$48/12),0),0)</f>
        <v>0</v>
      </c>
      <c r="Q235" s="41">
        <f>+IF(AND(Q234&gt;='Assumptions and Sensis'!$H$47,Q234&lt;'Assumptions and Sensis'!$H$49),'Assumptions and Sensis'!$P$241/ROUNDUP(('Assumptions and Sensis'!$H$48/12),0),0)</f>
        <v>0</v>
      </c>
      <c r="R235" s="41">
        <f>+IF(AND(R234&gt;='Assumptions and Sensis'!$H$47,R234&lt;'Assumptions and Sensis'!$H$49),'Assumptions and Sensis'!$P$241/ROUNDUP(('Assumptions and Sensis'!$H$48/12),0),0)</f>
        <v>0</v>
      </c>
      <c r="S235" s="41">
        <f>+IF(AND(S234&gt;='Assumptions and Sensis'!$H$47,S234&lt;'Assumptions and Sensis'!$H$49),'Assumptions and Sensis'!$P$241/ROUNDUP(('Assumptions and Sensis'!$H$48/12),0),0)</f>
        <v>0</v>
      </c>
      <c r="T235" s="41">
        <f>+IF(AND(T234&gt;='Assumptions and Sensis'!$H$47,T234&lt;'Assumptions and Sensis'!$H$49),'Assumptions and Sensis'!$P$241/ROUNDUP(('Assumptions and Sensis'!$H$48/12),0),0)</f>
        <v>0</v>
      </c>
      <c r="U235" s="41">
        <f>+IF(AND(U234&gt;='Assumptions and Sensis'!$H$47,U234&lt;'Assumptions and Sensis'!$H$49),'Assumptions and Sensis'!$P$241/ROUNDUP(('Assumptions and Sensis'!$H$48/12),0),0)</f>
        <v>0</v>
      </c>
      <c r="V235" s="41">
        <f>+IF(AND(V234&gt;='Assumptions and Sensis'!$H$47,V234&lt;'Assumptions and Sensis'!$H$49),'Assumptions and Sensis'!$P$241/ROUNDUP(('Assumptions and Sensis'!$H$48/12),0),0)</f>
        <v>0</v>
      </c>
      <c r="W235" s="41">
        <f>+IF(AND(W234&gt;='Assumptions and Sensis'!$H$47,W234&lt;'Assumptions and Sensis'!$H$49),'Assumptions and Sensis'!$P$241/ROUNDUP(('Assumptions and Sensis'!$H$48/12),0),0)</f>
        <v>0</v>
      </c>
      <c r="X235" s="41">
        <f>+IF(AND(X234&gt;='Assumptions and Sensis'!$H$47,X234&lt;'Assumptions and Sensis'!$H$49),'Assumptions and Sensis'!$P$241/ROUNDUP(('Assumptions and Sensis'!$H$48/12),0),0)</f>
        <v>0</v>
      </c>
      <c r="Y235" s="41">
        <f>+IF(AND(Y234&gt;='Assumptions and Sensis'!$H$47,Y234&lt;'Assumptions and Sensis'!$H$49),'Assumptions and Sensis'!$P$241/ROUNDUP(('Assumptions and Sensis'!$H$48/12),0),0)</f>
        <v>0</v>
      </c>
      <c r="Z235" s="41">
        <f>+IF(AND(Z234&gt;='Assumptions and Sensis'!$H$47,Z234&lt;'Assumptions and Sensis'!$H$49),'Assumptions and Sensis'!$P$241/ROUNDUP(('Assumptions and Sensis'!$H$48/12),0),0)</f>
        <v>0</v>
      </c>
    </row>
    <row r="236" spans="2:26" x14ac:dyDescent="0.2">
      <c r="B236" s="32" t="s">
        <v>246</v>
      </c>
      <c r="C236" s="32"/>
      <c r="D236" s="41">
        <v>0</v>
      </c>
      <c r="E236" s="41"/>
      <c r="F236" s="41">
        <f>+D236+F235</f>
        <v>0</v>
      </c>
      <c r="G236" s="41">
        <f t="shared" ref="G236:Z236" si="93">+F236+G235</f>
        <v>0</v>
      </c>
      <c r="H236" s="41">
        <f t="shared" si="93"/>
        <v>0</v>
      </c>
      <c r="I236" s="41">
        <f t="shared" si="93"/>
        <v>117315</v>
      </c>
      <c r="J236" s="41">
        <f t="shared" si="93"/>
        <v>234630</v>
      </c>
      <c r="K236" s="41">
        <f t="shared" si="93"/>
        <v>234630</v>
      </c>
      <c r="L236" s="41">
        <f t="shared" si="93"/>
        <v>234630</v>
      </c>
      <c r="M236" s="41">
        <f t="shared" si="93"/>
        <v>234630</v>
      </c>
      <c r="N236" s="41">
        <f t="shared" si="93"/>
        <v>234630</v>
      </c>
      <c r="O236" s="41">
        <f t="shared" si="93"/>
        <v>234630</v>
      </c>
      <c r="P236" s="41">
        <f t="shared" si="93"/>
        <v>234630</v>
      </c>
      <c r="Q236" s="41">
        <f t="shared" si="93"/>
        <v>234630</v>
      </c>
      <c r="R236" s="41">
        <f t="shared" si="93"/>
        <v>234630</v>
      </c>
      <c r="S236" s="41">
        <f t="shared" si="93"/>
        <v>234630</v>
      </c>
      <c r="T236" s="41">
        <f t="shared" si="93"/>
        <v>234630</v>
      </c>
      <c r="U236" s="41">
        <f t="shared" si="93"/>
        <v>234630</v>
      </c>
      <c r="V236" s="41">
        <f t="shared" si="93"/>
        <v>234630</v>
      </c>
      <c r="W236" s="41">
        <f t="shared" si="93"/>
        <v>234630</v>
      </c>
      <c r="X236" s="41">
        <f t="shared" si="93"/>
        <v>234630</v>
      </c>
      <c r="Y236" s="41">
        <f t="shared" si="93"/>
        <v>234630</v>
      </c>
      <c r="Z236" s="41">
        <f t="shared" si="93"/>
        <v>234630</v>
      </c>
    </row>
    <row r="237" spans="2:26" x14ac:dyDescent="0.2">
      <c r="B237" s="32" t="s">
        <v>301</v>
      </c>
      <c r="C237" s="32"/>
      <c r="D237" s="41"/>
      <c r="E237" s="41"/>
      <c r="F237" s="107">
        <f t="shared" ref="F237:Z237" si="94">+F236/SUM($F235:$Z235)</f>
        <v>0</v>
      </c>
      <c r="G237" s="107">
        <f t="shared" si="94"/>
        <v>0</v>
      </c>
      <c r="H237" s="107">
        <f t="shared" si="94"/>
        <v>0</v>
      </c>
      <c r="I237" s="107">
        <f t="shared" si="94"/>
        <v>0.5</v>
      </c>
      <c r="J237" s="107">
        <f t="shared" si="94"/>
        <v>1</v>
      </c>
      <c r="K237" s="107">
        <f t="shared" si="94"/>
        <v>1</v>
      </c>
      <c r="L237" s="107">
        <f t="shared" si="94"/>
        <v>1</v>
      </c>
      <c r="M237" s="107">
        <f t="shared" si="94"/>
        <v>1</v>
      </c>
      <c r="N237" s="107">
        <f t="shared" si="94"/>
        <v>1</v>
      </c>
      <c r="O237" s="107">
        <f t="shared" si="94"/>
        <v>1</v>
      </c>
      <c r="P237" s="107">
        <f t="shared" si="94"/>
        <v>1</v>
      </c>
      <c r="Q237" s="107">
        <f t="shared" si="94"/>
        <v>1</v>
      </c>
      <c r="R237" s="107">
        <f t="shared" si="94"/>
        <v>1</v>
      </c>
      <c r="S237" s="107">
        <f t="shared" si="94"/>
        <v>1</v>
      </c>
      <c r="T237" s="107">
        <f t="shared" si="94"/>
        <v>1</v>
      </c>
      <c r="U237" s="107">
        <f t="shared" si="94"/>
        <v>1</v>
      </c>
      <c r="V237" s="107">
        <f t="shared" si="94"/>
        <v>1</v>
      </c>
      <c r="W237" s="107">
        <f t="shared" si="94"/>
        <v>1</v>
      </c>
      <c r="X237" s="107">
        <f t="shared" si="94"/>
        <v>1</v>
      </c>
      <c r="Y237" s="107">
        <f t="shared" si="94"/>
        <v>1</v>
      </c>
      <c r="Z237" s="107">
        <f t="shared" si="94"/>
        <v>1</v>
      </c>
    </row>
    <row r="238" spans="2:26" x14ac:dyDescent="0.2">
      <c r="B238" s="32"/>
      <c r="C238" s="32"/>
      <c r="D238" s="39"/>
      <c r="E238" s="39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 spans="2:26" x14ac:dyDescent="0.2">
      <c r="B239" s="32" t="s">
        <v>251</v>
      </c>
      <c r="C239" s="32"/>
      <c r="D239" s="41"/>
      <c r="E239" s="41"/>
      <c r="F239" s="107">
        <v>1</v>
      </c>
      <c r="G239" s="107">
        <f>+IF(MOD(G$2,'Assumptions and Sensis'!$P$95)=('Assumptions and Sensis'!$P$95-1),F239*(1+'Assumptions and Sensis'!$P$94),'Phase III Pro Forma'!F239)</f>
        <v>1</v>
      </c>
      <c r="H239" s="107">
        <f>+IF(MOD(H$2,'Assumptions and Sensis'!$P$95)=('Assumptions and Sensis'!$P$95-1),G239*(1+'Assumptions and Sensis'!$P$94),'Phase III Pro Forma'!G239)</f>
        <v>1</v>
      </c>
      <c r="I239" s="107">
        <f>+IF(MOD(I$2,'Assumptions and Sensis'!$P$95)=('Assumptions and Sensis'!$P$95-1),H239*(1+'Assumptions and Sensis'!$P$94),'Phase III Pro Forma'!H239)</f>
        <v>1</v>
      </c>
      <c r="J239" s="107">
        <f>+IF(MOD(J$2,'Assumptions and Sensis'!$P$95)=('Assumptions and Sensis'!$P$95-1),I239*(1+'Assumptions and Sensis'!$P$94),'Phase III Pro Forma'!I239)</f>
        <v>1</v>
      </c>
      <c r="K239" s="107">
        <f>+IF(MOD(K$2,'Assumptions and Sensis'!$P$95)=('Assumptions and Sensis'!$P$95-1),J239*(1+'Assumptions and Sensis'!$P$94),'Phase III Pro Forma'!J239)</f>
        <v>1</v>
      </c>
      <c r="L239" s="107">
        <f>+IF(MOD(L$2,'Assumptions and Sensis'!$P$95)=('Assumptions and Sensis'!$P$95-1),K239*(1+'Assumptions and Sensis'!$P$94),'Phase III Pro Forma'!K239)</f>
        <v>1.1000000000000001</v>
      </c>
      <c r="M239" s="107">
        <f>+IF(MOD(M$2,'Assumptions and Sensis'!$P$95)=('Assumptions and Sensis'!$P$95-1),L239*(1+'Assumptions and Sensis'!$P$94),'Phase III Pro Forma'!L239)</f>
        <v>1.1000000000000001</v>
      </c>
      <c r="N239" s="107">
        <f>+IF(MOD(N$2,'Assumptions and Sensis'!$P$95)=('Assumptions and Sensis'!$P$95-1),M239*(1+'Assumptions and Sensis'!$P$94),'Phase III Pro Forma'!M239)</f>
        <v>1.1000000000000001</v>
      </c>
      <c r="O239" s="107">
        <f>+IF(MOD(O$2,'Assumptions and Sensis'!$P$95)=('Assumptions and Sensis'!$P$95-1),N239*(1+'Assumptions and Sensis'!$P$94),'Phase III Pro Forma'!N239)</f>
        <v>1.1000000000000001</v>
      </c>
      <c r="P239" s="107">
        <f>+IF(MOD(P$2,'Assumptions and Sensis'!$P$95)=('Assumptions and Sensis'!$P$95-1),O239*(1+'Assumptions and Sensis'!$P$94),'Phase III Pro Forma'!O239)</f>
        <v>1.1000000000000001</v>
      </c>
      <c r="Q239" s="107">
        <f>+IF(MOD(Q$2,'Assumptions and Sensis'!$P$95)=('Assumptions and Sensis'!$P$95-1),P239*(1+'Assumptions and Sensis'!$P$94),'Phase III Pro Forma'!P239)</f>
        <v>1.2100000000000002</v>
      </c>
      <c r="R239" s="107">
        <f>+IF(MOD(R$2,'Assumptions and Sensis'!$P$95)=('Assumptions and Sensis'!$P$95-1),Q239*(1+'Assumptions and Sensis'!$P$94),'Phase III Pro Forma'!Q239)</f>
        <v>1.2100000000000002</v>
      </c>
      <c r="S239" s="107">
        <f>+IF(MOD(S$2,'Assumptions and Sensis'!$P$95)=('Assumptions and Sensis'!$P$95-1),R239*(1+'Assumptions and Sensis'!$P$94),'Phase III Pro Forma'!R239)</f>
        <v>1.2100000000000002</v>
      </c>
      <c r="T239" s="107">
        <f>+IF(MOD(T$2,'Assumptions and Sensis'!$P$95)=('Assumptions and Sensis'!$P$95-1),S239*(1+'Assumptions and Sensis'!$P$94),'Phase III Pro Forma'!S239)</f>
        <v>1.2100000000000002</v>
      </c>
      <c r="U239" s="107">
        <f>+IF(MOD(U$2,'Assumptions and Sensis'!$P$95)=('Assumptions and Sensis'!$P$95-1),T239*(1+'Assumptions and Sensis'!$P$94),'Phase III Pro Forma'!T239)</f>
        <v>1.2100000000000002</v>
      </c>
      <c r="V239" s="107">
        <f>+IF(MOD(V$2,'Assumptions and Sensis'!$P$95)=('Assumptions and Sensis'!$P$95-1),U239*(1+'Assumptions and Sensis'!$P$94),'Phase III Pro Forma'!U239)</f>
        <v>1.3310000000000004</v>
      </c>
      <c r="W239" s="107">
        <f>+IF(MOD(W$2,'Assumptions and Sensis'!$P$95)=('Assumptions and Sensis'!$P$95-1),V239*(1+'Assumptions and Sensis'!$P$94),'Phase III Pro Forma'!V239)</f>
        <v>1.3310000000000004</v>
      </c>
      <c r="X239" s="107">
        <f>+IF(MOD(X$2,'Assumptions and Sensis'!$P$95)=('Assumptions and Sensis'!$P$95-1),W239*(1+'Assumptions and Sensis'!$P$94),'Phase III Pro Forma'!W239)</f>
        <v>1.3310000000000004</v>
      </c>
      <c r="Y239" s="107">
        <f>+IF(MOD(Y$2,'Assumptions and Sensis'!$P$95)=('Assumptions and Sensis'!$P$95-1),X239*(1+'Assumptions and Sensis'!$P$94),'Phase III Pro Forma'!X239)</f>
        <v>1.3310000000000004</v>
      </c>
      <c r="Z239" s="107">
        <f>+IF(MOD(Z$2,'Assumptions and Sensis'!$P$95)=('Assumptions and Sensis'!$P$95-1),Y239*(1+'Assumptions and Sensis'!$P$94),'Phase III Pro Forma'!Y239)</f>
        <v>1.3310000000000004</v>
      </c>
    </row>
    <row r="240" spans="2:26" x14ac:dyDescent="0.2">
      <c r="B240" s="32" t="s">
        <v>252</v>
      </c>
      <c r="C240" s="32"/>
      <c r="D240" s="41"/>
      <c r="E240" s="41"/>
      <c r="F240" s="107">
        <v>1</v>
      </c>
      <c r="G240" s="107">
        <f>+F240*(1+'Assumptions and Sensis'!$P$103)</f>
        <v>1.03</v>
      </c>
      <c r="H240" s="107">
        <f>+G240*(1+'Assumptions and Sensis'!$P$103)</f>
        <v>1.0609</v>
      </c>
      <c r="I240" s="107">
        <f>+H240*(1+'Assumptions and Sensis'!$P$103)</f>
        <v>1.092727</v>
      </c>
      <c r="J240" s="107">
        <f>+I240*(1+'Assumptions and Sensis'!$P$103)</f>
        <v>1.1255088100000001</v>
      </c>
      <c r="K240" s="107">
        <f>+J240*(1+'Assumptions and Sensis'!$P$103)</f>
        <v>1.1592740743000001</v>
      </c>
      <c r="L240" s="107">
        <f>+K240*(1+'Assumptions and Sensis'!$P$103)</f>
        <v>1.1940522965290001</v>
      </c>
      <c r="M240" s="107">
        <f>+L240*(1+'Assumptions and Sensis'!$P$103)</f>
        <v>1.2298738654248702</v>
      </c>
      <c r="N240" s="107">
        <f>+M240*(1+'Assumptions and Sensis'!$P$103)</f>
        <v>1.2667700813876164</v>
      </c>
      <c r="O240" s="107">
        <f>+N240*(1+'Assumptions and Sensis'!$P$103)</f>
        <v>1.3047731838292449</v>
      </c>
      <c r="P240" s="107">
        <f>+O240*(1+'Assumptions and Sensis'!$P$103)</f>
        <v>1.3439163793441222</v>
      </c>
      <c r="Q240" s="107">
        <f>+P240*(1+'Assumptions and Sensis'!$P$103)</f>
        <v>1.3842338707244459</v>
      </c>
      <c r="R240" s="107">
        <f>+Q240*(1+'Assumptions and Sensis'!$P$103)</f>
        <v>1.4257608868461793</v>
      </c>
      <c r="S240" s="107">
        <f>+R240*(1+'Assumptions and Sensis'!$P$103)</f>
        <v>1.4685337134515648</v>
      </c>
      <c r="T240" s="107">
        <f>+S240*(1+'Assumptions and Sensis'!$P$103)</f>
        <v>1.5125897248551119</v>
      </c>
      <c r="U240" s="107">
        <f>+T240*(1+'Assumptions and Sensis'!$P$103)</f>
        <v>1.5579674166007653</v>
      </c>
      <c r="V240" s="107">
        <f>+U240*(1+'Assumptions and Sensis'!$P$103)</f>
        <v>1.6047064390987884</v>
      </c>
      <c r="W240" s="107">
        <f>+V240*(1+'Assumptions and Sensis'!$P$103)</f>
        <v>1.652847632271752</v>
      </c>
      <c r="X240" s="107">
        <f>+W240*(1+'Assumptions and Sensis'!$P$103)</f>
        <v>1.7024330612399046</v>
      </c>
      <c r="Y240" s="107">
        <f>+X240*(1+'Assumptions and Sensis'!$P$103)</f>
        <v>1.7535060530771018</v>
      </c>
      <c r="Z240" s="107">
        <f>+Y240*(1+'Assumptions and Sensis'!$P$103)</f>
        <v>1.806111234669415</v>
      </c>
    </row>
    <row r="241" spans="2:26" x14ac:dyDescent="0.2">
      <c r="B241" s="32"/>
      <c r="C241" s="32"/>
      <c r="D241" s="39"/>
      <c r="E241" s="39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 spans="2:26" x14ac:dyDescent="0.2">
      <c r="B242" s="32" t="s">
        <v>243</v>
      </c>
      <c r="C242" s="32"/>
      <c r="D242" s="39"/>
      <c r="E242" s="39"/>
      <c r="F242" s="33">
        <f>+F237*'Assumptions and Sensis'!$P$240*F239</f>
        <v>0</v>
      </c>
      <c r="G242" s="33">
        <f>+G237*'Assumptions and Sensis'!$P$240*G239</f>
        <v>0</v>
      </c>
      <c r="H242" s="33">
        <f>+H237*'Assumptions and Sensis'!$P$240*H239</f>
        <v>0</v>
      </c>
      <c r="I242" s="33">
        <f>+I237*'Assumptions and Sensis'!$P$240*I239</f>
        <v>1523826.3462048001</v>
      </c>
      <c r="J242" s="33">
        <f>+J237*'Assumptions and Sensis'!$P$240*J239</f>
        <v>3047652.6924096001</v>
      </c>
      <c r="K242" s="33">
        <f>+K237*'Assumptions and Sensis'!$P$240*K239</f>
        <v>3047652.6924096001</v>
      </c>
      <c r="L242" s="33">
        <f>+L237*'Assumptions and Sensis'!$P$240*L239</f>
        <v>3352417.9616505606</v>
      </c>
      <c r="M242" s="33">
        <f>+M237*'Assumptions and Sensis'!$P$240*M239</f>
        <v>3352417.9616505606</v>
      </c>
      <c r="N242" s="33">
        <f>+N237*'Assumptions and Sensis'!$P$240*N239</f>
        <v>3352417.9616505606</v>
      </c>
      <c r="O242" s="33">
        <f>+O237*'Assumptions and Sensis'!$P$240*O239</f>
        <v>3352417.9616505606</v>
      </c>
      <c r="P242" s="33">
        <f>+P237*'Assumptions and Sensis'!$P$240*P239</f>
        <v>3352417.9616505606</v>
      </c>
      <c r="Q242" s="33">
        <f>+Q237*'Assumptions and Sensis'!$P$240*Q239</f>
        <v>3687659.7578156167</v>
      </c>
      <c r="R242" s="33">
        <f>+R237*'Assumptions and Sensis'!$P$240*R239</f>
        <v>3687659.7578156167</v>
      </c>
      <c r="S242" s="33">
        <f>+S237*'Assumptions and Sensis'!$P$240*S239</f>
        <v>3687659.7578156167</v>
      </c>
      <c r="T242" s="33">
        <f>+T237*'Assumptions and Sensis'!$P$240*T239</f>
        <v>3687659.7578156167</v>
      </c>
      <c r="U242" s="33">
        <f>+U237*'Assumptions and Sensis'!$P$240*U239</f>
        <v>3687659.7578156167</v>
      </c>
      <c r="V242" s="33">
        <f>+V237*'Assumptions and Sensis'!$P$240*V239</f>
        <v>4056425.7335971789</v>
      </c>
      <c r="W242" s="33">
        <f>+W237*'Assumptions and Sensis'!$P$240*W239</f>
        <v>4056425.7335971789</v>
      </c>
      <c r="X242" s="33">
        <f>+X237*'Assumptions and Sensis'!$P$240*X239</f>
        <v>4056425.7335971789</v>
      </c>
      <c r="Y242" s="33">
        <f>+Y237*'Assumptions and Sensis'!$P$240*Y239</f>
        <v>4056425.7335971789</v>
      </c>
      <c r="Z242" s="33">
        <f>+Z237*'Assumptions and Sensis'!$P$240*Z239</f>
        <v>4056425.7335971789</v>
      </c>
    </row>
    <row r="243" spans="2:26" x14ac:dyDescent="0.2">
      <c r="B243" s="32" t="s">
        <v>244</v>
      </c>
      <c r="C243" s="32"/>
      <c r="D243" s="39"/>
      <c r="E243" s="39"/>
      <c r="F243" s="41">
        <f>-F242*'Assumptions and Sensis'!$P$80</f>
        <v>0</v>
      </c>
      <c r="G243" s="41">
        <f>-G242*'Assumptions and Sensis'!$P$80</f>
        <v>0</v>
      </c>
      <c r="H243" s="41">
        <f>-H242*'Assumptions and Sensis'!$P$80</f>
        <v>0</v>
      </c>
      <c r="I243" s="41">
        <f>-I242*'Assumptions and Sensis'!$P$80</f>
        <v>-91429.580772287998</v>
      </c>
      <c r="J243" s="41">
        <f>-J242*'Assumptions and Sensis'!$P$80</f>
        <v>-182859.161544576</v>
      </c>
      <c r="K243" s="41">
        <f>-K242*'Assumptions and Sensis'!$P$80</f>
        <v>-182859.161544576</v>
      </c>
      <c r="L243" s="41">
        <f>-L242*'Assumptions and Sensis'!$P$80</f>
        <v>-201145.07769903363</v>
      </c>
      <c r="M243" s="41">
        <f>-M242*'Assumptions and Sensis'!$P$80</f>
        <v>-201145.07769903363</v>
      </c>
      <c r="N243" s="41">
        <f>-N242*'Assumptions and Sensis'!$P$80</f>
        <v>-201145.07769903363</v>
      </c>
      <c r="O243" s="41">
        <f>-O242*'Assumptions and Sensis'!$P$80</f>
        <v>-201145.07769903363</v>
      </c>
      <c r="P243" s="41">
        <f>-P242*'Assumptions and Sensis'!$P$80</f>
        <v>-201145.07769903363</v>
      </c>
      <c r="Q243" s="41">
        <f>-Q242*'Assumptions and Sensis'!$P$80</f>
        <v>-221259.585468937</v>
      </c>
      <c r="R243" s="41">
        <f>-R242*'Assumptions and Sensis'!$P$80</f>
        <v>-221259.585468937</v>
      </c>
      <c r="S243" s="41">
        <f>-S242*'Assumptions and Sensis'!$P$80</f>
        <v>-221259.585468937</v>
      </c>
      <c r="T243" s="41">
        <f>-T242*'Assumptions and Sensis'!$P$80</f>
        <v>-221259.585468937</v>
      </c>
      <c r="U243" s="41">
        <f>-U242*'Assumptions and Sensis'!$P$80</f>
        <v>-221259.585468937</v>
      </c>
      <c r="V243" s="41">
        <f>-V242*'Assumptions and Sensis'!$P$80</f>
        <v>-243385.54401583073</v>
      </c>
      <c r="W243" s="41">
        <f>-W242*'Assumptions and Sensis'!$P$80</f>
        <v>-243385.54401583073</v>
      </c>
      <c r="X243" s="41">
        <f>-X242*'Assumptions and Sensis'!$P$80</f>
        <v>-243385.54401583073</v>
      </c>
      <c r="Y243" s="41">
        <f>-Y242*'Assumptions and Sensis'!$P$80</f>
        <v>-243385.54401583073</v>
      </c>
      <c r="Z243" s="41">
        <f>-Z242*'Assumptions and Sensis'!$P$80</f>
        <v>-243385.54401583073</v>
      </c>
    </row>
    <row r="244" spans="2:26" x14ac:dyDescent="0.2">
      <c r="B244" s="32" t="s">
        <v>259</v>
      </c>
      <c r="C244" s="32"/>
      <c r="D244" s="39"/>
      <c r="E244" s="39"/>
      <c r="F244" s="150">
        <f ca="1">+F249*'Assumptions and Sensis'!$P$114</f>
        <v>0</v>
      </c>
      <c r="G244" s="150">
        <f ca="1">+G249*'Assumptions and Sensis'!$P$114</f>
        <v>0</v>
      </c>
      <c r="H244" s="150">
        <f ca="1">+H249*'Assumptions and Sensis'!$P$114</f>
        <v>0</v>
      </c>
      <c r="I244" s="150">
        <f ca="1">+I249*'Assumptions and Sensis'!$P$114</f>
        <v>720493.33603014029</v>
      </c>
      <c r="J244" s="150">
        <f ca="1">+J249*'Assumptions and Sensis'!$P$114</f>
        <v>1475356.8261408508</v>
      </c>
      <c r="K244" s="150">
        <f ca="1">+K249*'Assumptions and Sensis'!$P$114</f>
        <v>1492507.6259164866</v>
      </c>
      <c r="L244" s="150">
        <f ca="1">+L249*'Assumptions and Sensis'!$P$114</f>
        <v>1510172.949685392</v>
      </c>
      <c r="M244" s="150">
        <f ca="1">+M249*'Assumptions and Sensis'!$P$114</f>
        <v>1546441.5031730905</v>
      </c>
      <c r="N244" s="150">
        <f ca="1">+N249*'Assumptions and Sensis'!$P$114</f>
        <v>1565182.6451595221</v>
      </c>
      <c r="O244" s="150">
        <f ca="1">+O249*'Assumptions and Sensis'!$P$114</f>
        <v>1584486.0214055467</v>
      </c>
      <c r="P244" s="150">
        <f ca="1">+P249*'Assumptions and Sensis'!$P$114</f>
        <v>1622803.2343447926</v>
      </c>
      <c r="Q244" s="150">
        <f ca="1">+Q249*'Assumptions and Sensis'!$P$114</f>
        <v>1643282.1862042001</v>
      </c>
      <c r="R244" s="150">
        <f ca="1">+R249*'Assumptions and Sensis'!$P$114</f>
        <v>1664375.5066193896</v>
      </c>
      <c r="S244" s="150">
        <f ca="1">+S249*'Assumptions and Sensis'!$P$114</f>
        <v>1704905.0567609924</v>
      </c>
      <c r="T244" s="150">
        <f ca="1">+T249*'Assumptions and Sensis'!$P$114</f>
        <v>1727282.9603894674</v>
      </c>
      <c r="U244" s="150">
        <f ca="1">+U249*'Assumptions and Sensis'!$P$114</f>
        <v>1750332.2011267962</v>
      </c>
      <c r="V244" s="150">
        <f ca="1">+V249*'Assumptions and Sensis'!$P$114</f>
        <v>1793252.4178024819</v>
      </c>
      <c r="W244" s="150">
        <f ca="1">+W249*'Assumptions and Sensis'!$P$114</f>
        <v>1817705.3573007141</v>
      </c>
      <c r="X244" s="150">
        <f ca="1">+X249*'Assumptions and Sensis'!$P$114</f>
        <v>1842891.8849838935</v>
      </c>
      <c r="Y244" s="150">
        <f ca="1">+Y249*'Assumptions and Sensis'!$P$114</f>
        <v>1888397.0971881296</v>
      </c>
      <c r="Z244" s="150">
        <f ca="1">+Z249*'Assumptions and Sensis'!$P$114</f>
        <v>1915117.4844072144</v>
      </c>
    </row>
    <row r="245" spans="2:26" x14ac:dyDescent="0.2">
      <c r="B245" s="136" t="s">
        <v>253</v>
      </c>
      <c r="C245" s="136"/>
      <c r="D245" s="136"/>
      <c r="E245" s="136"/>
      <c r="F245" s="128">
        <f t="shared" ref="F245:Z245" ca="1" si="95">+SUM(F242:F244)</f>
        <v>0</v>
      </c>
      <c r="G245" s="128">
        <f t="shared" ca="1" si="95"/>
        <v>0</v>
      </c>
      <c r="H245" s="128">
        <f t="shared" ca="1" si="95"/>
        <v>0</v>
      </c>
      <c r="I245" s="128">
        <f t="shared" ca="1" si="95"/>
        <v>2152890.1014626524</v>
      </c>
      <c r="J245" s="128">
        <f t="shared" ca="1" si="95"/>
        <v>4340150.3570058756</v>
      </c>
      <c r="K245" s="128">
        <f t="shared" ca="1" si="95"/>
        <v>4357301.1567815114</v>
      </c>
      <c r="L245" s="128">
        <f t="shared" ca="1" si="95"/>
        <v>4661445.833636919</v>
      </c>
      <c r="M245" s="128">
        <f t="shared" ca="1" si="95"/>
        <v>4697714.3871246176</v>
      </c>
      <c r="N245" s="128">
        <f t="shared" ca="1" si="95"/>
        <v>4716455.5291110491</v>
      </c>
      <c r="O245" s="128">
        <f t="shared" ca="1" si="95"/>
        <v>4735758.905357074</v>
      </c>
      <c r="P245" s="128">
        <f t="shared" ca="1" si="95"/>
        <v>4774076.1182963196</v>
      </c>
      <c r="Q245" s="128">
        <f t="shared" ca="1" si="95"/>
        <v>5109682.3585508801</v>
      </c>
      <c r="R245" s="128">
        <f t="shared" ca="1" si="95"/>
        <v>5130775.6789660696</v>
      </c>
      <c r="S245" s="128">
        <f t="shared" ca="1" si="95"/>
        <v>5171305.2291076723</v>
      </c>
      <c r="T245" s="128">
        <f t="shared" ca="1" si="95"/>
        <v>5193683.1327361465</v>
      </c>
      <c r="U245" s="128">
        <f t="shared" ca="1" si="95"/>
        <v>5216732.3734734757</v>
      </c>
      <c r="V245" s="128">
        <f t="shared" ca="1" si="95"/>
        <v>5606292.6073838305</v>
      </c>
      <c r="W245" s="128">
        <f t="shared" ca="1" si="95"/>
        <v>5630745.5468820622</v>
      </c>
      <c r="X245" s="128">
        <f t="shared" ca="1" si="95"/>
        <v>5655932.0745652411</v>
      </c>
      <c r="Y245" s="128">
        <f t="shared" ca="1" si="95"/>
        <v>5701437.2867694777</v>
      </c>
      <c r="Z245" s="128">
        <f t="shared" ca="1" si="95"/>
        <v>5728157.6739885621</v>
      </c>
    </row>
    <row r="247" spans="2:26" x14ac:dyDescent="0.2">
      <c r="B247" s="32" t="s">
        <v>389</v>
      </c>
      <c r="F247" s="33">
        <f>+F236*'Assumptions and Sensis'!$P$148*'Phase III Pro Forma'!F240</f>
        <v>0</v>
      </c>
      <c r="G247" s="33">
        <f>+G236*'Assumptions and Sensis'!$P$148*'Phase III Pro Forma'!G240</f>
        <v>0</v>
      </c>
      <c r="H247" s="33">
        <f>+H236*'Assumptions and Sensis'!$P$148*'Phase III Pro Forma'!H240</f>
        <v>0</v>
      </c>
      <c r="I247" s="33">
        <f>+I236*'Assumptions and Sensis'!$P$148*'Phase III Pro Forma'!I240</f>
        <v>277521.03196822206</v>
      </c>
      <c r="J247" s="33">
        <f>+J236*'Assumptions and Sensis'!$P$148*'Phase III Pro Forma'!J240</f>
        <v>571693.32585453754</v>
      </c>
      <c r="K247" s="33">
        <f>+K236*'Assumptions and Sensis'!$P$148*'Phase III Pro Forma'!K240</f>
        <v>588844.1256301736</v>
      </c>
      <c r="L247" s="33">
        <f>+L236*'Assumptions and Sensis'!$P$148*'Phase III Pro Forma'!L240</f>
        <v>606509.44939907885</v>
      </c>
      <c r="M247" s="33">
        <f>+M236*'Assumptions and Sensis'!$P$148*'Phase III Pro Forma'!M240</f>
        <v>624704.73288105126</v>
      </c>
      <c r="N247" s="33">
        <f>+N236*'Assumptions and Sensis'!$P$148*'Phase III Pro Forma'!N240</f>
        <v>643445.87486748281</v>
      </c>
      <c r="O247" s="33">
        <f>+O236*'Assumptions and Sensis'!$P$148*'Phase III Pro Forma'!O240</f>
        <v>662749.25111350731</v>
      </c>
      <c r="P247" s="33">
        <f>+P236*'Assumptions and Sensis'!$P$148*'Phase III Pro Forma'!P240</f>
        <v>682631.7286469125</v>
      </c>
      <c r="Q247" s="33">
        <f>+Q236*'Assumptions and Sensis'!$P$148*'Phase III Pro Forma'!Q240</f>
        <v>703110.68050631997</v>
      </c>
      <c r="R247" s="33">
        <f>+R236*'Assumptions and Sensis'!$P$148*'Phase III Pro Forma'!R240</f>
        <v>724204.00092150946</v>
      </c>
      <c r="S247" s="33">
        <f>+S236*'Assumptions and Sensis'!$P$148*'Phase III Pro Forma'!S240</f>
        <v>745930.12094915484</v>
      </c>
      <c r="T247" s="33">
        <f>+T236*'Assumptions and Sensis'!$P$148*'Phase III Pro Forma'!T240</f>
        <v>768308.02457762964</v>
      </c>
      <c r="U247" s="33">
        <f>+U236*'Assumptions and Sensis'!$P$148*'Phase III Pro Forma'!U240</f>
        <v>791357.26531495852</v>
      </c>
      <c r="V247" s="33">
        <f>+V236*'Assumptions and Sensis'!$P$148*'Phase III Pro Forma'!V240</f>
        <v>815097.98327440734</v>
      </c>
      <c r="W247" s="33">
        <f>+W236*'Assumptions and Sensis'!$P$148*'Phase III Pro Forma'!W240</f>
        <v>839550.92277263955</v>
      </c>
      <c r="X247" s="33">
        <f>+X236*'Assumptions and Sensis'!$P$148*'Phase III Pro Forma'!X240</f>
        <v>864737.45045581867</v>
      </c>
      <c r="Y247" s="33">
        <f>+Y236*'Assumptions and Sensis'!$P$148*'Phase III Pro Forma'!Y240</f>
        <v>890679.57396949339</v>
      </c>
      <c r="Z247" s="33">
        <f>+Z236*'Assumptions and Sensis'!$P$148*'Phase III Pro Forma'!Z240</f>
        <v>917399.96118857816</v>
      </c>
    </row>
    <row r="248" spans="2:26" x14ac:dyDescent="0.2">
      <c r="B248" s="32" t="s">
        <v>325</v>
      </c>
      <c r="F248" s="150">
        <f ca="1">+IFERROR(INDEX('Taxes and TIF'!$AR$11:$AR$45,MATCH('Phase III Pro Forma'!F$7,'Taxes and TIF'!$AG$11:$AG$45,0)),0)*'Loan Sizing'!$M$54*F237</f>
        <v>0</v>
      </c>
      <c r="G248" s="150">
        <f ca="1">+IFERROR(INDEX('Taxes and TIF'!$AR$11:$AR$45,MATCH('Phase III Pro Forma'!G$7,'Taxes and TIF'!$AG$11:$AG$45,0)),0)*'Loan Sizing'!$M$54*G237</f>
        <v>0</v>
      </c>
      <c r="H248" s="150">
        <f ca="1">+IFERROR(INDEX('Taxes and TIF'!$AR$11:$AR$45,MATCH('Phase III Pro Forma'!H$7,'Taxes and TIF'!$AG$11:$AG$45,0)),0)*'Loan Sizing'!$M$54*H237</f>
        <v>0</v>
      </c>
      <c r="I248" s="150">
        <f ca="1">+IFERROR(INDEX('Taxes and TIF'!$AR$11:$AR$45,MATCH('Phase III Pro Forma'!I$7,'Taxes and TIF'!$AG$11:$AG$45,0)),0)*'Loan Sizing'!$M$54*I237</f>
        <v>442972.30406191823</v>
      </c>
      <c r="J248" s="150">
        <f ca="1">+IFERROR(INDEX('Taxes and TIF'!$AR$11:$AR$45,MATCH('Phase III Pro Forma'!J$7,'Taxes and TIF'!$AG$11:$AG$45,0)),0)*'Loan Sizing'!$M$54*J237</f>
        <v>903663.50028631324</v>
      </c>
      <c r="K248" s="150">
        <f ca="1">+IFERROR(INDEX('Taxes and TIF'!$AR$11:$AR$45,MATCH('Phase III Pro Forma'!K$7,'Taxes and TIF'!$AG$11:$AG$45,0)),0)*'Loan Sizing'!$M$54*K237</f>
        <v>903663.50028631324</v>
      </c>
      <c r="L248" s="150">
        <f ca="1">+IFERROR(INDEX('Taxes and TIF'!$AR$11:$AR$45,MATCH('Phase III Pro Forma'!L$7,'Taxes and TIF'!$AG$11:$AG$45,0)),0)*'Loan Sizing'!$M$54*L237</f>
        <v>903663.50028631324</v>
      </c>
      <c r="M248" s="150">
        <f ca="1">+IFERROR(INDEX('Taxes and TIF'!$AR$11:$AR$45,MATCH('Phase III Pro Forma'!M$7,'Taxes and TIF'!$AG$11:$AG$45,0)),0)*'Loan Sizing'!$M$54*M237</f>
        <v>921736.77029203938</v>
      </c>
      <c r="N248" s="150">
        <f ca="1">+IFERROR(INDEX('Taxes and TIF'!$AR$11:$AR$45,MATCH('Phase III Pro Forma'!N$7,'Taxes and TIF'!$AG$11:$AG$45,0)),0)*'Loan Sizing'!$M$54*N237</f>
        <v>921736.77029203938</v>
      </c>
      <c r="O248" s="150">
        <f ca="1">+IFERROR(INDEX('Taxes and TIF'!$AR$11:$AR$45,MATCH('Phase III Pro Forma'!O$7,'Taxes and TIF'!$AG$11:$AG$45,0)),0)*'Loan Sizing'!$M$54*O237</f>
        <v>921736.77029203938</v>
      </c>
      <c r="P248" s="150">
        <f ca="1">+IFERROR(INDEX('Taxes and TIF'!$AR$11:$AR$45,MATCH('Phase III Pro Forma'!P$7,'Taxes and TIF'!$AG$11:$AG$45,0)),0)*'Loan Sizing'!$M$54*P237</f>
        <v>940171.50569788029</v>
      </c>
      <c r="Q248" s="150">
        <f ca="1">+IFERROR(INDEX('Taxes and TIF'!$AR$11:$AR$45,MATCH('Phase III Pro Forma'!Q$7,'Taxes and TIF'!$AG$11:$AG$45,0)),0)*'Loan Sizing'!$M$54*Q237</f>
        <v>940171.50569788029</v>
      </c>
      <c r="R248" s="150">
        <f ca="1">+IFERROR(INDEX('Taxes and TIF'!$AR$11:$AR$45,MATCH('Phase III Pro Forma'!R$7,'Taxes and TIF'!$AG$11:$AG$45,0)),0)*'Loan Sizing'!$M$54*R237</f>
        <v>940171.50569788029</v>
      </c>
      <c r="S248" s="150">
        <f ca="1">+IFERROR(INDEX('Taxes and TIF'!$AR$11:$AR$45,MATCH('Phase III Pro Forma'!S$7,'Taxes and TIF'!$AG$11:$AG$45,0)),0)*'Loan Sizing'!$M$54*S237</f>
        <v>958974.9358118379</v>
      </c>
      <c r="T248" s="150">
        <f ca="1">+IFERROR(INDEX('Taxes and TIF'!$AR$11:$AR$45,MATCH('Phase III Pro Forma'!T$7,'Taxes and TIF'!$AG$11:$AG$45,0)),0)*'Loan Sizing'!$M$54*T237</f>
        <v>958974.9358118379</v>
      </c>
      <c r="U248" s="150">
        <f ca="1">+IFERROR(INDEX('Taxes and TIF'!$AR$11:$AR$45,MATCH('Phase III Pro Forma'!U$7,'Taxes and TIF'!$AG$11:$AG$45,0)),0)*'Loan Sizing'!$M$54*U237</f>
        <v>958974.9358118379</v>
      </c>
      <c r="V248" s="150">
        <f ca="1">+IFERROR(INDEX('Taxes and TIF'!$AR$11:$AR$45,MATCH('Phase III Pro Forma'!V$7,'Taxes and TIF'!$AG$11:$AG$45,0)),0)*'Loan Sizing'!$M$54*V237</f>
        <v>978154.43452807481</v>
      </c>
      <c r="W248" s="150">
        <f ca="1">+IFERROR(INDEX('Taxes and TIF'!$AR$11:$AR$45,MATCH('Phase III Pro Forma'!W$7,'Taxes and TIF'!$AG$11:$AG$45,0)),0)*'Loan Sizing'!$M$54*W237</f>
        <v>978154.43452807481</v>
      </c>
      <c r="X248" s="150">
        <f ca="1">+IFERROR(INDEX('Taxes and TIF'!$AR$11:$AR$45,MATCH('Phase III Pro Forma'!X$7,'Taxes and TIF'!$AG$11:$AG$45,0)),0)*'Loan Sizing'!$M$54*X237</f>
        <v>978154.43452807481</v>
      </c>
      <c r="Y248" s="150">
        <f ca="1">+IFERROR(INDEX('Taxes and TIF'!$AR$11:$AR$45,MATCH('Phase III Pro Forma'!Y$7,'Taxes and TIF'!$AG$11:$AG$45,0)),0)*'Loan Sizing'!$M$54*Y237</f>
        <v>997717.52321863628</v>
      </c>
      <c r="Z248" s="150">
        <f ca="1">+IFERROR(INDEX('Taxes and TIF'!$AR$11:$AR$45,MATCH('Phase III Pro Forma'!Z$7,'Taxes and TIF'!$AG$11:$AG$45,0)),0)*'Loan Sizing'!$M$54*Z237</f>
        <v>997717.52321863628</v>
      </c>
    </row>
    <row r="249" spans="2:26" x14ac:dyDescent="0.2">
      <c r="B249" s="136" t="s">
        <v>249</v>
      </c>
      <c r="C249" s="136"/>
      <c r="D249" s="136"/>
      <c r="E249" s="136"/>
      <c r="F249" s="128">
        <f ca="1">+SUM(F247:F248)</f>
        <v>0</v>
      </c>
      <c r="G249" s="128">
        <f t="shared" ref="G249" ca="1" si="96">+SUM(G247:G248)</f>
        <v>0</v>
      </c>
      <c r="H249" s="128">
        <f t="shared" ref="H249:Z249" ca="1" si="97">+SUM(H247:H248)</f>
        <v>0</v>
      </c>
      <c r="I249" s="128">
        <f t="shared" ca="1" si="97"/>
        <v>720493.33603014029</v>
      </c>
      <c r="J249" s="128">
        <f t="shared" ca="1" si="97"/>
        <v>1475356.8261408508</v>
      </c>
      <c r="K249" s="128">
        <f t="shared" ca="1" si="97"/>
        <v>1492507.6259164868</v>
      </c>
      <c r="L249" s="128">
        <f t="shared" ca="1" si="97"/>
        <v>1510172.949685392</v>
      </c>
      <c r="M249" s="128">
        <f t="shared" ca="1" si="97"/>
        <v>1546441.5031730905</v>
      </c>
      <c r="N249" s="128">
        <f t="shared" ca="1" si="97"/>
        <v>1565182.6451595221</v>
      </c>
      <c r="O249" s="128">
        <f t="shared" ca="1" si="97"/>
        <v>1584486.0214055467</v>
      </c>
      <c r="P249" s="128">
        <f t="shared" ca="1" si="97"/>
        <v>1622803.2343447928</v>
      </c>
      <c r="Q249" s="128">
        <f t="shared" ca="1" si="97"/>
        <v>1643282.1862042001</v>
      </c>
      <c r="R249" s="128">
        <f t="shared" ca="1" si="97"/>
        <v>1664375.5066193896</v>
      </c>
      <c r="S249" s="128">
        <f t="shared" ca="1" si="97"/>
        <v>1704905.0567609929</v>
      </c>
      <c r="T249" s="128">
        <f t="shared" ca="1" si="97"/>
        <v>1727282.9603894674</v>
      </c>
      <c r="U249" s="128">
        <f t="shared" ca="1" si="97"/>
        <v>1750332.2011267964</v>
      </c>
      <c r="V249" s="128">
        <f t="shared" ca="1" si="97"/>
        <v>1793252.4178024821</v>
      </c>
      <c r="W249" s="128">
        <f t="shared" ca="1" si="97"/>
        <v>1817705.3573007144</v>
      </c>
      <c r="X249" s="128">
        <f t="shared" ca="1" si="97"/>
        <v>1842891.8849838935</v>
      </c>
      <c r="Y249" s="128">
        <f t="shared" ca="1" si="97"/>
        <v>1888397.0971881296</v>
      </c>
      <c r="Z249" s="128">
        <f t="shared" ca="1" si="97"/>
        <v>1915117.4844072144</v>
      </c>
    </row>
    <row r="250" spans="2:26" x14ac:dyDescent="0.2">
      <c r="B250" s="32"/>
    </row>
    <row r="251" spans="2:26" x14ac:dyDescent="0.2">
      <c r="B251" s="137" t="s">
        <v>248</v>
      </c>
      <c r="C251" s="137"/>
      <c r="D251" s="137"/>
      <c r="E251" s="137"/>
      <c r="F251" s="138">
        <f ca="1">+F245-F249</f>
        <v>0</v>
      </c>
      <c r="G251" s="138">
        <f t="shared" ref="G251:Z251" ca="1" si="98">+G245-G249</f>
        <v>0</v>
      </c>
      <c r="H251" s="138">
        <f t="shared" ca="1" si="98"/>
        <v>0</v>
      </c>
      <c r="I251" s="138">
        <f t="shared" ca="1" si="98"/>
        <v>1432396.7654325122</v>
      </c>
      <c r="J251" s="138">
        <f t="shared" ca="1" si="98"/>
        <v>2864793.5308650248</v>
      </c>
      <c r="K251" s="138">
        <f t="shared" ca="1" si="98"/>
        <v>2864793.5308650248</v>
      </c>
      <c r="L251" s="138">
        <f t="shared" ca="1" si="98"/>
        <v>3151272.8839515271</v>
      </c>
      <c r="M251" s="138">
        <f t="shared" ca="1" si="98"/>
        <v>3151272.8839515271</v>
      </c>
      <c r="N251" s="138">
        <f t="shared" ca="1" si="98"/>
        <v>3151272.8839515271</v>
      </c>
      <c r="O251" s="138">
        <f t="shared" ca="1" si="98"/>
        <v>3151272.8839515271</v>
      </c>
      <c r="P251" s="138">
        <f t="shared" ca="1" si="98"/>
        <v>3151272.8839515271</v>
      </c>
      <c r="Q251" s="138">
        <f t="shared" ca="1" si="98"/>
        <v>3466400.17234668</v>
      </c>
      <c r="R251" s="138">
        <f t="shared" ca="1" si="98"/>
        <v>3466400.17234668</v>
      </c>
      <c r="S251" s="138">
        <f t="shared" ca="1" si="98"/>
        <v>3466400.1723466795</v>
      </c>
      <c r="T251" s="138">
        <f t="shared" ca="1" si="98"/>
        <v>3466400.172346679</v>
      </c>
      <c r="U251" s="138">
        <f t="shared" ca="1" si="98"/>
        <v>3466400.1723466795</v>
      </c>
      <c r="V251" s="138">
        <f t="shared" ca="1" si="98"/>
        <v>3813040.1895813486</v>
      </c>
      <c r="W251" s="138">
        <f t="shared" ca="1" si="98"/>
        <v>3813040.1895813476</v>
      </c>
      <c r="X251" s="138">
        <f t="shared" ca="1" si="98"/>
        <v>3813040.1895813476</v>
      </c>
      <c r="Y251" s="138">
        <f t="shared" ca="1" si="98"/>
        <v>3813040.1895813481</v>
      </c>
      <c r="Z251" s="138">
        <f t="shared" ca="1" si="98"/>
        <v>3813040.1895813476</v>
      </c>
    </row>
    <row r="252" spans="2:26" x14ac:dyDescent="0.2">
      <c r="B252" s="142" t="s">
        <v>254</v>
      </c>
      <c r="C252" s="140"/>
      <c r="D252" s="140"/>
      <c r="E252" s="140"/>
      <c r="F252" s="143" t="str">
        <f ca="1">+IFERROR(F251/F245,"")</f>
        <v/>
      </c>
      <c r="G252" s="143" t="str">
        <f t="shared" ref="G252:Z252" ca="1" si="99">+IFERROR(G251/G245,"")</f>
        <v/>
      </c>
      <c r="H252" s="143" t="str">
        <f t="shared" ca="1" si="99"/>
        <v/>
      </c>
      <c r="I252" s="144">
        <f t="shared" ca="1" si="99"/>
        <v>0.6653366860014619</v>
      </c>
      <c r="J252" s="144">
        <f t="shared" ca="1" si="99"/>
        <v>0.660067807614239</v>
      </c>
      <c r="K252" s="144">
        <f t="shared" ca="1" si="99"/>
        <v>0.65746971067317361</v>
      </c>
      <c r="L252" s="144">
        <f t="shared" ca="1" si="99"/>
        <v>0.67602906832296372</v>
      </c>
      <c r="M252" s="144">
        <f t="shared" ca="1" si="99"/>
        <v>0.67080980754991404</v>
      </c>
      <c r="N252" s="144">
        <f t="shared" ca="1" si="99"/>
        <v>0.66814430126631019</v>
      </c>
      <c r="O252" s="144">
        <f t="shared" ca="1" si="99"/>
        <v>0.66542088542278155</v>
      </c>
      <c r="P252" s="144">
        <f t="shared" ca="1" si="99"/>
        <v>0.66008015076979809</v>
      </c>
      <c r="Q252" s="144">
        <f t="shared" ca="1" si="99"/>
        <v>0.67839836786444796</v>
      </c>
      <c r="R252" s="144">
        <f t="shared" ca="1" si="99"/>
        <v>0.67560937940775712</v>
      </c>
      <c r="S252" s="144">
        <f t="shared" ca="1" si="99"/>
        <v>0.67031436335171024</v>
      </c>
      <c r="T252" s="144">
        <f t="shared" ca="1" si="99"/>
        <v>0.66742619519810853</v>
      </c>
      <c r="U252" s="144">
        <f t="shared" ca="1" si="99"/>
        <v>0.6644772865813382</v>
      </c>
      <c r="V252" s="144">
        <f t="shared" ca="1" si="99"/>
        <v>0.68013577895654986</v>
      </c>
      <c r="W252" s="144">
        <f t="shared" ca="1" si="99"/>
        <v>0.67718211697432484</v>
      </c>
      <c r="X252" s="144">
        <f t="shared" ca="1" si="99"/>
        <v>0.67416654572791124</v>
      </c>
      <c r="Y252" s="144">
        <f t="shared" ca="1" si="99"/>
        <v>0.66878578116253828</v>
      </c>
      <c r="Z252" s="144">
        <f t="shared" ca="1" si="99"/>
        <v>0.66566606692694219</v>
      </c>
    </row>
    <row r="253" spans="2:26" x14ac:dyDescent="0.2">
      <c r="B253" s="142" t="s">
        <v>188</v>
      </c>
      <c r="C253" s="140"/>
      <c r="D253" s="140"/>
      <c r="E253" s="140"/>
      <c r="F253" s="141">
        <f ca="1">+F251/'Assumptions and Sensis'!$P$159</f>
        <v>0</v>
      </c>
      <c r="G253" s="141">
        <f ca="1">+G251/'Assumptions and Sensis'!$P$159</f>
        <v>0</v>
      </c>
      <c r="H253" s="141">
        <f ca="1">+H251/'Assumptions and Sensis'!$P$159</f>
        <v>0</v>
      </c>
      <c r="I253" s="141">
        <f ca="1">+I251/'Assumptions and Sensis'!$P$159</f>
        <v>26043577.553318404</v>
      </c>
      <c r="J253" s="141">
        <f ca="1">+J251/'Assumptions and Sensis'!$P$159</f>
        <v>52087155.106636815</v>
      </c>
      <c r="K253" s="141">
        <f ca="1">+K251/'Assumptions and Sensis'!$P$159</f>
        <v>52087155.106636815</v>
      </c>
      <c r="L253" s="141">
        <f ca="1">+L251/'Assumptions and Sensis'!$P$159</f>
        <v>57295870.617300496</v>
      </c>
      <c r="M253" s="141">
        <f ca="1">+M251/'Assumptions and Sensis'!$P$159</f>
        <v>57295870.617300496</v>
      </c>
      <c r="N253" s="141">
        <f ca="1">+N251/'Assumptions and Sensis'!$P$159</f>
        <v>57295870.617300496</v>
      </c>
      <c r="O253" s="141">
        <f ca="1">+O251/'Assumptions and Sensis'!$P$159</f>
        <v>57295870.617300496</v>
      </c>
      <c r="P253" s="141">
        <f ca="1">+P251/'Assumptions and Sensis'!$P$159</f>
        <v>57295870.617300496</v>
      </c>
      <c r="Q253" s="141">
        <f ca="1">+Q251/'Assumptions and Sensis'!$P$159</f>
        <v>63025457.679030545</v>
      </c>
      <c r="R253" s="141">
        <f ca="1">+R251/'Assumptions and Sensis'!$P$159</f>
        <v>63025457.679030545</v>
      </c>
      <c r="S253" s="141">
        <f ca="1">+S251/'Assumptions and Sensis'!$P$159</f>
        <v>63025457.679030538</v>
      </c>
      <c r="T253" s="141">
        <f ca="1">+T251/'Assumptions and Sensis'!$P$159</f>
        <v>63025457.67903053</v>
      </c>
      <c r="U253" s="141">
        <f ca="1">+U251/'Assumptions and Sensis'!$P$159</f>
        <v>63025457.679030538</v>
      </c>
      <c r="V253" s="141">
        <f ca="1">+V251/'Assumptions and Sensis'!$P$159</f>
        <v>69328003.446933612</v>
      </c>
      <c r="W253" s="141">
        <f ca="1">+W251/'Assumptions and Sensis'!$P$159</f>
        <v>69328003.446933597</v>
      </c>
      <c r="X253" s="141">
        <f ca="1">+X251/'Assumptions and Sensis'!$P$159</f>
        <v>69328003.446933597</v>
      </c>
      <c r="Y253" s="141">
        <f ca="1">+Y251/'Assumptions and Sensis'!$P$159</f>
        <v>69328003.446933597</v>
      </c>
      <c r="Z253" s="141">
        <f ca="1">+Z251/'Assumptions and Sensis'!$P$159</f>
        <v>69328003.446933597</v>
      </c>
    </row>
    <row r="255" spans="2:26" x14ac:dyDescent="0.2">
      <c r="B255" s="147" t="s">
        <v>31</v>
      </c>
      <c r="F255" s="149">
        <f>+'Assumptions and Sensis'!$H$43</f>
        <v>45657</v>
      </c>
      <c r="G255" s="149">
        <f>+EOMONTH(F255,12)</f>
        <v>46022</v>
      </c>
      <c r="H255" s="149">
        <f t="shared" ref="H255:Z255" si="100">+EOMONTH(G255,12)</f>
        <v>46387</v>
      </c>
      <c r="I255" s="149">
        <f t="shared" si="100"/>
        <v>46752</v>
      </c>
      <c r="J255" s="149">
        <f t="shared" si="100"/>
        <v>47118</v>
      </c>
      <c r="K255" s="149">
        <f t="shared" si="100"/>
        <v>47483</v>
      </c>
      <c r="L255" s="149">
        <f t="shared" si="100"/>
        <v>47848</v>
      </c>
      <c r="M255" s="149">
        <f t="shared" si="100"/>
        <v>48213</v>
      </c>
      <c r="N255" s="149">
        <f t="shared" si="100"/>
        <v>48579</v>
      </c>
      <c r="O255" s="149">
        <f t="shared" si="100"/>
        <v>48944</v>
      </c>
      <c r="P255" s="149">
        <f t="shared" si="100"/>
        <v>49309</v>
      </c>
      <c r="Q255" s="149">
        <f t="shared" si="100"/>
        <v>49674</v>
      </c>
      <c r="R255" s="149">
        <f t="shared" si="100"/>
        <v>50040</v>
      </c>
      <c r="S255" s="149">
        <f t="shared" si="100"/>
        <v>50405</v>
      </c>
      <c r="T255" s="149">
        <f t="shared" si="100"/>
        <v>50770</v>
      </c>
      <c r="U255" s="149">
        <f t="shared" si="100"/>
        <v>51135</v>
      </c>
      <c r="V255" s="149">
        <f t="shared" si="100"/>
        <v>51501</v>
      </c>
      <c r="W255" s="149">
        <f t="shared" si="100"/>
        <v>51866</v>
      </c>
      <c r="X255" s="149">
        <f t="shared" si="100"/>
        <v>52231</v>
      </c>
      <c r="Y255" s="149">
        <f t="shared" si="100"/>
        <v>52596</v>
      </c>
      <c r="Z255" s="149">
        <f t="shared" si="100"/>
        <v>52962</v>
      </c>
    </row>
    <row r="256" spans="2:26" x14ac:dyDescent="0.2">
      <c r="B256" s="32" t="s">
        <v>331</v>
      </c>
      <c r="F256" s="33">
        <v>0</v>
      </c>
      <c r="G256" s="33">
        <f t="shared" ref="G256:Z256" si="101">+F259</f>
        <v>0</v>
      </c>
      <c r="H256" s="33">
        <f t="shared" si="101"/>
        <v>0</v>
      </c>
      <c r="I256" s="33">
        <f t="shared" si="101"/>
        <v>0</v>
      </c>
      <c r="J256" s="33">
        <f t="shared" ca="1" si="101"/>
        <v>39065366.329977609</v>
      </c>
      <c r="K256" s="33">
        <f t="shared" ca="1" si="101"/>
        <v>39065366.329977609</v>
      </c>
      <c r="L256" s="33">
        <f t="shared" ca="1" si="101"/>
        <v>39065366.329977609</v>
      </c>
      <c r="M256" s="33">
        <f t="shared" ca="1" si="101"/>
        <v>39065366.329977609</v>
      </c>
      <c r="N256" s="33">
        <f t="shared" ca="1" si="101"/>
        <v>39065366.329977609</v>
      </c>
      <c r="O256" s="33">
        <f t="shared" ca="1" si="101"/>
        <v>39065366.329977609</v>
      </c>
      <c r="P256" s="33">
        <f t="shared" ca="1" si="101"/>
        <v>39065366.329977609</v>
      </c>
      <c r="Q256" s="33">
        <f t="shared" ca="1" si="101"/>
        <v>39065366.329977609</v>
      </c>
      <c r="R256" s="33">
        <f t="shared" ca="1" si="101"/>
        <v>39065366.329977609</v>
      </c>
      <c r="S256" s="33">
        <f t="shared" ca="1" si="101"/>
        <v>39065366.329977609</v>
      </c>
      <c r="T256" s="33">
        <f t="shared" ca="1" si="101"/>
        <v>39065366.329977609</v>
      </c>
      <c r="U256" s="33">
        <f t="shared" ca="1" si="101"/>
        <v>39065366.329977609</v>
      </c>
      <c r="V256" s="33">
        <f t="shared" ca="1" si="101"/>
        <v>39065366.329977609</v>
      </c>
      <c r="W256" s="33">
        <f t="shared" ca="1" si="101"/>
        <v>39065366.329977609</v>
      </c>
      <c r="X256" s="33">
        <f t="shared" ca="1" si="101"/>
        <v>39065366.329977609</v>
      </c>
      <c r="Y256" s="33">
        <f t="shared" ca="1" si="101"/>
        <v>39065366.329977609</v>
      </c>
      <c r="Z256" s="33">
        <f t="shared" ca="1" si="101"/>
        <v>39065366.329977609</v>
      </c>
    </row>
    <row r="257" spans="2:26" x14ac:dyDescent="0.2">
      <c r="B257" s="32" t="s">
        <v>342</v>
      </c>
      <c r="F257" s="150">
        <f>+IF(YEAR(F$140)=YEAR('Assumptions and Sensis'!$H$47),'S&amp;U'!$T$19,0)</f>
        <v>0</v>
      </c>
      <c r="G257" s="150">
        <f>+IF(YEAR(G$140)=YEAR('Assumptions and Sensis'!$H$47),'S&amp;U'!$T$19,0)</f>
        <v>0</v>
      </c>
      <c r="H257" s="150">
        <f>+IF(YEAR(H$140)=YEAR('Assumptions and Sensis'!$H$47),'S&amp;U'!$T$19,0)</f>
        <v>0</v>
      </c>
      <c r="I257" s="150">
        <f ca="1">+IF(YEAR(I$140)=YEAR('Assumptions and Sensis'!$H$47),'S&amp;U'!$T$19,0)</f>
        <v>39065366.329977609</v>
      </c>
      <c r="J257" s="150">
        <f>+IF(YEAR(J$140)=YEAR('Assumptions and Sensis'!$H$47),'S&amp;U'!$T$19,0)</f>
        <v>0</v>
      </c>
      <c r="K257" s="150">
        <f>+IF(YEAR(K$140)=YEAR('Assumptions and Sensis'!$H$47),'S&amp;U'!$T$19,0)</f>
        <v>0</v>
      </c>
      <c r="L257" s="150">
        <f>+IF(YEAR(L$140)=YEAR('Assumptions and Sensis'!$H$47),'S&amp;U'!$T$19,0)</f>
        <v>0</v>
      </c>
      <c r="M257" s="150">
        <f>+IF(YEAR(M$140)=YEAR('Assumptions and Sensis'!$H$47),'S&amp;U'!$T$19,0)</f>
        <v>0</v>
      </c>
      <c r="N257" s="150">
        <f>+IF(YEAR(N$140)=YEAR('Assumptions and Sensis'!$H$47),'S&amp;U'!$T$19,0)</f>
        <v>0</v>
      </c>
      <c r="O257" s="150">
        <f>+IF(YEAR(O$140)=YEAR('Assumptions and Sensis'!$H$47),'S&amp;U'!$T$19,0)</f>
        <v>0</v>
      </c>
      <c r="P257" s="150">
        <f>+IF(YEAR(P$140)=YEAR('Assumptions and Sensis'!$H$47),'S&amp;U'!$T$19,0)</f>
        <v>0</v>
      </c>
      <c r="Q257" s="150">
        <f>+IF(YEAR(Q$140)=YEAR('Assumptions and Sensis'!$H$47),'S&amp;U'!$T$19,0)</f>
        <v>0</v>
      </c>
      <c r="R257" s="150">
        <f>+IF(YEAR(R$140)=YEAR('Assumptions and Sensis'!$H$47),'S&amp;U'!$T$19,0)</f>
        <v>0</v>
      </c>
      <c r="S257" s="150">
        <f>+IF(YEAR(S$140)=YEAR('Assumptions and Sensis'!$H$47),'S&amp;U'!$T$19,0)</f>
        <v>0</v>
      </c>
      <c r="T257" s="150">
        <f>+IF(YEAR(T$140)=YEAR('Assumptions and Sensis'!$H$47),'S&amp;U'!$T$19,0)</f>
        <v>0</v>
      </c>
      <c r="U257" s="150">
        <f>+IF(YEAR(U$140)=YEAR('Assumptions and Sensis'!$H$47),'S&amp;U'!$T$19,0)</f>
        <v>0</v>
      </c>
      <c r="V257" s="150">
        <f>+IF(YEAR(V$140)=YEAR('Assumptions and Sensis'!$H$47),'S&amp;U'!$T$19,0)</f>
        <v>0</v>
      </c>
      <c r="W257" s="150">
        <f>+IF(YEAR(W$140)=YEAR('Assumptions and Sensis'!$H$47),'S&amp;U'!$T$19,0)</f>
        <v>0</v>
      </c>
      <c r="X257" s="150">
        <f>+IF(YEAR(X$140)=YEAR('Assumptions and Sensis'!$H$47),'S&amp;U'!$T$19,0)</f>
        <v>0</v>
      </c>
      <c r="Y257" s="150">
        <f>+IF(YEAR(Y$140)=YEAR('Assumptions and Sensis'!$H$47),'S&amp;U'!$T$19,0)</f>
        <v>0</v>
      </c>
      <c r="Z257" s="150">
        <f>+IF(YEAR(Z$140)=YEAR('Assumptions and Sensis'!$H$47),'S&amp;U'!$T$19,0)</f>
        <v>0</v>
      </c>
    </row>
    <row r="258" spans="2:26" x14ac:dyDescent="0.2">
      <c r="B258" s="32" t="s">
        <v>162</v>
      </c>
      <c r="F258" s="150">
        <v>0</v>
      </c>
      <c r="G258" s="150">
        <v>0</v>
      </c>
      <c r="H258" s="150">
        <v>0</v>
      </c>
      <c r="I258" s="150">
        <v>0</v>
      </c>
      <c r="J258" s="150">
        <v>0</v>
      </c>
      <c r="K258" s="150">
        <v>0</v>
      </c>
      <c r="L258" s="150">
        <v>0</v>
      </c>
      <c r="M258" s="150">
        <v>0</v>
      </c>
      <c r="N258" s="150">
        <v>0</v>
      </c>
      <c r="O258" s="150">
        <v>0</v>
      </c>
      <c r="P258" s="150">
        <v>0</v>
      </c>
      <c r="Q258" s="150">
        <v>0</v>
      </c>
      <c r="R258" s="150">
        <v>0</v>
      </c>
      <c r="S258" s="150">
        <v>0</v>
      </c>
      <c r="T258" s="150">
        <v>0</v>
      </c>
      <c r="U258" s="150">
        <v>0</v>
      </c>
      <c r="V258" s="150">
        <v>0</v>
      </c>
      <c r="W258" s="150">
        <v>0</v>
      </c>
      <c r="X258" s="150">
        <v>0</v>
      </c>
      <c r="Y258" s="150">
        <v>0</v>
      </c>
      <c r="Z258" s="150">
        <v>0</v>
      </c>
    </row>
    <row r="259" spans="2:26" x14ac:dyDescent="0.2">
      <c r="B259" s="32" t="s">
        <v>333</v>
      </c>
      <c r="F259" s="150">
        <f t="shared" ref="F259:N259" si="102">+SUM(F256:F258)</f>
        <v>0</v>
      </c>
      <c r="G259" s="150">
        <f t="shared" si="102"/>
        <v>0</v>
      </c>
      <c r="H259" s="150">
        <f t="shared" si="102"/>
        <v>0</v>
      </c>
      <c r="I259" s="150">
        <f t="shared" ca="1" si="102"/>
        <v>39065366.329977609</v>
      </c>
      <c r="J259" s="150">
        <f t="shared" ca="1" si="102"/>
        <v>39065366.329977609</v>
      </c>
      <c r="K259" s="150">
        <f t="shared" ca="1" si="102"/>
        <v>39065366.329977609</v>
      </c>
      <c r="L259" s="150">
        <f t="shared" ca="1" si="102"/>
        <v>39065366.329977609</v>
      </c>
      <c r="M259" s="150">
        <f t="shared" ca="1" si="102"/>
        <v>39065366.329977609</v>
      </c>
      <c r="N259" s="150">
        <f t="shared" ca="1" si="102"/>
        <v>39065366.329977609</v>
      </c>
      <c r="O259" s="150">
        <f t="shared" ref="O259" ca="1" si="103">+SUM(O256:O258)</f>
        <v>39065366.329977609</v>
      </c>
      <c r="P259" s="150">
        <f t="shared" ref="P259:Z259" ca="1" si="104">+SUM(P256:P258)</f>
        <v>39065366.329977609</v>
      </c>
      <c r="Q259" s="150">
        <f t="shared" ca="1" si="104"/>
        <v>39065366.329977609</v>
      </c>
      <c r="R259" s="150">
        <f t="shared" ca="1" si="104"/>
        <v>39065366.329977609</v>
      </c>
      <c r="S259" s="150">
        <f t="shared" ca="1" si="104"/>
        <v>39065366.329977609</v>
      </c>
      <c r="T259" s="150">
        <f t="shared" ca="1" si="104"/>
        <v>39065366.329977609</v>
      </c>
      <c r="U259" s="150">
        <f t="shared" ca="1" si="104"/>
        <v>39065366.329977609</v>
      </c>
      <c r="V259" s="150">
        <f t="shared" ca="1" si="104"/>
        <v>39065366.329977609</v>
      </c>
      <c r="W259" s="150">
        <f t="shared" ca="1" si="104"/>
        <v>39065366.329977609</v>
      </c>
      <c r="X259" s="150">
        <f t="shared" ca="1" si="104"/>
        <v>39065366.329977609</v>
      </c>
      <c r="Y259" s="150">
        <f t="shared" ca="1" si="104"/>
        <v>39065366.329977609</v>
      </c>
      <c r="Z259" s="150">
        <f t="shared" ca="1" si="104"/>
        <v>39065366.329977609</v>
      </c>
    </row>
    <row r="261" spans="2:26" x14ac:dyDescent="0.2">
      <c r="B261" s="40" t="s">
        <v>332</v>
      </c>
      <c r="F261" s="33">
        <f>+F259*'Assumptions and Sensis'!$P$191</f>
        <v>0</v>
      </c>
      <c r="G261" s="33">
        <f>+G259*'Assumptions and Sensis'!$P$191</f>
        <v>0</v>
      </c>
      <c r="H261" s="33">
        <f>+H259*'Assumptions and Sensis'!$P$191</f>
        <v>0</v>
      </c>
      <c r="I261" s="33">
        <f ca="1">+I259*'Assumptions and Sensis'!$P$191</f>
        <v>2148595.1481487686</v>
      </c>
      <c r="J261" s="33">
        <f ca="1">+J259*'Assumptions and Sensis'!$P$191</f>
        <v>2148595.1481487686</v>
      </c>
      <c r="K261" s="33">
        <f ca="1">+K259*'Assumptions and Sensis'!$P$191</f>
        <v>2148595.1481487686</v>
      </c>
      <c r="L261" s="33">
        <f ca="1">+L259*'Assumptions and Sensis'!$P$191</f>
        <v>2148595.1481487686</v>
      </c>
      <c r="M261" s="33">
        <f ca="1">+M259*'Assumptions and Sensis'!$P$191</f>
        <v>2148595.1481487686</v>
      </c>
      <c r="N261" s="33">
        <f ca="1">+N259*'Assumptions and Sensis'!$P$191</f>
        <v>2148595.1481487686</v>
      </c>
      <c r="O261" s="33">
        <f ca="1">+O259*'Assumptions and Sensis'!$P$191</f>
        <v>2148595.1481487686</v>
      </c>
      <c r="P261" s="33">
        <f ca="1">+P259*'Assumptions and Sensis'!$P$191</f>
        <v>2148595.1481487686</v>
      </c>
      <c r="Q261" s="33">
        <f ca="1">+Q259*'Assumptions and Sensis'!$P$191</f>
        <v>2148595.1481487686</v>
      </c>
      <c r="R261" s="33">
        <f ca="1">+R259*'Assumptions and Sensis'!$P$191</f>
        <v>2148595.1481487686</v>
      </c>
      <c r="S261" s="33">
        <f ca="1">+S259*'Assumptions and Sensis'!$P$191</f>
        <v>2148595.1481487686</v>
      </c>
      <c r="T261" s="33">
        <f ca="1">+T259*'Assumptions and Sensis'!$P$191</f>
        <v>2148595.1481487686</v>
      </c>
      <c r="U261" s="33">
        <f ca="1">+U259*'Assumptions and Sensis'!$P$191</f>
        <v>2148595.1481487686</v>
      </c>
      <c r="V261" s="33">
        <f ca="1">+V259*'Assumptions and Sensis'!$P$191</f>
        <v>2148595.1481487686</v>
      </c>
      <c r="W261" s="33">
        <f ca="1">+W259*'Assumptions and Sensis'!$P$191</f>
        <v>2148595.1481487686</v>
      </c>
      <c r="X261" s="33">
        <f ca="1">+X259*'Assumptions and Sensis'!$P$191</f>
        <v>2148595.1481487686</v>
      </c>
      <c r="Y261" s="33">
        <f ca="1">+Y259*'Assumptions and Sensis'!$P$191</f>
        <v>2148595.1481487686</v>
      </c>
      <c r="Z261" s="33">
        <f ca="1">+Z259*'Assumptions and Sensis'!$P$191</f>
        <v>2148595.1481487686</v>
      </c>
    </row>
    <row r="262" spans="2:26" x14ac:dyDescent="0.2">
      <c r="B262" s="136" t="s">
        <v>341</v>
      </c>
      <c r="C262" s="136"/>
      <c r="D262" s="136"/>
      <c r="E262" s="136"/>
      <c r="F262" s="128">
        <f t="shared" ref="F262:K262" si="105">+F261-F258</f>
        <v>0</v>
      </c>
      <c r="G262" s="128">
        <f t="shared" si="105"/>
        <v>0</v>
      </c>
      <c r="H262" s="128">
        <f t="shared" si="105"/>
        <v>0</v>
      </c>
      <c r="I262" s="128">
        <f t="shared" ca="1" si="105"/>
        <v>2148595.1481487686</v>
      </c>
      <c r="J262" s="128">
        <f t="shared" ca="1" si="105"/>
        <v>2148595.1481487686</v>
      </c>
      <c r="K262" s="128">
        <f t="shared" ca="1" si="105"/>
        <v>2148595.1481487686</v>
      </c>
      <c r="L262" s="128">
        <f ca="1">+L261-L258</f>
        <v>2148595.1481487686</v>
      </c>
      <c r="M262" s="128">
        <f t="shared" ref="M262:Z262" ca="1" si="106">+M261-M258</f>
        <v>2148595.1481487686</v>
      </c>
      <c r="N262" s="128">
        <f t="shared" ca="1" si="106"/>
        <v>2148595.1481487686</v>
      </c>
      <c r="O262" s="128">
        <f t="shared" ca="1" si="106"/>
        <v>2148595.1481487686</v>
      </c>
      <c r="P262" s="128">
        <f t="shared" ca="1" si="106"/>
        <v>2148595.1481487686</v>
      </c>
      <c r="Q262" s="128">
        <f t="shared" ca="1" si="106"/>
        <v>2148595.1481487686</v>
      </c>
      <c r="R262" s="128">
        <f t="shared" ca="1" si="106"/>
        <v>2148595.1481487686</v>
      </c>
      <c r="S262" s="128">
        <f t="shared" ca="1" si="106"/>
        <v>2148595.1481487686</v>
      </c>
      <c r="T262" s="128">
        <f t="shared" ca="1" si="106"/>
        <v>2148595.1481487686</v>
      </c>
      <c r="U262" s="128">
        <f t="shared" ca="1" si="106"/>
        <v>2148595.1481487686</v>
      </c>
      <c r="V262" s="128">
        <f t="shared" ca="1" si="106"/>
        <v>2148595.1481487686</v>
      </c>
      <c r="W262" s="128">
        <f t="shared" ca="1" si="106"/>
        <v>2148595.1481487686</v>
      </c>
      <c r="X262" s="128">
        <f t="shared" ca="1" si="106"/>
        <v>2148595.1481487686</v>
      </c>
      <c r="Y262" s="128">
        <f t="shared" ca="1" si="106"/>
        <v>2148595.1481487686</v>
      </c>
      <c r="Z262" s="128">
        <f t="shared" ca="1" si="106"/>
        <v>2148595.1481487686</v>
      </c>
    </row>
    <row r="263" spans="2:26" x14ac:dyDescent="0.2">
      <c r="B263" s="145" t="s">
        <v>181</v>
      </c>
      <c r="F263" s="178" t="str">
        <f t="shared" ref="F263:J263" ca="1" si="107">+IFERROR(F251/F262,"")</f>
        <v/>
      </c>
      <c r="G263" s="178" t="str">
        <f t="shared" ca="1" si="107"/>
        <v/>
      </c>
      <c r="H263" s="178" t="str">
        <f t="shared" ca="1" si="107"/>
        <v/>
      </c>
      <c r="I263" s="178">
        <f t="shared" ca="1" si="107"/>
        <v>0.66666666666666652</v>
      </c>
      <c r="J263" s="178">
        <f t="shared" ca="1" si="107"/>
        <v>1.3333333333333333</v>
      </c>
      <c r="K263" s="178">
        <f ca="1">+IFERROR(K251/K262,"")</f>
        <v>1.3333333333333333</v>
      </c>
      <c r="L263" s="178">
        <f t="shared" ref="L263:Z263" ca="1" si="108">+IFERROR(L251/L262,"")</f>
        <v>1.4666666666666666</v>
      </c>
      <c r="M263" s="178">
        <f t="shared" ca="1" si="108"/>
        <v>1.4666666666666666</v>
      </c>
      <c r="N263" s="178">
        <f t="shared" ca="1" si="108"/>
        <v>1.4666666666666666</v>
      </c>
      <c r="O263" s="178">
        <f t="shared" ca="1" si="108"/>
        <v>1.4666666666666666</v>
      </c>
      <c r="P263" s="178">
        <f t="shared" ca="1" si="108"/>
        <v>1.4666666666666666</v>
      </c>
      <c r="Q263" s="178">
        <f t="shared" ca="1" si="108"/>
        <v>1.6133333333333333</v>
      </c>
      <c r="R263" s="178">
        <f t="shared" ca="1" si="108"/>
        <v>1.6133333333333333</v>
      </c>
      <c r="S263" s="178">
        <f t="shared" ca="1" si="108"/>
        <v>1.6133333333333331</v>
      </c>
      <c r="T263" s="178">
        <f t="shared" ca="1" si="108"/>
        <v>1.6133333333333328</v>
      </c>
      <c r="U263" s="178">
        <f t="shared" ca="1" si="108"/>
        <v>1.6133333333333331</v>
      </c>
      <c r="V263" s="178">
        <f t="shared" ca="1" si="108"/>
        <v>1.7746666666666668</v>
      </c>
      <c r="W263" s="178">
        <f t="shared" ca="1" si="108"/>
        <v>1.7746666666666666</v>
      </c>
      <c r="X263" s="178">
        <f t="shared" ca="1" si="108"/>
        <v>1.7746666666666666</v>
      </c>
      <c r="Y263" s="178">
        <f t="shared" ca="1" si="108"/>
        <v>1.7746666666666666</v>
      </c>
      <c r="Z263" s="178">
        <f t="shared" ca="1" si="108"/>
        <v>1.7746666666666666</v>
      </c>
    </row>
    <row r="265" spans="2:26" x14ac:dyDescent="0.2">
      <c r="B265" s="40" t="s">
        <v>156</v>
      </c>
      <c r="F265" s="33">
        <f>+F257*'Assumptions and Sensis'!$P$192</f>
        <v>0</v>
      </c>
      <c r="G265" s="33">
        <f>+G257*'Assumptions and Sensis'!$P$192</f>
        <v>0</v>
      </c>
      <c r="H265" s="33">
        <f>+H257*'Assumptions and Sensis'!$P$192</f>
        <v>0</v>
      </c>
      <c r="I265" s="33">
        <f ca="1">+I257*'Assumptions and Sensis'!$P$192</f>
        <v>292990.24747483205</v>
      </c>
      <c r="J265" s="33">
        <f>+J257*'Assumptions and Sensis'!$P$192</f>
        <v>0</v>
      </c>
      <c r="K265" s="33">
        <f>+K257*'Assumptions and Sensis'!$P$192</f>
        <v>0</v>
      </c>
      <c r="L265" s="33">
        <f>+L257*'Assumptions and Sensis'!$P$192</f>
        <v>0</v>
      </c>
      <c r="M265" s="33">
        <f>+M257*'Assumptions and Sensis'!$P$192</f>
        <v>0</v>
      </c>
      <c r="N265" s="33">
        <f>+N257*'Assumptions and Sensis'!$P$192</f>
        <v>0</v>
      </c>
      <c r="O265" s="33">
        <f>+O257*'Assumptions and Sensis'!$P$192</f>
        <v>0</v>
      </c>
      <c r="P265" s="33">
        <f>+P257*'Assumptions and Sensis'!$P$192</f>
        <v>0</v>
      </c>
      <c r="Q265" s="33">
        <f>+Q257*'Assumptions and Sensis'!$P$192</f>
        <v>0</v>
      </c>
      <c r="R265" s="33">
        <f>+R257*'Assumptions and Sensis'!$P$192</f>
        <v>0</v>
      </c>
      <c r="S265" s="33">
        <f>+S257*'Assumptions and Sensis'!$P$192</f>
        <v>0</v>
      </c>
      <c r="T265" s="33">
        <f>+T257*'Assumptions and Sensis'!$P$192</f>
        <v>0</v>
      </c>
      <c r="U265" s="33">
        <f>+U257*'Assumptions and Sensis'!$P$192</f>
        <v>0</v>
      </c>
      <c r="V265" s="33">
        <f>+V257*'Assumptions and Sensis'!$P$192</f>
        <v>0</v>
      </c>
      <c r="W265" s="33">
        <f>+W257*'Assumptions and Sensis'!$P$192</f>
        <v>0</v>
      </c>
      <c r="X265" s="33">
        <f>+X257*'Assumptions and Sensis'!$P$192</f>
        <v>0</v>
      </c>
      <c r="Y265" s="33">
        <f>+Y257*'Assumptions and Sensis'!$P$192</f>
        <v>0</v>
      </c>
      <c r="Z265" s="33">
        <f>+Z257*'Assumptions and Sensis'!$P$192</f>
        <v>0</v>
      </c>
    </row>
    <row r="267" spans="2:26" x14ac:dyDescent="0.2">
      <c r="B267" s="136" t="s">
        <v>334</v>
      </c>
      <c r="C267" s="136"/>
      <c r="D267" s="136"/>
      <c r="E267" s="136"/>
      <c r="F267" s="128">
        <f ca="1">+F251-F262-F265</f>
        <v>0</v>
      </c>
      <c r="G267" s="128">
        <f t="shared" ref="G267:Z267" ca="1" si="109">+G251-G262-G265</f>
        <v>0</v>
      </c>
      <c r="H267" s="128">
        <f t="shared" ca="1" si="109"/>
        <v>0</v>
      </c>
      <c r="I267" s="128">
        <f t="shared" ca="1" si="109"/>
        <v>-1009188.6301910884</v>
      </c>
      <c r="J267" s="128">
        <f t="shared" ca="1" si="109"/>
        <v>716198.38271625619</v>
      </c>
      <c r="K267" s="128">
        <f t="shared" ca="1" si="109"/>
        <v>716198.38271625619</v>
      </c>
      <c r="L267" s="128">
        <f t="shared" ca="1" si="109"/>
        <v>1002677.7358027585</v>
      </c>
      <c r="M267" s="128">
        <f t="shared" ca="1" si="109"/>
        <v>1002677.7358027585</v>
      </c>
      <c r="N267" s="128">
        <f t="shared" ca="1" si="109"/>
        <v>1002677.7358027585</v>
      </c>
      <c r="O267" s="128">
        <f t="shared" ca="1" si="109"/>
        <v>1002677.7358027585</v>
      </c>
      <c r="P267" s="128">
        <f t="shared" ca="1" si="109"/>
        <v>1002677.7358027585</v>
      </c>
      <c r="Q267" s="128">
        <f t="shared" ca="1" si="109"/>
        <v>1317805.0241979114</v>
      </c>
      <c r="R267" s="128">
        <f t="shared" ca="1" si="109"/>
        <v>1317805.0241979114</v>
      </c>
      <c r="S267" s="128">
        <f t="shared" ca="1" si="109"/>
        <v>1317805.0241979109</v>
      </c>
      <c r="T267" s="128">
        <f t="shared" ca="1" si="109"/>
        <v>1317805.0241979104</v>
      </c>
      <c r="U267" s="128">
        <f t="shared" ca="1" si="109"/>
        <v>1317805.0241979109</v>
      </c>
      <c r="V267" s="128">
        <f t="shared" ca="1" si="109"/>
        <v>1664445.04143258</v>
      </c>
      <c r="W267" s="128">
        <f t="shared" ca="1" si="109"/>
        <v>1664445.041432579</v>
      </c>
      <c r="X267" s="128">
        <f t="shared" ca="1" si="109"/>
        <v>1664445.041432579</v>
      </c>
      <c r="Y267" s="128">
        <f t="shared" ca="1" si="109"/>
        <v>1664445.0414325795</v>
      </c>
      <c r="Z267" s="128">
        <f t="shared" ca="1" si="109"/>
        <v>1664445.041432579</v>
      </c>
    </row>
    <row r="269" spans="2:26" x14ac:dyDescent="0.2">
      <c r="B269" s="147" t="s">
        <v>343</v>
      </c>
    </row>
    <row r="270" spans="2:26" x14ac:dyDescent="0.2">
      <c r="B270" s="32" t="s">
        <v>336</v>
      </c>
      <c r="F270" s="33">
        <f>+IF(YEAR(F$140)=YEAR('Assumptions and Sensis'!$H$51),F253,0)</f>
        <v>0</v>
      </c>
      <c r="G270" s="33">
        <f>+IF(YEAR(G$140)=YEAR('Assumptions and Sensis'!$H$51),G253,0)</f>
        <v>0</v>
      </c>
      <c r="H270" s="33">
        <f>+IF(YEAR(H$140)=YEAR('Assumptions and Sensis'!$H$51),H253,0)</f>
        <v>0</v>
      </c>
      <c r="I270" s="33">
        <f>+IF(YEAR(I$140)=YEAR('Assumptions and Sensis'!$H$51),I253,0)</f>
        <v>0</v>
      </c>
      <c r="J270" s="33">
        <f>+IF(YEAR(J$140)=YEAR('Assumptions and Sensis'!$H$51),J253,0)</f>
        <v>0</v>
      </c>
      <c r="K270" s="33">
        <f>+IF(YEAR(K$140)=YEAR('Assumptions and Sensis'!$H$51),K253,0)</f>
        <v>0</v>
      </c>
      <c r="L270" s="33">
        <f ca="1">+IF(YEAR(L$140)=YEAR('Assumptions and Sensis'!$H$51),L253,0)</f>
        <v>57295870.617300496</v>
      </c>
      <c r="M270" s="33">
        <f>+IF(YEAR(M$140)=YEAR('Assumptions and Sensis'!$H$51),M253,0)</f>
        <v>0</v>
      </c>
      <c r="N270" s="33">
        <f>+IF(YEAR(N$140)=YEAR('Assumptions and Sensis'!$H$51),N253,0)</f>
        <v>0</v>
      </c>
      <c r="O270" s="33">
        <f>+IF(YEAR(O$140)=YEAR('Assumptions and Sensis'!$H$51),O253,0)</f>
        <v>0</v>
      </c>
      <c r="P270" s="33">
        <f>+IF(YEAR(P$140)=YEAR('Assumptions and Sensis'!$H$51),P253,0)</f>
        <v>0</v>
      </c>
      <c r="Q270" s="33">
        <f>+IF(YEAR(Q$140)=YEAR('Assumptions and Sensis'!$H$51),Q253,0)</f>
        <v>0</v>
      </c>
      <c r="R270" s="33">
        <f>+IF(YEAR(R$140)=YEAR('Assumptions and Sensis'!$H$51),R253,0)</f>
        <v>0</v>
      </c>
      <c r="S270" s="33">
        <f>+IF(YEAR(S$140)=YEAR('Assumptions and Sensis'!$H$51),S253,0)</f>
        <v>0</v>
      </c>
      <c r="T270" s="33">
        <f>+IF(YEAR(T$140)=YEAR('Assumptions and Sensis'!$H$51),T253,0)</f>
        <v>0</v>
      </c>
      <c r="U270" s="33">
        <f>+IF(YEAR(U$140)=YEAR('Assumptions and Sensis'!$H$51),U253,0)</f>
        <v>0</v>
      </c>
      <c r="V270" s="33">
        <f>+IF(YEAR(V$140)=YEAR('Assumptions and Sensis'!$H$51),V253,0)</f>
        <v>0</v>
      </c>
      <c r="W270" s="33">
        <f>+IF(YEAR(W$140)=YEAR('Assumptions and Sensis'!$H$51),W253,0)</f>
        <v>0</v>
      </c>
      <c r="X270" s="33">
        <f>+IF(YEAR(X$140)=YEAR('Assumptions and Sensis'!$H$51),X253,0)</f>
        <v>0</v>
      </c>
      <c r="Y270" s="33">
        <f>+IF(YEAR(Y$140)=YEAR('Assumptions and Sensis'!$H$51),Y253,0)</f>
        <v>0</v>
      </c>
      <c r="Z270" s="33">
        <f>+IF(YEAR(Z$140)=YEAR('Assumptions and Sensis'!$H$51),Z253,0)</f>
        <v>0</v>
      </c>
    </row>
    <row r="271" spans="2:26" x14ac:dyDescent="0.2">
      <c r="B271" s="32" t="s">
        <v>337</v>
      </c>
      <c r="F271" s="150">
        <f>-F270*'Assumptions and Sensis'!$P$161</f>
        <v>0</v>
      </c>
      <c r="G271" s="150">
        <f>-G270*'Assumptions and Sensis'!$P$161</f>
        <v>0</v>
      </c>
      <c r="H271" s="150">
        <f>-H270*'Assumptions and Sensis'!$P$161</f>
        <v>0</v>
      </c>
      <c r="I271" s="150">
        <f>-I270*'Assumptions and Sensis'!$P$161</f>
        <v>0</v>
      </c>
      <c r="J271" s="150">
        <f>-J270*'Assumptions and Sensis'!$P$161</f>
        <v>0</v>
      </c>
      <c r="K271" s="150">
        <f>-K270*'Assumptions and Sensis'!$P$161</f>
        <v>0</v>
      </c>
      <c r="L271" s="150">
        <f ca="1">-L270*'Assumptions and Sensis'!$P$161</f>
        <v>-1145917.4123460099</v>
      </c>
      <c r="M271" s="150">
        <f>-M270*'Assumptions and Sensis'!$P$161</f>
        <v>0</v>
      </c>
      <c r="N271" s="150">
        <f>-N270*'Assumptions and Sensis'!$P$161</f>
        <v>0</v>
      </c>
      <c r="O271" s="150">
        <f>-O270*'Assumptions and Sensis'!$P$161</f>
        <v>0</v>
      </c>
      <c r="P271" s="150">
        <f>-P270*'Assumptions and Sensis'!$P$161</f>
        <v>0</v>
      </c>
      <c r="Q271" s="150">
        <f>-Q270*'Assumptions and Sensis'!$P$161</f>
        <v>0</v>
      </c>
      <c r="R271" s="150">
        <f>-R270*'Assumptions and Sensis'!$P$161</f>
        <v>0</v>
      </c>
      <c r="S271" s="150">
        <f>-S270*'Assumptions and Sensis'!$P$161</f>
        <v>0</v>
      </c>
      <c r="T271" s="150">
        <f>-T270*'Assumptions and Sensis'!$P$161</f>
        <v>0</v>
      </c>
      <c r="U271" s="150">
        <f>-U270*'Assumptions and Sensis'!$P$161</f>
        <v>0</v>
      </c>
      <c r="V271" s="150">
        <f>-V270*'Assumptions and Sensis'!$P$161</f>
        <v>0</v>
      </c>
      <c r="W271" s="150">
        <f>-W270*'Assumptions and Sensis'!$P$161</f>
        <v>0</v>
      </c>
      <c r="X271" s="150">
        <f>-X270*'Assumptions and Sensis'!$P$161</f>
        <v>0</v>
      </c>
      <c r="Y271" s="150">
        <f>-Y270*'Assumptions and Sensis'!$P$161</f>
        <v>0</v>
      </c>
      <c r="Z271" s="150">
        <f>-Z270*'Assumptions and Sensis'!$P$161</f>
        <v>0</v>
      </c>
    </row>
    <row r="272" spans="2:26" x14ac:dyDescent="0.2">
      <c r="B272" s="32" t="s">
        <v>338</v>
      </c>
      <c r="F272" s="150">
        <f>+IF(YEAR(F$140)=YEAR('Assumptions and Sensis'!$H$51),-F259,0)</f>
        <v>0</v>
      </c>
      <c r="G272" s="150">
        <f>+IF(YEAR(G$140)=YEAR('Assumptions and Sensis'!$H$51),-G259,0)</f>
        <v>0</v>
      </c>
      <c r="H272" s="150">
        <f>+IF(YEAR(H$140)=YEAR('Assumptions and Sensis'!$H$51),-H259,0)</f>
        <v>0</v>
      </c>
      <c r="I272" s="150">
        <f>+IF(YEAR(I$140)=YEAR('Assumptions and Sensis'!$H$51),-I259,0)</f>
        <v>0</v>
      </c>
      <c r="J272" s="150">
        <f>+IF(YEAR(J$140)=YEAR('Assumptions and Sensis'!$H$51),-J259,0)</f>
        <v>0</v>
      </c>
      <c r="K272" s="150">
        <f>+IF(YEAR(K$140)=YEAR('Assumptions and Sensis'!$H$51),-K259,0)</f>
        <v>0</v>
      </c>
      <c r="L272" s="150">
        <f ca="1">+IF(YEAR(L$140)=YEAR('Assumptions and Sensis'!$H$51),-L259,0)</f>
        <v>-39065366.329977609</v>
      </c>
      <c r="M272" s="150">
        <f>+IF(YEAR(M$140)=YEAR('Assumptions and Sensis'!$H$51),-M259,0)</f>
        <v>0</v>
      </c>
      <c r="N272" s="150">
        <f>+IF(YEAR(N$140)=YEAR('Assumptions and Sensis'!$H$51),-N259,0)</f>
        <v>0</v>
      </c>
      <c r="O272" s="150">
        <f>+IF(YEAR(O$140)=YEAR('Assumptions and Sensis'!$H$51),-O259,0)</f>
        <v>0</v>
      </c>
      <c r="P272" s="150">
        <f>+IF(YEAR(P$140)=YEAR('Assumptions and Sensis'!$H$51),-P259,0)</f>
        <v>0</v>
      </c>
      <c r="Q272" s="150">
        <f>+IF(YEAR(Q$140)=YEAR('Assumptions and Sensis'!$H$51),-Q259,0)</f>
        <v>0</v>
      </c>
      <c r="R272" s="150">
        <f>+IF(YEAR(R$140)=YEAR('Assumptions and Sensis'!$H$51),-R259,0)</f>
        <v>0</v>
      </c>
      <c r="S272" s="150">
        <f>+IF(YEAR(S$140)=YEAR('Assumptions and Sensis'!$H$51),-S259,0)</f>
        <v>0</v>
      </c>
      <c r="T272" s="150">
        <f>+IF(YEAR(T$140)=YEAR('Assumptions and Sensis'!$H$51),-T259,0)</f>
        <v>0</v>
      </c>
      <c r="U272" s="150">
        <f>+IF(YEAR(U$140)=YEAR('Assumptions and Sensis'!$H$51),-U259,0)</f>
        <v>0</v>
      </c>
      <c r="V272" s="150">
        <f>+IF(YEAR(V$140)=YEAR('Assumptions and Sensis'!$H$51),-V259,0)</f>
        <v>0</v>
      </c>
      <c r="W272" s="150">
        <f>+IF(YEAR(W$140)=YEAR('Assumptions and Sensis'!$H$51),-W259,0)</f>
        <v>0</v>
      </c>
      <c r="X272" s="150">
        <f>+IF(YEAR(X$140)=YEAR('Assumptions and Sensis'!$H$51),-X259,0)</f>
        <v>0</v>
      </c>
      <c r="Y272" s="150">
        <f>+IF(YEAR(Y$140)=YEAR('Assumptions and Sensis'!$H$51),-Y259,0)</f>
        <v>0</v>
      </c>
      <c r="Z272" s="150">
        <f>+IF(YEAR(Z$140)=YEAR('Assumptions and Sensis'!$H$51),-Z259,0)</f>
        <v>0</v>
      </c>
    </row>
    <row r="273" spans="2:26" x14ac:dyDescent="0.2">
      <c r="B273" s="136" t="s">
        <v>339</v>
      </c>
      <c r="C273" s="136"/>
      <c r="D273" s="136"/>
      <c r="E273" s="136"/>
      <c r="F273" s="128">
        <f t="shared" ref="F273:Z273" si="110">+SUM(F270:F272)</f>
        <v>0</v>
      </c>
      <c r="G273" s="128">
        <f t="shared" si="110"/>
        <v>0</v>
      </c>
      <c r="H273" s="128">
        <f t="shared" si="110"/>
        <v>0</v>
      </c>
      <c r="I273" s="128">
        <f t="shared" si="110"/>
        <v>0</v>
      </c>
      <c r="J273" s="128">
        <f t="shared" si="110"/>
        <v>0</v>
      </c>
      <c r="K273" s="128">
        <f t="shared" si="110"/>
        <v>0</v>
      </c>
      <c r="L273" s="128">
        <f t="shared" ca="1" si="110"/>
        <v>17084586.874976873</v>
      </c>
      <c r="M273" s="128">
        <f t="shared" si="110"/>
        <v>0</v>
      </c>
      <c r="N273" s="128">
        <f t="shared" si="110"/>
        <v>0</v>
      </c>
      <c r="O273" s="128">
        <f t="shared" si="110"/>
        <v>0</v>
      </c>
      <c r="P273" s="128">
        <f t="shared" si="110"/>
        <v>0</v>
      </c>
      <c r="Q273" s="128">
        <f t="shared" si="110"/>
        <v>0</v>
      </c>
      <c r="R273" s="128">
        <f t="shared" si="110"/>
        <v>0</v>
      </c>
      <c r="S273" s="128">
        <f t="shared" si="110"/>
        <v>0</v>
      </c>
      <c r="T273" s="128">
        <f t="shared" si="110"/>
        <v>0</v>
      </c>
      <c r="U273" s="128">
        <f t="shared" si="110"/>
        <v>0</v>
      </c>
      <c r="V273" s="128">
        <f t="shared" si="110"/>
        <v>0</v>
      </c>
      <c r="W273" s="128">
        <f t="shared" si="110"/>
        <v>0</v>
      </c>
      <c r="X273" s="128">
        <f t="shared" si="110"/>
        <v>0</v>
      </c>
      <c r="Y273" s="128">
        <f t="shared" si="110"/>
        <v>0</v>
      </c>
      <c r="Z273" s="128">
        <f t="shared" si="110"/>
        <v>0</v>
      </c>
    </row>
    <row r="275" spans="2:26" x14ac:dyDescent="0.2">
      <c r="B275" s="137" t="s">
        <v>340</v>
      </c>
      <c r="C275" s="137"/>
      <c r="D275" s="137"/>
      <c r="E275" s="137"/>
      <c r="F275" s="138">
        <f ca="1">+IF(YEAR(F$140)&lt;=YEAR('Assumptions and Sensis'!$H$51),'Phase III Pro Forma'!F273+'Phase III Pro Forma'!F267,0)</f>
        <v>0</v>
      </c>
      <c r="G275" s="138">
        <f ca="1">+IF(YEAR(G$140)&lt;=YEAR('Assumptions and Sensis'!$H$51),'Phase III Pro Forma'!G273+'Phase III Pro Forma'!G267,0)</f>
        <v>0</v>
      </c>
      <c r="H275" s="138">
        <f ca="1">+IF(YEAR(H$140)&lt;=YEAR('Assumptions and Sensis'!$H$51),'Phase III Pro Forma'!H273+'Phase III Pro Forma'!H267,0)</f>
        <v>0</v>
      </c>
      <c r="I275" s="138">
        <f ca="1">+IF(YEAR(I$140)&lt;=YEAR('Assumptions and Sensis'!$H$51),'Phase III Pro Forma'!I273+'Phase III Pro Forma'!I267,0)</f>
        <v>-1009188.6301910884</v>
      </c>
      <c r="J275" s="138">
        <f ca="1">+IF(YEAR(J$140)&lt;=YEAR('Assumptions and Sensis'!$H$51),'Phase III Pro Forma'!J273+'Phase III Pro Forma'!J267,0)</f>
        <v>716198.38271625619</v>
      </c>
      <c r="K275" s="138">
        <f ca="1">+IF(YEAR(K$140)&lt;=YEAR('Assumptions and Sensis'!$H$51),'Phase III Pro Forma'!K273+'Phase III Pro Forma'!K267,0)</f>
        <v>716198.38271625619</v>
      </c>
      <c r="L275" s="138">
        <f ca="1">+IF(YEAR(L$140)&lt;=YEAR('Assumptions and Sensis'!$H$51),'Phase III Pro Forma'!L273+'Phase III Pro Forma'!L267,0)</f>
        <v>18087264.610779632</v>
      </c>
      <c r="M275" s="138">
        <f>+IF(YEAR(M$140)&lt;=YEAR('Assumptions and Sensis'!$H$51),'Phase III Pro Forma'!M273+'Phase III Pro Forma'!M267,0)</f>
        <v>0</v>
      </c>
      <c r="N275" s="138">
        <f>+IF(YEAR(N$140)&lt;=YEAR('Assumptions and Sensis'!$H$51),'Phase III Pro Forma'!N273+'Phase III Pro Forma'!N267,0)</f>
        <v>0</v>
      </c>
      <c r="O275" s="138">
        <f>+IF(YEAR(O$140)&lt;=YEAR('Assumptions and Sensis'!$H$51),'Phase III Pro Forma'!O273+'Phase III Pro Forma'!O267,0)</f>
        <v>0</v>
      </c>
      <c r="P275" s="138">
        <f>+IF(YEAR(P$140)&lt;=YEAR('Assumptions and Sensis'!$H$51),'Phase III Pro Forma'!P273+'Phase III Pro Forma'!P267,0)</f>
        <v>0</v>
      </c>
      <c r="Q275" s="138">
        <f>+IF(YEAR(Q$140)&lt;=YEAR('Assumptions and Sensis'!$H$51),'Phase III Pro Forma'!Q273+'Phase III Pro Forma'!Q267,0)</f>
        <v>0</v>
      </c>
      <c r="R275" s="138">
        <f>+IF(YEAR(R$140)&lt;=YEAR('Assumptions and Sensis'!$H$51),'Phase III Pro Forma'!R273+'Phase III Pro Forma'!R267,0)</f>
        <v>0</v>
      </c>
      <c r="S275" s="138">
        <f>+IF(YEAR(S$140)&lt;=YEAR('Assumptions and Sensis'!$H$51),'Phase III Pro Forma'!S273+'Phase III Pro Forma'!S267,0)</f>
        <v>0</v>
      </c>
      <c r="T275" s="138">
        <f>+IF(YEAR(T$140)&lt;=YEAR('Assumptions and Sensis'!$H$51),'Phase III Pro Forma'!T273+'Phase III Pro Forma'!T267,0)</f>
        <v>0</v>
      </c>
      <c r="U275" s="138">
        <f>+IF(YEAR(U$140)&lt;=YEAR('Assumptions and Sensis'!$H$51),'Phase III Pro Forma'!U273+'Phase III Pro Forma'!U267,0)</f>
        <v>0</v>
      </c>
      <c r="V275" s="138">
        <f>+IF(YEAR(V$140)&lt;=YEAR('Assumptions and Sensis'!$H$51),'Phase III Pro Forma'!V273+'Phase III Pro Forma'!V267,0)</f>
        <v>0</v>
      </c>
      <c r="W275" s="138">
        <f>+IF(YEAR(W$140)&lt;=YEAR('Assumptions and Sensis'!$H$51),'Phase III Pro Forma'!W273+'Phase III Pro Forma'!W267,0)</f>
        <v>0</v>
      </c>
      <c r="X275" s="138">
        <f>+IF(YEAR(X$140)&lt;=YEAR('Assumptions and Sensis'!$H$51),'Phase III Pro Forma'!X273+'Phase III Pro Forma'!X267,0)</f>
        <v>0</v>
      </c>
      <c r="Y275" s="138">
        <f>+IF(YEAR(Y$140)&lt;=YEAR('Assumptions and Sensis'!$H$51),'Phase III Pro Forma'!Y273+'Phase III Pro Forma'!Y267,0)</f>
        <v>0</v>
      </c>
      <c r="Z275" s="138">
        <f>+IF(YEAR(Z$140)&lt;=YEAR('Assumptions and Sensis'!$H$51),'Phase III Pro Forma'!Z273+'Phase III Pro Forma'!Z267,0)</f>
        <v>0</v>
      </c>
    </row>
    <row r="277" spans="2:26" x14ac:dyDescent="0.2">
      <c r="B277" s="137" t="s">
        <v>356</v>
      </c>
      <c r="C277" s="137"/>
      <c r="D277" s="137"/>
      <c r="E277" s="137"/>
      <c r="F277" s="138">
        <f t="shared" ref="F277:Z277" ca="1" si="111">+F275+F230+F162</f>
        <v>0</v>
      </c>
      <c r="G277" s="138">
        <f t="shared" ca="1" si="111"/>
        <v>0</v>
      </c>
      <c r="H277" s="138">
        <f t="shared" ca="1" si="111"/>
        <v>0</v>
      </c>
      <c r="I277" s="138">
        <f t="shared" ca="1" si="111"/>
        <v>34294946.00865227</v>
      </c>
      <c r="J277" s="138">
        <f t="shared" ca="1" si="111"/>
        <v>5163707.0895398315</v>
      </c>
      <c r="K277" s="138">
        <f t="shared" ca="1" si="111"/>
        <v>5446481.3733853698</v>
      </c>
      <c r="L277" s="138">
        <f t="shared" ca="1" si="111"/>
        <v>191059263.72519034</v>
      </c>
      <c r="M277" s="138">
        <f t="shared" si="111"/>
        <v>0</v>
      </c>
      <c r="N277" s="138">
        <f t="shared" si="111"/>
        <v>0</v>
      </c>
      <c r="O277" s="138">
        <f t="shared" si="111"/>
        <v>0</v>
      </c>
      <c r="P277" s="138">
        <f t="shared" si="111"/>
        <v>0</v>
      </c>
      <c r="Q277" s="138">
        <f t="shared" si="111"/>
        <v>0</v>
      </c>
      <c r="R277" s="138">
        <f t="shared" si="111"/>
        <v>0</v>
      </c>
      <c r="S277" s="138">
        <f t="shared" si="111"/>
        <v>0</v>
      </c>
      <c r="T277" s="138">
        <f t="shared" si="111"/>
        <v>0</v>
      </c>
      <c r="U277" s="138">
        <f t="shared" si="111"/>
        <v>0</v>
      </c>
      <c r="V277" s="138">
        <f t="shared" si="111"/>
        <v>0</v>
      </c>
      <c r="W277" s="138">
        <f t="shared" si="111"/>
        <v>0</v>
      </c>
      <c r="X277" s="138">
        <f t="shared" si="111"/>
        <v>0</v>
      </c>
      <c r="Y277" s="138">
        <f t="shared" si="111"/>
        <v>0</v>
      </c>
      <c r="Z277" s="138">
        <f t="shared" si="111"/>
        <v>0</v>
      </c>
    </row>
    <row r="279" spans="2:26" x14ac:dyDescent="0.2">
      <c r="B279" s="40" t="s">
        <v>442</v>
      </c>
      <c r="F279" s="33">
        <f ca="1">+F156+F300</f>
        <v>0</v>
      </c>
      <c r="G279" s="33">
        <f t="shared" ref="G279:Z279" ca="1" si="112">+G156+G300</f>
        <v>129078393.23459172</v>
      </c>
      <c r="H279" s="33">
        <f t="shared" ca="1" si="112"/>
        <v>109418145.56775826</v>
      </c>
      <c r="I279" s="33">
        <f t="shared" ca="1" si="112"/>
        <v>44337854.744443059</v>
      </c>
      <c r="J279" s="33">
        <f t="shared" ca="1" si="112"/>
        <v>0</v>
      </c>
      <c r="K279" s="33">
        <f t="shared" ca="1" si="112"/>
        <v>0</v>
      </c>
      <c r="L279" s="33">
        <f t="shared" ca="1" si="112"/>
        <v>0</v>
      </c>
      <c r="M279" s="33">
        <f t="shared" ca="1" si="112"/>
        <v>0</v>
      </c>
      <c r="N279" s="33">
        <f t="shared" ca="1" si="112"/>
        <v>0</v>
      </c>
      <c r="O279" s="33">
        <f t="shared" ca="1" si="112"/>
        <v>0</v>
      </c>
      <c r="P279" s="33">
        <f t="shared" ca="1" si="112"/>
        <v>0</v>
      </c>
      <c r="Q279" s="33">
        <f t="shared" ca="1" si="112"/>
        <v>0</v>
      </c>
      <c r="R279" s="33">
        <f t="shared" ca="1" si="112"/>
        <v>0</v>
      </c>
      <c r="S279" s="33">
        <f t="shared" ca="1" si="112"/>
        <v>0</v>
      </c>
      <c r="T279" s="33">
        <f t="shared" ca="1" si="112"/>
        <v>0</v>
      </c>
      <c r="U279" s="33">
        <f t="shared" ca="1" si="112"/>
        <v>0</v>
      </c>
      <c r="V279" s="33">
        <f t="shared" ca="1" si="112"/>
        <v>0</v>
      </c>
      <c r="W279" s="33">
        <f t="shared" ca="1" si="112"/>
        <v>0</v>
      </c>
      <c r="X279" s="33">
        <f t="shared" ca="1" si="112"/>
        <v>0</v>
      </c>
      <c r="Y279" s="33">
        <f t="shared" ca="1" si="112"/>
        <v>0</v>
      </c>
      <c r="Z279" s="33">
        <f t="shared" ca="1" si="112"/>
        <v>0</v>
      </c>
    </row>
    <row r="280" spans="2:26" x14ac:dyDescent="0.2">
      <c r="B280" s="40" t="s">
        <v>341</v>
      </c>
      <c r="F280" s="33">
        <f t="shared" ref="F280:Z280" ca="1" si="113">-F272+F262-F227+F217-F158+F147+F220+F150+F265</f>
        <v>0</v>
      </c>
      <c r="G280" s="33">
        <f t="shared" ca="1" si="113"/>
        <v>0</v>
      </c>
      <c r="H280" s="33">
        <f t="shared" ca="1" si="113"/>
        <v>0</v>
      </c>
      <c r="I280" s="33">
        <f t="shared" ca="1" si="113"/>
        <v>22851596.282757699</v>
      </c>
      <c r="J280" s="33">
        <f t="shared" ca="1" si="113"/>
        <v>20715160.605946351</v>
      </c>
      <c r="K280" s="33">
        <f t="shared" ca="1" si="113"/>
        <v>20715160.605946355</v>
      </c>
      <c r="L280" s="33">
        <f t="shared" ca="1" si="113"/>
        <v>291421299.84511465</v>
      </c>
      <c r="M280" s="33">
        <f t="shared" ca="1" si="113"/>
        <v>20715160.605946351</v>
      </c>
      <c r="N280" s="33">
        <f t="shared" ca="1" si="113"/>
        <v>20715160.605946351</v>
      </c>
      <c r="O280" s="33">
        <f t="shared" ca="1" si="113"/>
        <v>20715160.605946351</v>
      </c>
      <c r="P280" s="33">
        <f t="shared" ca="1" si="113"/>
        <v>20715160.605946351</v>
      </c>
      <c r="Q280" s="33">
        <f t="shared" ca="1" si="113"/>
        <v>20715160.605946351</v>
      </c>
      <c r="R280" s="33">
        <f t="shared" ca="1" si="113"/>
        <v>20715160.605946351</v>
      </c>
      <c r="S280" s="33">
        <f t="shared" ca="1" si="113"/>
        <v>20715160.605946351</v>
      </c>
      <c r="T280" s="33">
        <f t="shared" ca="1" si="113"/>
        <v>20715160.605946351</v>
      </c>
      <c r="U280" s="33">
        <f t="shared" ca="1" si="113"/>
        <v>20715160.605946351</v>
      </c>
      <c r="V280" s="33">
        <f t="shared" ca="1" si="113"/>
        <v>20715160.605946351</v>
      </c>
      <c r="W280" s="33">
        <f t="shared" ca="1" si="113"/>
        <v>20715160.605946351</v>
      </c>
      <c r="X280" s="33">
        <f t="shared" ca="1" si="113"/>
        <v>20715160.605946347</v>
      </c>
      <c r="Y280" s="33">
        <f t="shared" ca="1" si="113"/>
        <v>20715160.605946347</v>
      </c>
      <c r="Z280" s="33">
        <f t="shared" ca="1" si="113"/>
        <v>20715160.605946351</v>
      </c>
    </row>
    <row r="282" spans="2:26" x14ac:dyDescent="0.2">
      <c r="B282" s="36" t="s">
        <v>346</v>
      </c>
      <c r="C282" s="37"/>
      <c r="D282" s="37"/>
      <c r="E282" s="37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4" spans="2:26" x14ac:dyDescent="0.2">
      <c r="B284" s="147" t="s">
        <v>345</v>
      </c>
      <c r="F284" s="149">
        <f>+'Assumptions and Sensis'!$H$43</f>
        <v>45657</v>
      </c>
      <c r="G284" s="149">
        <f>+EOMONTH(F284,12)</f>
        <v>46022</v>
      </c>
      <c r="H284" s="149">
        <f t="shared" ref="H284:Z284" si="114">+EOMONTH(G284,12)</f>
        <v>46387</v>
      </c>
      <c r="I284" s="149">
        <f t="shared" si="114"/>
        <v>46752</v>
      </c>
      <c r="J284" s="149">
        <f t="shared" si="114"/>
        <v>47118</v>
      </c>
      <c r="K284" s="149">
        <f t="shared" si="114"/>
        <v>47483</v>
      </c>
      <c r="L284" s="149">
        <f t="shared" si="114"/>
        <v>47848</v>
      </c>
      <c r="M284" s="149">
        <f t="shared" si="114"/>
        <v>48213</v>
      </c>
      <c r="N284" s="149">
        <f t="shared" si="114"/>
        <v>48579</v>
      </c>
      <c r="O284" s="149">
        <f t="shared" si="114"/>
        <v>48944</v>
      </c>
      <c r="P284" s="149">
        <f t="shared" si="114"/>
        <v>49309</v>
      </c>
      <c r="Q284" s="149">
        <f t="shared" si="114"/>
        <v>49674</v>
      </c>
      <c r="R284" s="149">
        <f t="shared" si="114"/>
        <v>50040</v>
      </c>
      <c r="S284" s="149">
        <f t="shared" si="114"/>
        <v>50405</v>
      </c>
      <c r="T284" s="149">
        <f t="shared" si="114"/>
        <v>50770</v>
      </c>
      <c r="U284" s="149">
        <f t="shared" si="114"/>
        <v>51135</v>
      </c>
      <c r="V284" s="149">
        <f t="shared" si="114"/>
        <v>51501</v>
      </c>
      <c r="W284" s="149">
        <f t="shared" si="114"/>
        <v>51866</v>
      </c>
      <c r="X284" s="149">
        <f t="shared" si="114"/>
        <v>52231</v>
      </c>
      <c r="Y284" s="149">
        <f t="shared" si="114"/>
        <v>52596</v>
      </c>
      <c r="Z284" s="149">
        <f t="shared" si="114"/>
        <v>52962</v>
      </c>
    </row>
    <row r="285" spans="2:26" x14ac:dyDescent="0.2">
      <c r="B285" s="32" t="s">
        <v>61</v>
      </c>
      <c r="D285" s="47">
        <f>+SUM(F285:Z285)</f>
        <v>9121587</v>
      </c>
      <c r="E285" s="47"/>
      <c r="F285" s="33">
        <f>+IF(AND(F$284&gt;='Assumptions and Sensis'!$H$43,F$284&lt;'Assumptions and Sensis'!$H$45),'S&amp;U'!$J7/ROUNDUP('Assumptions and Sensis'!$H$44/12,0),IF(AND(F$284&gt;='Assumptions and Sensis'!$H$45,F$284&lt;'Assumptions and Sensis'!$H$47),'S&amp;U'!$J39/ROUNDUP('Assumptions and Sensis'!$H$46/12,0),0))</f>
        <v>9121587</v>
      </c>
      <c r="G285" s="33">
        <f>+IF(AND(G$284&gt;='Assumptions and Sensis'!$H$43,G$284&lt;'Assumptions and Sensis'!$H$45),'S&amp;U'!$J7/ROUNDUP('Assumptions and Sensis'!$H$44/12,0),IF(AND(G$284&gt;='Assumptions and Sensis'!$H$45,G$284&lt;'Assumptions and Sensis'!$H$47),'S&amp;U'!$J39/ROUNDUP('Assumptions and Sensis'!$H$46/12,0),0))</f>
        <v>0</v>
      </c>
      <c r="H285" s="33">
        <f>+IF(AND(H$284&gt;='Assumptions and Sensis'!$H$43,H$284&lt;'Assumptions and Sensis'!$H$45),'S&amp;U'!$J7/ROUNDUP('Assumptions and Sensis'!$H$44/12,0),IF(AND(H$284&gt;='Assumptions and Sensis'!$H$45,H$284&lt;'Assumptions and Sensis'!$H$47),'S&amp;U'!$J39/ROUNDUP('Assumptions and Sensis'!$H$46/12,0),0))</f>
        <v>0</v>
      </c>
      <c r="I285" s="33">
        <f>+IF(AND(I$284&gt;='Assumptions and Sensis'!$H$43,I$284&lt;'Assumptions and Sensis'!$H$45),'S&amp;U'!$J7/ROUNDUP('Assumptions and Sensis'!$H$44/12,0),IF(AND(I$284&gt;='Assumptions and Sensis'!$H$45,I$284&lt;'Assumptions and Sensis'!$H$47),'S&amp;U'!$J39/ROUNDUP('Assumptions and Sensis'!$H$46/12,0),0))</f>
        <v>0</v>
      </c>
      <c r="J285" s="33">
        <f>+IF(AND(J$284&gt;='Assumptions and Sensis'!$H$43,J$284&lt;'Assumptions and Sensis'!$H$45),'S&amp;U'!$J7/ROUNDUP('Assumptions and Sensis'!$H$44/12,0),IF(AND(J$284&gt;='Assumptions and Sensis'!$H$45,J$284&lt;'Assumptions and Sensis'!$H$47),'S&amp;U'!$J39/ROUNDUP('Assumptions and Sensis'!$H$46/12,0),0))</f>
        <v>0</v>
      </c>
      <c r="K285" s="33">
        <f>+IF(AND(K$284&gt;='Assumptions and Sensis'!$H$43,K$284&lt;'Assumptions and Sensis'!$H$45),'S&amp;U'!$J7/ROUNDUP('Assumptions and Sensis'!$H$44/12,0),IF(AND(K$284&gt;='Assumptions and Sensis'!$H$45,K$284&lt;'Assumptions and Sensis'!$H$47),'S&amp;U'!$J39/ROUNDUP('Assumptions and Sensis'!$H$46/12,0),0))</f>
        <v>0</v>
      </c>
      <c r="L285" s="33">
        <f>+IF(AND(L$284&gt;='Assumptions and Sensis'!$H$43,L$284&lt;'Assumptions and Sensis'!$H$45),'S&amp;U'!$J7/ROUNDUP('Assumptions and Sensis'!$H$44/12,0),IF(AND(L$284&gt;='Assumptions and Sensis'!$H$45,L$284&lt;'Assumptions and Sensis'!$H$47),'S&amp;U'!$J39/ROUNDUP('Assumptions and Sensis'!$H$46/12,0),0))</f>
        <v>0</v>
      </c>
      <c r="M285" s="33">
        <f>+IF(AND(M$284&gt;='Assumptions and Sensis'!$H$43,M$284&lt;'Assumptions and Sensis'!$H$45),'S&amp;U'!$J7/ROUNDUP('Assumptions and Sensis'!$H$44/12,0),IF(AND(M$284&gt;='Assumptions and Sensis'!$H$45,M$284&lt;'Assumptions and Sensis'!$H$47),'S&amp;U'!$J39/ROUNDUP('Assumptions and Sensis'!$H$46/12,0),0))</f>
        <v>0</v>
      </c>
      <c r="N285" s="33">
        <f>+IF(AND(N$284&gt;='Assumptions and Sensis'!$H$43,N$284&lt;'Assumptions and Sensis'!$H$45),'S&amp;U'!$J7/ROUNDUP('Assumptions and Sensis'!$H$44/12,0),IF(AND(N$284&gt;='Assumptions and Sensis'!$H$45,N$284&lt;'Assumptions and Sensis'!$H$47),'S&amp;U'!$J39/ROUNDUP('Assumptions and Sensis'!$H$46/12,0),0))</f>
        <v>0</v>
      </c>
      <c r="O285" s="33">
        <f>+IF(AND(O$284&gt;='Assumptions and Sensis'!$H$43,O$284&lt;'Assumptions and Sensis'!$H$45),'S&amp;U'!$J7/ROUNDUP('Assumptions and Sensis'!$H$44/12,0),IF(AND(O$284&gt;='Assumptions and Sensis'!$H$45,O$284&lt;'Assumptions and Sensis'!$H$47),'S&amp;U'!$J39/ROUNDUP('Assumptions and Sensis'!$H$46/12,0),0))</f>
        <v>0</v>
      </c>
      <c r="P285" s="33">
        <f>+IF(AND(P$284&gt;='Assumptions and Sensis'!$H$43,P$284&lt;'Assumptions and Sensis'!$H$45),'S&amp;U'!$J7/ROUNDUP('Assumptions and Sensis'!$H$44/12,0),IF(AND(P$284&gt;='Assumptions and Sensis'!$H$45,P$284&lt;'Assumptions and Sensis'!$H$47),'S&amp;U'!$J39/ROUNDUP('Assumptions and Sensis'!$H$46/12,0),0))</f>
        <v>0</v>
      </c>
      <c r="Q285" s="33">
        <f>+IF(AND(Q$284&gt;='Assumptions and Sensis'!$H$43,Q$284&lt;'Assumptions and Sensis'!$H$45),'S&amp;U'!$J7/ROUNDUP('Assumptions and Sensis'!$H$44/12,0),IF(AND(Q$284&gt;='Assumptions and Sensis'!$H$45,Q$284&lt;'Assumptions and Sensis'!$H$47),'S&amp;U'!$J39/ROUNDUP('Assumptions and Sensis'!$H$46/12,0),0))</f>
        <v>0</v>
      </c>
      <c r="R285" s="33">
        <f>+IF(AND(R$284&gt;='Assumptions and Sensis'!$H$43,R$284&lt;'Assumptions and Sensis'!$H$45),'S&amp;U'!$J7/ROUNDUP('Assumptions and Sensis'!$H$44/12,0),IF(AND(R$284&gt;='Assumptions and Sensis'!$H$45,R$284&lt;'Assumptions and Sensis'!$H$47),'S&amp;U'!$J39/ROUNDUP('Assumptions and Sensis'!$H$46/12,0),0))</f>
        <v>0</v>
      </c>
      <c r="S285" s="33">
        <f>+IF(AND(S$284&gt;='Assumptions and Sensis'!$H$43,S$284&lt;'Assumptions and Sensis'!$H$45),'S&amp;U'!$J7/ROUNDUP('Assumptions and Sensis'!$H$44/12,0),IF(AND(S$284&gt;='Assumptions and Sensis'!$H$45,S$284&lt;'Assumptions and Sensis'!$H$47),'S&amp;U'!$J39/ROUNDUP('Assumptions and Sensis'!$H$46/12,0),0))</f>
        <v>0</v>
      </c>
      <c r="T285" s="33">
        <f>+IF(AND(T$284&gt;='Assumptions and Sensis'!$H$43,T$284&lt;'Assumptions and Sensis'!$H$45),'S&amp;U'!$J7/ROUNDUP('Assumptions and Sensis'!$H$44/12,0),IF(AND(T$284&gt;='Assumptions and Sensis'!$H$45,T$284&lt;'Assumptions and Sensis'!$H$47),'S&amp;U'!$J39/ROUNDUP('Assumptions and Sensis'!$H$46/12,0),0))</f>
        <v>0</v>
      </c>
      <c r="U285" s="33">
        <f>+IF(AND(U$284&gt;='Assumptions and Sensis'!$H$43,U$284&lt;'Assumptions and Sensis'!$H$45),'S&amp;U'!$J7/ROUNDUP('Assumptions and Sensis'!$H$44/12,0),IF(AND(U$284&gt;='Assumptions and Sensis'!$H$45,U$284&lt;'Assumptions and Sensis'!$H$47),'S&amp;U'!$J39/ROUNDUP('Assumptions and Sensis'!$H$46/12,0),0))</f>
        <v>0</v>
      </c>
      <c r="V285" s="33">
        <f>+IF(AND(V$284&gt;='Assumptions and Sensis'!$H$43,V$284&lt;'Assumptions and Sensis'!$H$45),'S&amp;U'!$J7/ROUNDUP('Assumptions and Sensis'!$H$44/12,0),IF(AND(V$284&gt;='Assumptions and Sensis'!$H$45,V$284&lt;'Assumptions and Sensis'!$H$47),'S&amp;U'!$J39/ROUNDUP('Assumptions and Sensis'!$H$46/12,0),0))</f>
        <v>0</v>
      </c>
      <c r="W285" s="33">
        <f>+IF(AND(W$284&gt;='Assumptions and Sensis'!$H$43,W$284&lt;'Assumptions and Sensis'!$H$45),'S&amp;U'!$J7/ROUNDUP('Assumptions and Sensis'!$H$44/12,0),IF(AND(W$284&gt;='Assumptions and Sensis'!$H$45,W$284&lt;'Assumptions and Sensis'!$H$47),'S&amp;U'!$J39/ROUNDUP('Assumptions and Sensis'!$H$46/12,0),0))</f>
        <v>0</v>
      </c>
      <c r="X285" s="33">
        <f>+IF(AND(X$284&gt;='Assumptions and Sensis'!$H$43,X$284&lt;'Assumptions and Sensis'!$H$45),'S&amp;U'!$J7/ROUNDUP('Assumptions and Sensis'!$H$44/12,0),IF(AND(X$284&gt;='Assumptions and Sensis'!$H$45,X$284&lt;'Assumptions and Sensis'!$H$47),'S&amp;U'!$J39/ROUNDUP('Assumptions and Sensis'!$H$46/12,0),0))</f>
        <v>0</v>
      </c>
      <c r="Y285" s="33">
        <f>+IF(AND(Y$284&gt;='Assumptions and Sensis'!$H$43,Y$284&lt;'Assumptions and Sensis'!$H$45),'S&amp;U'!$J7/ROUNDUP('Assumptions and Sensis'!$H$44/12,0),IF(AND(Y$284&gt;='Assumptions and Sensis'!$H$45,Y$284&lt;'Assumptions and Sensis'!$H$47),'S&amp;U'!$J39/ROUNDUP('Assumptions and Sensis'!$H$46/12,0),0))</f>
        <v>0</v>
      </c>
      <c r="Z285" s="33">
        <f>+IF(AND(Z$284&gt;='Assumptions and Sensis'!$H$43,Z$284&lt;'Assumptions and Sensis'!$H$45),'S&amp;U'!$J7/ROUNDUP('Assumptions and Sensis'!$H$44/12,0),IF(AND(Z$284&gt;='Assumptions and Sensis'!$H$45,Z$284&lt;'Assumptions and Sensis'!$H$47),'S&amp;U'!$J39/ROUNDUP('Assumptions and Sensis'!$H$46/12,0),0))</f>
        <v>0</v>
      </c>
    </row>
    <row r="286" spans="2:26" x14ac:dyDescent="0.2">
      <c r="B286" s="32" t="s">
        <v>8</v>
      </c>
      <c r="D286" s="47">
        <f t="shared" ref="D286:D291" si="115">+SUM(F286:Z286)</f>
        <v>33080888.234042555</v>
      </c>
      <c r="E286" s="47"/>
      <c r="F286" s="150">
        <f>+IF(AND(F$284&gt;='Assumptions and Sensis'!$H$43,F$284&lt;'Assumptions and Sensis'!$H$45),'S&amp;U'!$J8/ROUNDUP('Assumptions and Sensis'!$H$44/12,0),IF(AND(F$284&gt;='Assumptions and Sensis'!$H$45,F$284&lt;'Assumptions and Sensis'!$H$47),'S&amp;U'!$J40/ROUNDUP('Assumptions and Sensis'!$H$46/12,0),0))</f>
        <v>33080888.234042555</v>
      </c>
      <c r="G286" s="150">
        <f>+IF(AND(G$284&gt;='Assumptions and Sensis'!$H$43,G$284&lt;'Assumptions and Sensis'!$H$45),'S&amp;U'!$J8/ROUNDUP('Assumptions and Sensis'!$H$44/12,0),IF(AND(G$284&gt;='Assumptions and Sensis'!$H$45,G$284&lt;'Assumptions and Sensis'!$H$47),'S&amp;U'!$J40/ROUNDUP('Assumptions and Sensis'!$H$46/12,0),0))</f>
        <v>0</v>
      </c>
      <c r="H286" s="150">
        <f>+IF(AND(H$284&gt;='Assumptions and Sensis'!$H$43,H$284&lt;'Assumptions and Sensis'!$H$45),'S&amp;U'!$J8/ROUNDUP('Assumptions and Sensis'!$H$44/12,0),IF(AND(H$284&gt;='Assumptions and Sensis'!$H$45,H$284&lt;'Assumptions and Sensis'!$H$47),'S&amp;U'!$J40/ROUNDUP('Assumptions and Sensis'!$H$46/12,0),0))</f>
        <v>0</v>
      </c>
      <c r="I286" s="150">
        <f>+IF(AND(I$284&gt;='Assumptions and Sensis'!$H$43,I$284&lt;'Assumptions and Sensis'!$H$45),'S&amp;U'!$J8/ROUNDUP('Assumptions and Sensis'!$H$44/12,0),IF(AND(I$284&gt;='Assumptions and Sensis'!$H$45,I$284&lt;'Assumptions and Sensis'!$H$47),'S&amp;U'!$J40/ROUNDUP('Assumptions and Sensis'!$H$46/12,0),0))</f>
        <v>0</v>
      </c>
      <c r="J286" s="150">
        <f>+IF(AND(J$284&gt;='Assumptions and Sensis'!$H$43,J$284&lt;'Assumptions and Sensis'!$H$45),'S&amp;U'!$J8/ROUNDUP('Assumptions and Sensis'!$H$44/12,0),IF(AND(J$284&gt;='Assumptions and Sensis'!$H$45,J$284&lt;'Assumptions and Sensis'!$H$47),'S&amp;U'!$J40/ROUNDUP('Assumptions and Sensis'!$H$46/12,0),0))</f>
        <v>0</v>
      </c>
      <c r="K286" s="150">
        <f>+IF(AND(K$284&gt;='Assumptions and Sensis'!$H$43,K$284&lt;'Assumptions and Sensis'!$H$45),'S&amp;U'!$J8/ROUNDUP('Assumptions and Sensis'!$H$44/12,0),IF(AND(K$284&gt;='Assumptions and Sensis'!$H$45,K$284&lt;'Assumptions and Sensis'!$H$47),'S&amp;U'!$J40/ROUNDUP('Assumptions and Sensis'!$H$46/12,0),0))</f>
        <v>0</v>
      </c>
      <c r="L286" s="150">
        <f>+IF(AND(L$284&gt;='Assumptions and Sensis'!$H$43,L$284&lt;'Assumptions and Sensis'!$H$45),'S&amp;U'!$J8/ROUNDUP('Assumptions and Sensis'!$H$44/12,0),IF(AND(L$284&gt;='Assumptions and Sensis'!$H$45,L$284&lt;'Assumptions and Sensis'!$H$47),'S&amp;U'!$J40/ROUNDUP('Assumptions and Sensis'!$H$46/12,0),0))</f>
        <v>0</v>
      </c>
      <c r="M286" s="150">
        <f>+IF(AND(M$284&gt;='Assumptions and Sensis'!$H$43,M$284&lt;'Assumptions and Sensis'!$H$45),'S&amp;U'!$J8/ROUNDUP('Assumptions and Sensis'!$H$44/12,0),IF(AND(M$284&gt;='Assumptions and Sensis'!$H$45,M$284&lt;'Assumptions and Sensis'!$H$47),'S&amp;U'!$J40/ROUNDUP('Assumptions and Sensis'!$H$46/12,0),0))</f>
        <v>0</v>
      </c>
      <c r="N286" s="150">
        <f>+IF(AND(N$284&gt;='Assumptions and Sensis'!$H$43,N$284&lt;'Assumptions and Sensis'!$H$45),'S&amp;U'!$J8/ROUNDUP('Assumptions and Sensis'!$H$44/12,0),IF(AND(N$284&gt;='Assumptions and Sensis'!$H$45,N$284&lt;'Assumptions and Sensis'!$H$47),'S&amp;U'!$J40/ROUNDUP('Assumptions and Sensis'!$H$46/12,0),0))</f>
        <v>0</v>
      </c>
      <c r="O286" s="150">
        <f>+IF(AND(O$284&gt;='Assumptions and Sensis'!$H$43,O$284&lt;'Assumptions and Sensis'!$H$45),'S&amp;U'!$J8/ROUNDUP('Assumptions and Sensis'!$H$44/12,0),IF(AND(O$284&gt;='Assumptions and Sensis'!$H$45,O$284&lt;'Assumptions and Sensis'!$H$47),'S&amp;U'!$J40/ROUNDUP('Assumptions and Sensis'!$H$46/12,0),0))</f>
        <v>0</v>
      </c>
      <c r="P286" s="150">
        <f>+IF(AND(P$284&gt;='Assumptions and Sensis'!$H$43,P$284&lt;'Assumptions and Sensis'!$H$45),'S&amp;U'!$J8/ROUNDUP('Assumptions and Sensis'!$H$44/12,0),IF(AND(P$284&gt;='Assumptions and Sensis'!$H$45,P$284&lt;'Assumptions and Sensis'!$H$47),'S&amp;U'!$J40/ROUNDUP('Assumptions and Sensis'!$H$46/12,0),0))</f>
        <v>0</v>
      </c>
      <c r="Q286" s="150">
        <f>+IF(AND(Q$284&gt;='Assumptions and Sensis'!$H$43,Q$284&lt;'Assumptions and Sensis'!$H$45),'S&amp;U'!$J8/ROUNDUP('Assumptions and Sensis'!$H$44/12,0),IF(AND(Q$284&gt;='Assumptions and Sensis'!$H$45,Q$284&lt;'Assumptions and Sensis'!$H$47),'S&amp;U'!$J40/ROUNDUP('Assumptions and Sensis'!$H$46/12,0),0))</f>
        <v>0</v>
      </c>
      <c r="R286" s="150">
        <f>+IF(AND(R$284&gt;='Assumptions and Sensis'!$H$43,R$284&lt;'Assumptions and Sensis'!$H$45),'S&amp;U'!$J8/ROUNDUP('Assumptions and Sensis'!$H$44/12,0),IF(AND(R$284&gt;='Assumptions and Sensis'!$H$45,R$284&lt;'Assumptions and Sensis'!$H$47),'S&amp;U'!$J40/ROUNDUP('Assumptions and Sensis'!$H$46/12,0),0))</f>
        <v>0</v>
      </c>
      <c r="S286" s="150">
        <f>+IF(AND(S$284&gt;='Assumptions and Sensis'!$H$43,S$284&lt;'Assumptions and Sensis'!$H$45),'S&amp;U'!$J8/ROUNDUP('Assumptions and Sensis'!$H$44/12,0),IF(AND(S$284&gt;='Assumptions and Sensis'!$H$45,S$284&lt;'Assumptions and Sensis'!$H$47),'S&amp;U'!$J40/ROUNDUP('Assumptions and Sensis'!$H$46/12,0),0))</f>
        <v>0</v>
      </c>
      <c r="T286" s="150">
        <f>+IF(AND(T$284&gt;='Assumptions and Sensis'!$H$43,T$284&lt;'Assumptions and Sensis'!$H$45),'S&amp;U'!$J8/ROUNDUP('Assumptions and Sensis'!$H$44/12,0),IF(AND(T$284&gt;='Assumptions and Sensis'!$H$45,T$284&lt;'Assumptions and Sensis'!$H$47),'S&amp;U'!$J40/ROUNDUP('Assumptions and Sensis'!$H$46/12,0),0))</f>
        <v>0</v>
      </c>
      <c r="U286" s="150">
        <f>+IF(AND(U$284&gt;='Assumptions and Sensis'!$H$43,U$284&lt;'Assumptions and Sensis'!$H$45),'S&amp;U'!$J8/ROUNDUP('Assumptions and Sensis'!$H$44/12,0),IF(AND(U$284&gt;='Assumptions and Sensis'!$H$45,U$284&lt;'Assumptions and Sensis'!$H$47),'S&amp;U'!$J40/ROUNDUP('Assumptions and Sensis'!$H$46/12,0),0))</f>
        <v>0</v>
      </c>
      <c r="V286" s="150">
        <f>+IF(AND(V$284&gt;='Assumptions and Sensis'!$H$43,V$284&lt;'Assumptions and Sensis'!$H$45),'S&amp;U'!$J8/ROUNDUP('Assumptions and Sensis'!$H$44/12,0),IF(AND(V$284&gt;='Assumptions and Sensis'!$H$45,V$284&lt;'Assumptions and Sensis'!$H$47),'S&amp;U'!$J40/ROUNDUP('Assumptions and Sensis'!$H$46/12,0),0))</f>
        <v>0</v>
      </c>
      <c r="W286" s="150">
        <f>+IF(AND(W$284&gt;='Assumptions and Sensis'!$H$43,W$284&lt;'Assumptions and Sensis'!$H$45),'S&amp;U'!$J8/ROUNDUP('Assumptions and Sensis'!$H$44/12,0),IF(AND(W$284&gt;='Assumptions and Sensis'!$H$45,W$284&lt;'Assumptions and Sensis'!$H$47),'S&amp;U'!$J40/ROUNDUP('Assumptions and Sensis'!$H$46/12,0),0))</f>
        <v>0</v>
      </c>
      <c r="X286" s="150">
        <f>+IF(AND(X$284&gt;='Assumptions and Sensis'!$H$43,X$284&lt;'Assumptions and Sensis'!$H$45),'S&amp;U'!$J8/ROUNDUP('Assumptions and Sensis'!$H$44/12,0),IF(AND(X$284&gt;='Assumptions and Sensis'!$H$45,X$284&lt;'Assumptions and Sensis'!$H$47),'S&amp;U'!$J40/ROUNDUP('Assumptions and Sensis'!$H$46/12,0),0))</f>
        <v>0</v>
      </c>
      <c r="Y286" s="150">
        <f>+IF(AND(Y$284&gt;='Assumptions and Sensis'!$H$43,Y$284&lt;'Assumptions and Sensis'!$H$45),'S&amp;U'!$J8/ROUNDUP('Assumptions and Sensis'!$H$44/12,0),IF(AND(Y$284&gt;='Assumptions and Sensis'!$H$45,Y$284&lt;'Assumptions and Sensis'!$H$47),'S&amp;U'!$J40/ROUNDUP('Assumptions and Sensis'!$H$46/12,0),0))</f>
        <v>0</v>
      </c>
      <c r="Z286" s="150">
        <f>+IF(AND(Z$284&gt;='Assumptions and Sensis'!$H$43,Z$284&lt;'Assumptions and Sensis'!$H$45),'S&amp;U'!$J8/ROUNDUP('Assumptions and Sensis'!$H$44/12,0),IF(AND(Z$284&gt;='Assumptions and Sensis'!$H$45,Z$284&lt;'Assumptions and Sensis'!$H$47),'S&amp;U'!$J40/ROUNDUP('Assumptions and Sensis'!$H$46/12,0),0))</f>
        <v>0</v>
      </c>
    </row>
    <row r="287" spans="2:26" x14ac:dyDescent="0.2">
      <c r="B287" s="32" t="s">
        <v>57</v>
      </c>
      <c r="D287" s="47">
        <f t="shared" ca="1" si="115"/>
        <v>291051583.54014122</v>
      </c>
      <c r="E287" s="47"/>
      <c r="F287" s="150">
        <f>+IF(AND(F$284&gt;='Assumptions and Sensis'!$H$43,F$284&lt;'Assumptions and Sensis'!$H$45),'S&amp;U'!$J9/ROUNDUP('Assumptions and Sensis'!$H$44/12,0),IF(AND(F$284&gt;='Assumptions and Sensis'!$H$45,F$284&lt;'Assumptions and Sensis'!$H$47),'S&amp;U'!$J41/ROUNDUP('Assumptions and Sensis'!$H$46/12,0),0))</f>
        <v>0</v>
      </c>
      <c r="G287" s="150">
        <f ca="1">+IF(AND(G$284&gt;='Assumptions and Sensis'!$H$43,G$284&lt;'Assumptions and Sensis'!$H$45),'S&amp;U'!$J9/ROUNDUP('Assumptions and Sensis'!$H$44/12,0),IF(AND(G$284&gt;='Assumptions and Sensis'!$H$45,G$284&lt;'Assumptions and Sensis'!$H$47),'S&amp;U'!$J41/ROUNDUP('Assumptions and Sensis'!$H$46/12,0),0))</f>
        <v>145525791.77007061</v>
      </c>
      <c r="H287" s="150">
        <f ca="1">+IF(AND(H$284&gt;='Assumptions and Sensis'!$H$43,H$284&lt;'Assumptions and Sensis'!$H$45),'S&amp;U'!$J9/ROUNDUP('Assumptions and Sensis'!$H$44/12,0),IF(AND(H$284&gt;='Assumptions and Sensis'!$H$45,H$284&lt;'Assumptions and Sensis'!$H$47),'S&amp;U'!$J41/ROUNDUP('Assumptions and Sensis'!$H$46/12,0),0))</f>
        <v>145525791.77007061</v>
      </c>
      <c r="I287" s="150">
        <f>+IF(AND(I$284&gt;='Assumptions and Sensis'!$H$43,I$284&lt;'Assumptions and Sensis'!$H$45),'S&amp;U'!$J9/ROUNDUP('Assumptions and Sensis'!$H$44/12,0),IF(AND(I$284&gt;='Assumptions and Sensis'!$H$45,I$284&lt;'Assumptions and Sensis'!$H$47),'S&amp;U'!$J41/ROUNDUP('Assumptions and Sensis'!$H$46/12,0),0))</f>
        <v>0</v>
      </c>
      <c r="J287" s="150">
        <f>+IF(AND(J$284&gt;='Assumptions and Sensis'!$H$43,J$284&lt;'Assumptions and Sensis'!$H$45),'S&amp;U'!$J9/ROUNDUP('Assumptions and Sensis'!$H$44/12,0),IF(AND(J$284&gt;='Assumptions and Sensis'!$H$45,J$284&lt;'Assumptions and Sensis'!$H$47),'S&amp;U'!$J41/ROUNDUP('Assumptions and Sensis'!$H$46/12,0),0))</f>
        <v>0</v>
      </c>
      <c r="K287" s="150">
        <f>+IF(AND(K$284&gt;='Assumptions and Sensis'!$H$43,K$284&lt;'Assumptions and Sensis'!$H$45),'S&amp;U'!$J9/ROUNDUP('Assumptions and Sensis'!$H$44/12,0),IF(AND(K$284&gt;='Assumptions and Sensis'!$H$45,K$284&lt;'Assumptions and Sensis'!$H$47),'S&amp;U'!$J41/ROUNDUP('Assumptions and Sensis'!$H$46/12,0),0))</f>
        <v>0</v>
      </c>
      <c r="L287" s="150">
        <f>+IF(AND(L$284&gt;='Assumptions and Sensis'!$H$43,L$284&lt;'Assumptions and Sensis'!$H$45),'S&amp;U'!$J9/ROUNDUP('Assumptions and Sensis'!$H$44/12,0),IF(AND(L$284&gt;='Assumptions and Sensis'!$H$45,L$284&lt;'Assumptions and Sensis'!$H$47),'S&amp;U'!$J41/ROUNDUP('Assumptions and Sensis'!$H$46/12,0),0))</f>
        <v>0</v>
      </c>
      <c r="M287" s="150">
        <f>+IF(AND(M$284&gt;='Assumptions and Sensis'!$H$43,M$284&lt;'Assumptions and Sensis'!$H$45),'S&amp;U'!$J9/ROUNDUP('Assumptions and Sensis'!$H$44/12,0),IF(AND(M$284&gt;='Assumptions and Sensis'!$H$45,M$284&lt;'Assumptions and Sensis'!$H$47),'S&amp;U'!$J41/ROUNDUP('Assumptions and Sensis'!$H$46/12,0),0))</f>
        <v>0</v>
      </c>
      <c r="N287" s="150">
        <f>+IF(AND(N$284&gt;='Assumptions and Sensis'!$H$43,N$284&lt;'Assumptions and Sensis'!$H$45),'S&amp;U'!$J9/ROUNDUP('Assumptions and Sensis'!$H$44/12,0),IF(AND(N$284&gt;='Assumptions and Sensis'!$H$45,N$284&lt;'Assumptions and Sensis'!$H$47),'S&amp;U'!$J41/ROUNDUP('Assumptions and Sensis'!$H$46/12,0),0))</f>
        <v>0</v>
      </c>
      <c r="O287" s="150">
        <f>+IF(AND(O$284&gt;='Assumptions and Sensis'!$H$43,O$284&lt;'Assumptions and Sensis'!$H$45),'S&amp;U'!$J9/ROUNDUP('Assumptions and Sensis'!$H$44/12,0),IF(AND(O$284&gt;='Assumptions and Sensis'!$H$45,O$284&lt;'Assumptions and Sensis'!$H$47),'S&amp;U'!$J41/ROUNDUP('Assumptions and Sensis'!$H$46/12,0),0))</f>
        <v>0</v>
      </c>
      <c r="P287" s="150">
        <f>+IF(AND(P$284&gt;='Assumptions and Sensis'!$H$43,P$284&lt;'Assumptions and Sensis'!$H$45),'S&amp;U'!$J9/ROUNDUP('Assumptions and Sensis'!$H$44/12,0),IF(AND(P$284&gt;='Assumptions and Sensis'!$H$45,P$284&lt;'Assumptions and Sensis'!$H$47),'S&amp;U'!$J41/ROUNDUP('Assumptions and Sensis'!$H$46/12,0),0))</f>
        <v>0</v>
      </c>
      <c r="Q287" s="150">
        <f>+IF(AND(Q$284&gt;='Assumptions and Sensis'!$H$43,Q$284&lt;'Assumptions and Sensis'!$H$45),'S&amp;U'!$J9/ROUNDUP('Assumptions and Sensis'!$H$44/12,0),IF(AND(Q$284&gt;='Assumptions and Sensis'!$H$45,Q$284&lt;'Assumptions and Sensis'!$H$47),'S&amp;U'!$J41/ROUNDUP('Assumptions and Sensis'!$H$46/12,0),0))</f>
        <v>0</v>
      </c>
      <c r="R287" s="150">
        <f>+IF(AND(R$284&gt;='Assumptions and Sensis'!$H$43,R$284&lt;'Assumptions and Sensis'!$H$45),'S&amp;U'!$J9/ROUNDUP('Assumptions and Sensis'!$H$44/12,0),IF(AND(R$284&gt;='Assumptions and Sensis'!$H$45,R$284&lt;'Assumptions and Sensis'!$H$47),'S&amp;U'!$J41/ROUNDUP('Assumptions and Sensis'!$H$46/12,0),0))</f>
        <v>0</v>
      </c>
      <c r="S287" s="150">
        <f>+IF(AND(S$284&gt;='Assumptions and Sensis'!$H$43,S$284&lt;'Assumptions and Sensis'!$H$45),'S&amp;U'!$J9/ROUNDUP('Assumptions and Sensis'!$H$44/12,0),IF(AND(S$284&gt;='Assumptions and Sensis'!$H$45,S$284&lt;'Assumptions and Sensis'!$H$47),'S&amp;U'!$J41/ROUNDUP('Assumptions and Sensis'!$H$46/12,0),0))</f>
        <v>0</v>
      </c>
      <c r="T287" s="150">
        <f>+IF(AND(T$284&gt;='Assumptions and Sensis'!$H$43,T$284&lt;'Assumptions and Sensis'!$H$45),'S&amp;U'!$J9/ROUNDUP('Assumptions and Sensis'!$H$44/12,0),IF(AND(T$284&gt;='Assumptions and Sensis'!$H$45,T$284&lt;'Assumptions and Sensis'!$H$47),'S&amp;U'!$J41/ROUNDUP('Assumptions and Sensis'!$H$46/12,0),0))</f>
        <v>0</v>
      </c>
      <c r="U287" s="150">
        <f>+IF(AND(U$284&gt;='Assumptions and Sensis'!$H$43,U$284&lt;'Assumptions and Sensis'!$H$45),'S&amp;U'!$J9/ROUNDUP('Assumptions and Sensis'!$H$44/12,0),IF(AND(U$284&gt;='Assumptions and Sensis'!$H$45,U$284&lt;'Assumptions and Sensis'!$H$47),'S&amp;U'!$J41/ROUNDUP('Assumptions and Sensis'!$H$46/12,0),0))</f>
        <v>0</v>
      </c>
      <c r="V287" s="150">
        <f>+IF(AND(V$284&gt;='Assumptions and Sensis'!$H$43,V$284&lt;'Assumptions and Sensis'!$H$45),'S&amp;U'!$J9/ROUNDUP('Assumptions and Sensis'!$H$44/12,0),IF(AND(V$284&gt;='Assumptions and Sensis'!$H$45,V$284&lt;'Assumptions and Sensis'!$H$47),'S&amp;U'!$J41/ROUNDUP('Assumptions and Sensis'!$H$46/12,0),0))</f>
        <v>0</v>
      </c>
      <c r="W287" s="150">
        <f>+IF(AND(W$284&gt;='Assumptions and Sensis'!$H$43,W$284&lt;'Assumptions and Sensis'!$H$45),'S&amp;U'!$J9/ROUNDUP('Assumptions and Sensis'!$H$44/12,0),IF(AND(W$284&gt;='Assumptions and Sensis'!$H$45,W$284&lt;'Assumptions and Sensis'!$H$47),'S&amp;U'!$J41/ROUNDUP('Assumptions and Sensis'!$H$46/12,0),0))</f>
        <v>0</v>
      </c>
      <c r="X287" s="150">
        <f>+IF(AND(X$284&gt;='Assumptions and Sensis'!$H$43,X$284&lt;'Assumptions and Sensis'!$H$45),'S&amp;U'!$J9/ROUNDUP('Assumptions and Sensis'!$H$44/12,0),IF(AND(X$284&gt;='Assumptions and Sensis'!$H$45,X$284&lt;'Assumptions and Sensis'!$H$47),'S&amp;U'!$J41/ROUNDUP('Assumptions and Sensis'!$H$46/12,0),0))</f>
        <v>0</v>
      </c>
      <c r="Y287" s="150">
        <f>+IF(AND(Y$284&gt;='Assumptions and Sensis'!$H$43,Y$284&lt;'Assumptions and Sensis'!$H$45),'S&amp;U'!$J9/ROUNDUP('Assumptions and Sensis'!$H$44/12,0),IF(AND(Y$284&gt;='Assumptions and Sensis'!$H$45,Y$284&lt;'Assumptions and Sensis'!$H$47),'S&amp;U'!$J41/ROUNDUP('Assumptions and Sensis'!$H$46/12,0),0))</f>
        <v>0</v>
      </c>
      <c r="Z287" s="150">
        <f>+IF(AND(Z$284&gt;='Assumptions and Sensis'!$H$43,Z$284&lt;'Assumptions and Sensis'!$H$45),'S&amp;U'!$J9/ROUNDUP('Assumptions and Sensis'!$H$44/12,0),IF(AND(Z$284&gt;='Assumptions and Sensis'!$H$45,Z$284&lt;'Assumptions and Sensis'!$H$47),'S&amp;U'!$J41/ROUNDUP('Assumptions and Sensis'!$H$46/12,0),0))</f>
        <v>0</v>
      </c>
    </row>
    <row r="288" spans="2:26" x14ac:dyDescent="0.2">
      <c r="B288" s="32" t="s">
        <v>58</v>
      </c>
      <c r="D288" s="47">
        <f t="shared" ca="1" si="115"/>
        <v>24325045.475048773</v>
      </c>
      <c r="E288" s="47"/>
      <c r="F288" s="150">
        <f ca="1">+IF(AND(F$284&gt;='Assumptions and Sensis'!$H$43,F$284&lt;'Assumptions and Sensis'!$H$45),'S&amp;U'!$J10/ROUNDUP('Assumptions and Sensis'!$H$44/12,0),IF(AND(F$284&gt;='Assumptions and Sensis'!$H$45,F$284&lt;'Assumptions and Sensis'!$H$47),'S&amp;U'!$J42/ROUNDUP('Assumptions and Sensis'!$H$46/12,0),0))</f>
        <v>13562904.091343613</v>
      </c>
      <c r="G288" s="150">
        <f ca="1">+IF(AND(G$284&gt;='Assumptions and Sensis'!$H$43,G$284&lt;'Assumptions and Sensis'!$H$45),'S&amp;U'!$J10/ROUNDUP('Assumptions and Sensis'!$H$44/12,0),IF(AND(G$284&gt;='Assumptions and Sensis'!$H$45,G$284&lt;'Assumptions and Sensis'!$H$47),'S&amp;U'!$J42/ROUNDUP('Assumptions and Sensis'!$H$46/12,0),0))</f>
        <v>5381070.6918525798</v>
      </c>
      <c r="H288" s="150">
        <f ca="1">+IF(AND(H$284&gt;='Assumptions and Sensis'!$H$43,H$284&lt;'Assumptions and Sensis'!$H$45),'S&amp;U'!$J10/ROUNDUP('Assumptions and Sensis'!$H$44/12,0),IF(AND(H$284&gt;='Assumptions and Sensis'!$H$45,H$284&lt;'Assumptions and Sensis'!$H$47),'S&amp;U'!$J42/ROUNDUP('Assumptions and Sensis'!$H$46/12,0),0))</f>
        <v>5381070.6918525798</v>
      </c>
      <c r="I288" s="150">
        <f>+IF(AND(I$284&gt;='Assumptions and Sensis'!$H$43,I$284&lt;'Assumptions and Sensis'!$H$45),'S&amp;U'!$J10/ROUNDUP('Assumptions and Sensis'!$H$44/12,0),IF(AND(I$284&gt;='Assumptions and Sensis'!$H$45,I$284&lt;'Assumptions and Sensis'!$H$47),'S&amp;U'!$J42/ROUNDUP('Assumptions and Sensis'!$H$46/12,0),0))</f>
        <v>0</v>
      </c>
      <c r="J288" s="150">
        <f>+IF(AND(J$284&gt;='Assumptions and Sensis'!$H$43,J$284&lt;'Assumptions and Sensis'!$H$45),'S&amp;U'!$J10/ROUNDUP('Assumptions and Sensis'!$H$44/12,0),IF(AND(J$284&gt;='Assumptions and Sensis'!$H$45,J$284&lt;'Assumptions and Sensis'!$H$47),'S&amp;U'!$J42/ROUNDUP('Assumptions and Sensis'!$H$46/12,0),0))</f>
        <v>0</v>
      </c>
      <c r="K288" s="150">
        <f>+IF(AND(K$284&gt;='Assumptions and Sensis'!$H$43,K$284&lt;'Assumptions and Sensis'!$H$45),'S&amp;U'!$J10/ROUNDUP('Assumptions and Sensis'!$H$44/12,0),IF(AND(K$284&gt;='Assumptions and Sensis'!$H$45,K$284&lt;'Assumptions and Sensis'!$H$47),'S&amp;U'!$J42/ROUNDUP('Assumptions and Sensis'!$H$46/12,0),0))</f>
        <v>0</v>
      </c>
      <c r="L288" s="150">
        <f>+IF(AND(L$284&gt;='Assumptions and Sensis'!$H$43,L$284&lt;'Assumptions and Sensis'!$H$45),'S&amp;U'!$J10/ROUNDUP('Assumptions and Sensis'!$H$44/12,0),IF(AND(L$284&gt;='Assumptions and Sensis'!$H$45,L$284&lt;'Assumptions and Sensis'!$H$47),'S&amp;U'!$J42/ROUNDUP('Assumptions and Sensis'!$H$46/12,0),0))</f>
        <v>0</v>
      </c>
      <c r="M288" s="150">
        <f>+IF(AND(M$284&gt;='Assumptions and Sensis'!$H$43,M$284&lt;'Assumptions and Sensis'!$H$45),'S&amp;U'!$J10/ROUNDUP('Assumptions and Sensis'!$H$44/12,0),IF(AND(M$284&gt;='Assumptions and Sensis'!$H$45,M$284&lt;'Assumptions and Sensis'!$H$47),'S&amp;U'!$J42/ROUNDUP('Assumptions and Sensis'!$H$46/12,0),0))</f>
        <v>0</v>
      </c>
      <c r="N288" s="150">
        <f>+IF(AND(N$284&gt;='Assumptions and Sensis'!$H$43,N$284&lt;'Assumptions and Sensis'!$H$45),'S&amp;U'!$J10/ROUNDUP('Assumptions and Sensis'!$H$44/12,0),IF(AND(N$284&gt;='Assumptions and Sensis'!$H$45,N$284&lt;'Assumptions and Sensis'!$H$47),'S&amp;U'!$J42/ROUNDUP('Assumptions and Sensis'!$H$46/12,0),0))</f>
        <v>0</v>
      </c>
      <c r="O288" s="150">
        <f>+IF(AND(O$284&gt;='Assumptions and Sensis'!$H$43,O$284&lt;'Assumptions and Sensis'!$H$45),'S&amp;U'!$J10/ROUNDUP('Assumptions and Sensis'!$H$44/12,0),IF(AND(O$284&gt;='Assumptions and Sensis'!$H$45,O$284&lt;'Assumptions and Sensis'!$H$47),'S&amp;U'!$J42/ROUNDUP('Assumptions and Sensis'!$H$46/12,0),0))</f>
        <v>0</v>
      </c>
      <c r="P288" s="150">
        <f>+IF(AND(P$284&gt;='Assumptions and Sensis'!$H$43,P$284&lt;'Assumptions and Sensis'!$H$45),'S&amp;U'!$J10/ROUNDUP('Assumptions and Sensis'!$H$44/12,0),IF(AND(P$284&gt;='Assumptions and Sensis'!$H$45,P$284&lt;'Assumptions and Sensis'!$H$47),'S&amp;U'!$J42/ROUNDUP('Assumptions and Sensis'!$H$46/12,0),0))</f>
        <v>0</v>
      </c>
      <c r="Q288" s="150">
        <f>+IF(AND(Q$284&gt;='Assumptions and Sensis'!$H$43,Q$284&lt;'Assumptions and Sensis'!$H$45),'S&amp;U'!$J10/ROUNDUP('Assumptions and Sensis'!$H$44/12,0),IF(AND(Q$284&gt;='Assumptions and Sensis'!$H$45,Q$284&lt;'Assumptions and Sensis'!$H$47),'S&amp;U'!$J42/ROUNDUP('Assumptions and Sensis'!$H$46/12,0),0))</f>
        <v>0</v>
      </c>
      <c r="R288" s="150">
        <f>+IF(AND(R$284&gt;='Assumptions and Sensis'!$H$43,R$284&lt;'Assumptions and Sensis'!$H$45),'S&amp;U'!$J10/ROUNDUP('Assumptions and Sensis'!$H$44/12,0),IF(AND(R$284&gt;='Assumptions and Sensis'!$H$45,R$284&lt;'Assumptions and Sensis'!$H$47),'S&amp;U'!$J42/ROUNDUP('Assumptions and Sensis'!$H$46/12,0),0))</f>
        <v>0</v>
      </c>
      <c r="S288" s="150">
        <f>+IF(AND(S$284&gt;='Assumptions and Sensis'!$H$43,S$284&lt;'Assumptions and Sensis'!$H$45),'S&amp;U'!$J10/ROUNDUP('Assumptions and Sensis'!$H$44/12,0),IF(AND(S$284&gt;='Assumptions and Sensis'!$H$45,S$284&lt;'Assumptions and Sensis'!$H$47),'S&amp;U'!$J42/ROUNDUP('Assumptions and Sensis'!$H$46/12,0),0))</f>
        <v>0</v>
      </c>
      <c r="T288" s="150">
        <f>+IF(AND(T$284&gt;='Assumptions and Sensis'!$H$43,T$284&lt;'Assumptions and Sensis'!$H$45),'S&amp;U'!$J10/ROUNDUP('Assumptions and Sensis'!$H$44/12,0),IF(AND(T$284&gt;='Assumptions and Sensis'!$H$45,T$284&lt;'Assumptions and Sensis'!$H$47),'S&amp;U'!$J42/ROUNDUP('Assumptions and Sensis'!$H$46/12,0),0))</f>
        <v>0</v>
      </c>
      <c r="U288" s="150">
        <f>+IF(AND(U$284&gt;='Assumptions and Sensis'!$H$43,U$284&lt;'Assumptions and Sensis'!$H$45),'S&amp;U'!$J10/ROUNDUP('Assumptions and Sensis'!$H$44/12,0),IF(AND(U$284&gt;='Assumptions and Sensis'!$H$45,U$284&lt;'Assumptions and Sensis'!$H$47),'S&amp;U'!$J42/ROUNDUP('Assumptions and Sensis'!$H$46/12,0),0))</f>
        <v>0</v>
      </c>
      <c r="V288" s="150">
        <f>+IF(AND(V$284&gt;='Assumptions and Sensis'!$H$43,V$284&lt;'Assumptions and Sensis'!$H$45),'S&amp;U'!$J10/ROUNDUP('Assumptions and Sensis'!$H$44/12,0),IF(AND(V$284&gt;='Assumptions and Sensis'!$H$45,V$284&lt;'Assumptions and Sensis'!$H$47),'S&amp;U'!$J42/ROUNDUP('Assumptions and Sensis'!$H$46/12,0),0))</f>
        <v>0</v>
      </c>
      <c r="W288" s="150">
        <f>+IF(AND(W$284&gt;='Assumptions and Sensis'!$H$43,W$284&lt;'Assumptions and Sensis'!$H$45),'S&amp;U'!$J10/ROUNDUP('Assumptions and Sensis'!$H$44/12,0),IF(AND(W$284&gt;='Assumptions and Sensis'!$H$45,W$284&lt;'Assumptions and Sensis'!$H$47),'S&amp;U'!$J42/ROUNDUP('Assumptions and Sensis'!$H$46/12,0),0))</f>
        <v>0</v>
      </c>
      <c r="X288" s="150">
        <f>+IF(AND(X$284&gt;='Assumptions and Sensis'!$H$43,X$284&lt;'Assumptions and Sensis'!$H$45),'S&amp;U'!$J10/ROUNDUP('Assumptions and Sensis'!$H$44/12,0),IF(AND(X$284&gt;='Assumptions and Sensis'!$H$45,X$284&lt;'Assumptions and Sensis'!$H$47),'S&amp;U'!$J42/ROUNDUP('Assumptions and Sensis'!$H$46/12,0),0))</f>
        <v>0</v>
      </c>
      <c r="Y288" s="150">
        <f>+IF(AND(Y$284&gt;='Assumptions and Sensis'!$H$43,Y$284&lt;'Assumptions and Sensis'!$H$45),'S&amp;U'!$J10/ROUNDUP('Assumptions and Sensis'!$H$44/12,0),IF(AND(Y$284&gt;='Assumptions and Sensis'!$H$45,Y$284&lt;'Assumptions and Sensis'!$H$47),'S&amp;U'!$J42/ROUNDUP('Assumptions and Sensis'!$H$46/12,0),0))</f>
        <v>0</v>
      </c>
      <c r="Z288" s="150">
        <f>+IF(AND(Z$284&gt;='Assumptions and Sensis'!$H$43,Z$284&lt;'Assumptions and Sensis'!$H$45),'S&amp;U'!$J10/ROUNDUP('Assumptions and Sensis'!$H$44/12,0),IF(AND(Z$284&gt;='Assumptions and Sensis'!$H$45,Z$284&lt;'Assumptions and Sensis'!$H$47),'S&amp;U'!$J42/ROUNDUP('Assumptions and Sensis'!$H$46/12,0),0))</f>
        <v>0</v>
      </c>
    </row>
    <row r="289" spans="2:26" x14ac:dyDescent="0.2">
      <c r="B289" s="32" t="s">
        <v>80</v>
      </c>
      <c r="D289" s="47">
        <f t="shared" ca="1" si="115"/>
        <v>27812233.228967939</v>
      </c>
      <c r="E289" s="47"/>
      <c r="F289" s="150">
        <f>+IF(AND(F$284&gt;='Assumptions and Sensis'!$H$43,F$284&lt;'Assumptions and Sensis'!$H$45),'S&amp;U'!$J11/ROUNDUP('Assumptions and Sensis'!$H$44/12,0),IF(AND(F$284&gt;='Assumptions and Sensis'!$H$45,F$284&lt;'Assumptions and Sensis'!$H$47),'S&amp;U'!$J43/ROUNDUP('Assumptions and Sensis'!$H$46/12,0),0))</f>
        <v>0</v>
      </c>
      <c r="G289" s="150">
        <f ca="1">+IF(AND(G$284&gt;='Assumptions and Sensis'!$H$43,G$284&lt;'Assumptions and Sensis'!$H$45),'S&amp;U'!$J11/ROUNDUP('Assumptions and Sensis'!$H$44/12,0),IF(AND(G$284&gt;='Assumptions and Sensis'!$H$45,G$284&lt;'Assumptions and Sensis'!$H$47),'S&amp;U'!$J43/ROUNDUP('Assumptions and Sensis'!$H$46/12,0),0))</f>
        <v>13906116.614483971</v>
      </c>
      <c r="H289" s="150">
        <f ca="1">+IF(AND(H$284&gt;='Assumptions and Sensis'!$H$43,H$284&lt;'Assumptions and Sensis'!$H$45),'S&amp;U'!$J11/ROUNDUP('Assumptions and Sensis'!$H$44/12,0),IF(AND(H$284&gt;='Assumptions and Sensis'!$H$45,H$284&lt;'Assumptions and Sensis'!$H$47),'S&amp;U'!$J43/ROUNDUP('Assumptions and Sensis'!$H$46/12,0),0))</f>
        <v>13906116.614483971</v>
      </c>
      <c r="I289" s="150">
        <f>+IF(AND(I$284&gt;='Assumptions and Sensis'!$H$43,I$284&lt;'Assumptions and Sensis'!$H$45),'S&amp;U'!$J11/ROUNDUP('Assumptions and Sensis'!$H$44/12,0),IF(AND(I$284&gt;='Assumptions and Sensis'!$H$45,I$284&lt;'Assumptions and Sensis'!$H$47),'S&amp;U'!$J43/ROUNDUP('Assumptions and Sensis'!$H$46/12,0),0))</f>
        <v>0</v>
      </c>
      <c r="J289" s="150">
        <f>+IF(AND(J$284&gt;='Assumptions and Sensis'!$H$43,J$284&lt;'Assumptions and Sensis'!$H$45),'S&amp;U'!$J11/ROUNDUP('Assumptions and Sensis'!$H$44/12,0),IF(AND(J$284&gt;='Assumptions and Sensis'!$H$45,J$284&lt;'Assumptions and Sensis'!$H$47),'S&amp;U'!$J43/ROUNDUP('Assumptions and Sensis'!$H$46/12,0),0))</f>
        <v>0</v>
      </c>
      <c r="K289" s="150">
        <f>+IF(AND(K$284&gt;='Assumptions and Sensis'!$H$43,K$284&lt;'Assumptions and Sensis'!$H$45),'S&amp;U'!$J11/ROUNDUP('Assumptions and Sensis'!$H$44/12,0),IF(AND(K$284&gt;='Assumptions and Sensis'!$H$45,K$284&lt;'Assumptions and Sensis'!$H$47),'S&amp;U'!$J43/ROUNDUP('Assumptions and Sensis'!$H$46/12,0),0))</f>
        <v>0</v>
      </c>
      <c r="L289" s="150">
        <f>+IF(AND(L$284&gt;='Assumptions and Sensis'!$H$43,L$284&lt;'Assumptions and Sensis'!$H$45),'S&amp;U'!$J11/ROUNDUP('Assumptions and Sensis'!$H$44/12,0),IF(AND(L$284&gt;='Assumptions and Sensis'!$H$45,L$284&lt;'Assumptions and Sensis'!$H$47),'S&amp;U'!$J43/ROUNDUP('Assumptions and Sensis'!$H$46/12,0),0))</f>
        <v>0</v>
      </c>
      <c r="M289" s="150">
        <f>+IF(AND(M$284&gt;='Assumptions and Sensis'!$H$43,M$284&lt;'Assumptions and Sensis'!$H$45),'S&amp;U'!$J11/ROUNDUP('Assumptions and Sensis'!$H$44/12,0),IF(AND(M$284&gt;='Assumptions and Sensis'!$H$45,M$284&lt;'Assumptions and Sensis'!$H$47),'S&amp;U'!$J43/ROUNDUP('Assumptions and Sensis'!$H$46/12,0),0))</f>
        <v>0</v>
      </c>
      <c r="N289" s="150">
        <f>+IF(AND(N$284&gt;='Assumptions and Sensis'!$H$43,N$284&lt;'Assumptions and Sensis'!$H$45),'S&amp;U'!$J11/ROUNDUP('Assumptions and Sensis'!$H$44/12,0),IF(AND(N$284&gt;='Assumptions and Sensis'!$H$45,N$284&lt;'Assumptions and Sensis'!$H$47),'S&amp;U'!$J43/ROUNDUP('Assumptions and Sensis'!$H$46/12,0),0))</f>
        <v>0</v>
      </c>
      <c r="O289" s="150">
        <f>+IF(AND(O$284&gt;='Assumptions and Sensis'!$H$43,O$284&lt;'Assumptions and Sensis'!$H$45),'S&amp;U'!$J11/ROUNDUP('Assumptions and Sensis'!$H$44/12,0),IF(AND(O$284&gt;='Assumptions and Sensis'!$H$45,O$284&lt;'Assumptions and Sensis'!$H$47),'S&amp;U'!$J43/ROUNDUP('Assumptions and Sensis'!$H$46/12,0),0))</f>
        <v>0</v>
      </c>
      <c r="P289" s="150">
        <f>+IF(AND(P$284&gt;='Assumptions and Sensis'!$H$43,P$284&lt;'Assumptions and Sensis'!$H$45),'S&amp;U'!$J11/ROUNDUP('Assumptions and Sensis'!$H$44/12,0),IF(AND(P$284&gt;='Assumptions and Sensis'!$H$45,P$284&lt;'Assumptions and Sensis'!$H$47),'S&amp;U'!$J43/ROUNDUP('Assumptions and Sensis'!$H$46/12,0),0))</f>
        <v>0</v>
      </c>
      <c r="Q289" s="150">
        <f>+IF(AND(Q$284&gt;='Assumptions and Sensis'!$H$43,Q$284&lt;'Assumptions and Sensis'!$H$45),'S&amp;U'!$J11/ROUNDUP('Assumptions and Sensis'!$H$44/12,0),IF(AND(Q$284&gt;='Assumptions and Sensis'!$H$45,Q$284&lt;'Assumptions and Sensis'!$H$47),'S&amp;U'!$J43/ROUNDUP('Assumptions and Sensis'!$H$46/12,0),0))</f>
        <v>0</v>
      </c>
      <c r="R289" s="150">
        <f>+IF(AND(R$284&gt;='Assumptions and Sensis'!$H$43,R$284&lt;'Assumptions and Sensis'!$H$45),'S&amp;U'!$J11/ROUNDUP('Assumptions and Sensis'!$H$44/12,0),IF(AND(R$284&gt;='Assumptions and Sensis'!$H$45,R$284&lt;'Assumptions and Sensis'!$H$47),'S&amp;U'!$J43/ROUNDUP('Assumptions and Sensis'!$H$46/12,0),0))</f>
        <v>0</v>
      </c>
      <c r="S289" s="150">
        <f>+IF(AND(S$284&gt;='Assumptions and Sensis'!$H$43,S$284&lt;'Assumptions and Sensis'!$H$45),'S&amp;U'!$J11/ROUNDUP('Assumptions and Sensis'!$H$44/12,0),IF(AND(S$284&gt;='Assumptions and Sensis'!$H$45,S$284&lt;'Assumptions and Sensis'!$H$47),'S&amp;U'!$J43/ROUNDUP('Assumptions and Sensis'!$H$46/12,0),0))</f>
        <v>0</v>
      </c>
      <c r="T289" s="150">
        <f>+IF(AND(T$284&gt;='Assumptions and Sensis'!$H$43,T$284&lt;'Assumptions and Sensis'!$H$45),'S&amp;U'!$J11/ROUNDUP('Assumptions and Sensis'!$H$44/12,0),IF(AND(T$284&gt;='Assumptions and Sensis'!$H$45,T$284&lt;'Assumptions and Sensis'!$H$47),'S&amp;U'!$J43/ROUNDUP('Assumptions and Sensis'!$H$46/12,0),0))</f>
        <v>0</v>
      </c>
      <c r="U289" s="150">
        <f>+IF(AND(U$284&gt;='Assumptions and Sensis'!$H$43,U$284&lt;'Assumptions and Sensis'!$H$45),'S&amp;U'!$J11/ROUNDUP('Assumptions and Sensis'!$H$44/12,0),IF(AND(U$284&gt;='Assumptions and Sensis'!$H$45,U$284&lt;'Assumptions and Sensis'!$H$47),'S&amp;U'!$J43/ROUNDUP('Assumptions and Sensis'!$H$46/12,0),0))</f>
        <v>0</v>
      </c>
      <c r="V289" s="150">
        <f>+IF(AND(V$284&gt;='Assumptions and Sensis'!$H$43,V$284&lt;'Assumptions and Sensis'!$H$45),'S&amp;U'!$J11/ROUNDUP('Assumptions and Sensis'!$H$44/12,0),IF(AND(V$284&gt;='Assumptions and Sensis'!$H$45,V$284&lt;'Assumptions and Sensis'!$H$47),'S&amp;U'!$J43/ROUNDUP('Assumptions and Sensis'!$H$46/12,0),0))</f>
        <v>0</v>
      </c>
      <c r="W289" s="150">
        <f>+IF(AND(W$284&gt;='Assumptions and Sensis'!$H$43,W$284&lt;'Assumptions and Sensis'!$H$45),'S&amp;U'!$J11/ROUNDUP('Assumptions and Sensis'!$H$44/12,0),IF(AND(W$284&gt;='Assumptions and Sensis'!$H$45,W$284&lt;'Assumptions and Sensis'!$H$47),'S&amp;U'!$J43/ROUNDUP('Assumptions and Sensis'!$H$46/12,0),0))</f>
        <v>0</v>
      </c>
      <c r="X289" s="150">
        <f>+IF(AND(X$284&gt;='Assumptions and Sensis'!$H$43,X$284&lt;'Assumptions and Sensis'!$H$45),'S&amp;U'!$J11/ROUNDUP('Assumptions and Sensis'!$H$44/12,0),IF(AND(X$284&gt;='Assumptions and Sensis'!$H$45,X$284&lt;'Assumptions and Sensis'!$H$47),'S&amp;U'!$J43/ROUNDUP('Assumptions and Sensis'!$H$46/12,0),0))</f>
        <v>0</v>
      </c>
      <c r="Y289" s="150">
        <f>+IF(AND(Y$284&gt;='Assumptions and Sensis'!$H$43,Y$284&lt;'Assumptions and Sensis'!$H$45),'S&amp;U'!$J11/ROUNDUP('Assumptions and Sensis'!$H$44/12,0),IF(AND(Y$284&gt;='Assumptions and Sensis'!$H$45,Y$284&lt;'Assumptions and Sensis'!$H$47),'S&amp;U'!$J43/ROUNDUP('Assumptions and Sensis'!$H$46/12,0),0))</f>
        <v>0</v>
      </c>
      <c r="Z289" s="150">
        <f>+IF(AND(Z$284&gt;='Assumptions and Sensis'!$H$43,Z$284&lt;'Assumptions and Sensis'!$H$45),'S&amp;U'!$J11/ROUNDUP('Assumptions and Sensis'!$H$44/12,0),IF(AND(Z$284&gt;='Assumptions and Sensis'!$H$45,Z$284&lt;'Assumptions and Sensis'!$H$47),'S&amp;U'!$J43/ROUNDUP('Assumptions and Sensis'!$H$46/12,0),0))</f>
        <v>0</v>
      </c>
    </row>
    <row r="290" spans="2:26" x14ac:dyDescent="0.2">
      <c r="B290" s="32" t="s">
        <v>83</v>
      </c>
      <c r="D290" s="47">
        <f t="shared" ca="1" si="115"/>
        <v>791069.26670236117</v>
      </c>
      <c r="E290" s="47"/>
      <c r="F290" s="150">
        <f>+IF(AND(F$284&gt;='Assumptions and Sensis'!$H$43,F$284&lt;'Assumptions and Sensis'!$H$45),'S&amp;U'!$J12/ROUNDUP('Assumptions and Sensis'!$H$44/12,0),IF(AND(F$284&gt;='Assumptions and Sensis'!$H$45,F$284&lt;'Assumptions and Sensis'!$H$47),'S&amp;U'!$J44/ROUNDUP('Assumptions and Sensis'!$H$46/12,0),0))</f>
        <v>0</v>
      </c>
      <c r="G290" s="150">
        <f ca="1">+IF(AND(G$284&gt;='Assumptions and Sensis'!$H$43,G$284&lt;'Assumptions and Sensis'!$H$45),'S&amp;U'!$J12/ROUNDUP('Assumptions and Sensis'!$H$44/12,0),IF(AND(G$284&gt;='Assumptions and Sensis'!$H$45,G$284&lt;'Assumptions and Sensis'!$H$47),'S&amp;U'!$J44/ROUNDUP('Assumptions and Sensis'!$H$46/12,0),0))</f>
        <v>395534.63335118059</v>
      </c>
      <c r="H290" s="150">
        <f ca="1">+IF(AND(H$284&gt;='Assumptions and Sensis'!$H$43,H$284&lt;'Assumptions and Sensis'!$H$45),'S&amp;U'!$J12/ROUNDUP('Assumptions and Sensis'!$H$44/12,0),IF(AND(H$284&gt;='Assumptions and Sensis'!$H$45,H$284&lt;'Assumptions and Sensis'!$H$47),'S&amp;U'!$J44/ROUNDUP('Assumptions and Sensis'!$H$46/12,0),0))</f>
        <v>395534.63335118059</v>
      </c>
      <c r="I290" s="150">
        <f>+IF(AND(I$284&gt;='Assumptions and Sensis'!$H$43,I$284&lt;'Assumptions and Sensis'!$H$45),'S&amp;U'!$J12/ROUNDUP('Assumptions and Sensis'!$H$44/12,0),IF(AND(I$284&gt;='Assumptions and Sensis'!$H$45,I$284&lt;'Assumptions and Sensis'!$H$47),'S&amp;U'!$J44/ROUNDUP('Assumptions and Sensis'!$H$46/12,0),0))</f>
        <v>0</v>
      </c>
      <c r="J290" s="150">
        <f>+IF(AND(J$284&gt;='Assumptions and Sensis'!$H$43,J$284&lt;'Assumptions and Sensis'!$H$45),'S&amp;U'!$J12/ROUNDUP('Assumptions and Sensis'!$H$44/12,0),IF(AND(J$284&gt;='Assumptions and Sensis'!$H$45,J$284&lt;'Assumptions and Sensis'!$H$47),'S&amp;U'!$J44/ROUNDUP('Assumptions and Sensis'!$H$46/12,0),0))</f>
        <v>0</v>
      </c>
      <c r="K290" s="150">
        <f>+IF(AND(K$284&gt;='Assumptions and Sensis'!$H$43,K$284&lt;'Assumptions and Sensis'!$H$45),'S&amp;U'!$J12/ROUNDUP('Assumptions and Sensis'!$H$44/12,0),IF(AND(K$284&gt;='Assumptions and Sensis'!$H$45,K$284&lt;'Assumptions and Sensis'!$H$47),'S&amp;U'!$J44/ROUNDUP('Assumptions and Sensis'!$H$46/12,0),0))</f>
        <v>0</v>
      </c>
      <c r="L290" s="150">
        <f>+IF(AND(L$284&gt;='Assumptions and Sensis'!$H$43,L$284&lt;'Assumptions and Sensis'!$H$45),'S&amp;U'!$J12/ROUNDUP('Assumptions and Sensis'!$H$44/12,0),IF(AND(L$284&gt;='Assumptions and Sensis'!$H$45,L$284&lt;'Assumptions and Sensis'!$H$47),'S&amp;U'!$J44/ROUNDUP('Assumptions and Sensis'!$H$46/12,0),0))</f>
        <v>0</v>
      </c>
      <c r="M290" s="150">
        <f>+IF(AND(M$284&gt;='Assumptions and Sensis'!$H$43,M$284&lt;'Assumptions and Sensis'!$H$45),'S&amp;U'!$J12/ROUNDUP('Assumptions and Sensis'!$H$44/12,0),IF(AND(M$284&gt;='Assumptions and Sensis'!$H$45,M$284&lt;'Assumptions and Sensis'!$H$47),'S&amp;U'!$J44/ROUNDUP('Assumptions and Sensis'!$H$46/12,0),0))</f>
        <v>0</v>
      </c>
      <c r="N290" s="150">
        <f>+IF(AND(N$284&gt;='Assumptions and Sensis'!$H$43,N$284&lt;'Assumptions and Sensis'!$H$45),'S&amp;U'!$J12/ROUNDUP('Assumptions and Sensis'!$H$44/12,0),IF(AND(N$284&gt;='Assumptions and Sensis'!$H$45,N$284&lt;'Assumptions and Sensis'!$H$47),'S&amp;U'!$J44/ROUNDUP('Assumptions and Sensis'!$H$46/12,0),0))</f>
        <v>0</v>
      </c>
      <c r="O290" s="150">
        <f>+IF(AND(O$284&gt;='Assumptions and Sensis'!$H$43,O$284&lt;'Assumptions and Sensis'!$H$45),'S&amp;U'!$J12/ROUNDUP('Assumptions and Sensis'!$H$44/12,0),IF(AND(O$284&gt;='Assumptions and Sensis'!$H$45,O$284&lt;'Assumptions and Sensis'!$H$47),'S&amp;U'!$J44/ROUNDUP('Assumptions and Sensis'!$H$46/12,0),0))</f>
        <v>0</v>
      </c>
      <c r="P290" s="150">
        <f>+IF(AND(P$284&gt;='Assumptions and Sensis'!$H$43,P$284&lt;'Assumptions and Sensis'!$H$45),'S&amp;U'!$J12/ROUNDUP('Assumptions and Sensis'!$H$44/12,0),IF(AND(P$284&gt;='Assumptions and Sensis'!$H$45,P$284&lt;'Assumptions and Sensis'!$H$47),'S&amp;U'!$J44/ROUNDUP('Assumptions and Sensis'!$H$46/12,0),0))</f>
        <v>0</v>
      </c>
      <c r="Q290" s="150">
        <f>+IF(AND(Q$284&gt;='Assumptions and Sensis'!$H$43,Q$284&lt;'Assumptions and Sensis'!$H$45),'S&amp;U'!$J12/ROUNDUP('Assumptions and Sensis'!$H$44/12,0),IF(AND(Q$284&gt;='Assumptions and Sensis'!$H$45,Q$284&lt;'Assumptions and Sensis'!$H$47),'S&amp;U'!$J44/ROUNDUP('Assumptions and Sensis'!$H$46/12,0),0))</f>
        <v>0</v>
      </c>
      <c r="R290" s="150">
        <f>+IF(AND(R$284&gt;='Assumptions and Sensis'!$H$43,R$284&lt;'Assumptions and Sensis'!$H$45),'S&amp;U'!$J12/ROUNDUP('Assumptions and Sensis'!$H$44/12,0),IF(AND(R$284&gt;='Assumptions and Sensis'!$H$45,R$284&lt;'Assumptions and Sensis'!$H$47),'S&amp;U'!$J44/ROUNDUP('Assumptions and Sensis'!$H$46/12,0),0))</f>
        <v>0</v>
      </c>
      <c r="S290" s="150">
        <f>+IF(AND(S$284&gt;='Assumptions and Sensis'!$H$43,S$284&lt;'Assumptions and Sensis'!$H$45),'S&amp;U'!$J12/ROUNDUP('Assumptions and Sensis'!$H$44/12,0),IF(AND(S$284&gt;='Assumptions and Sensis'!$H$45,S$284&lt;'Assumptions and Sensis'!$H$47),'S&amp;U'!$J44/ROUNDUP('Assumptions and Sensis'!$H$46/12,0),0))</f>
        <v>0</v>
      </c>
      <c r="T290" s="150">
        <f>+IF(AND(T$284&gt;='Assumptions and Sensis'!$H$43,T$284&lt;'Assumptions and Sensis'!$H$45),'S&amp;U'!$J12/ROUNDUP('Assumptions and Sensis'!$H$44/12,0),IF(AND(T$284&gt;='Assumptions and Sensis'!$H$45,T$284&lt;'Assumptions and Sensis'!$H$47),'S&amp;U'!$J44/ROUNDUP('Assumptions and Sensis'!$H$46/12,0),0))</f>
        <v>0</v>
      </c>
      <c r="U290" s="150">
        <f>+IF(AND(U$284&gt;='Assumptions and Sensis'!$H$43,U$284&lt;'Assumptions and Sensis'!$H$45),'S&amp;U'!$J12/ROUNDUP('Assumptions and Sensis'!$H$44/12,0),IF(AND(U$284&gt;='Assumptions and Sensis'!$H$45,U$284&lt;'Assumptions and Sensis'!$H$47),'S&amp;U'!$J44/ROUNDUP('Assumptions and Sensis'!$H$46/12,0),0))</f>
        <v>0</v>
      </c>
      <c r="V290" s="150">
        <f>+IF(AND(V$284&gt;='Assumptions and Sensis'!$H$43,V$284&lt;'Assumptions and Sensis'!$H$45),'S&amp;U'!$J12/ROUNDUP('Assumptions and Sensis'!$H$44/12,0),IF(AND(V$284&gt;='Assumptions and Sensis'!$H$45,V$284&lt;'Assumptions and Sensis'!$H$47),'S&amp;U'!$J44/ROUNDUP('Assumptions and Sensis'!$H$46/12,0),0))</f>
        <v>0</v>
      </c>
      <c r="W290" s="150">
        <f>+IF(AND(W$284&gt;='Assumptions and Sensis'!$H$43,W$284&lt;'Assumptions and Sensis'!$H$45),'S&amp;U'!$J12/ROUNDUP('Assumptions and Sensis'!$H$44/12,0),IF(AND(W$284&gt;='Assumptions and Sensis'!$H$45,W$284&lt;'Assumptions and Sensis'!$H$47),'S&amp;U'!$J44/ROUNDUP('Assumptions and Sensis'!$H$46/12,0),0))</f>
        <v>0</v>
      </c>
      <c r="X290" s="150">
        <f>+IF(AND(X$284&gt;='Assumptions and Sensis'!$H$43,X$284&lt;'Assumptions and Sensis'!$H$45),'S&amp;U'!$J12/ROUNDUP('Assumptions and Sensis'!$H$44/12,0),IF(AND(X$284&gt;='Assumptions and Sensis'!$H$45,X$284&lt;'Assumptions and Sensis'!$H$47),'S&amp;U'!$J44/ROUNDUP('Assumptions and Sensis'!$H$46/12,0),0))</f>
        <v>0</v>
      </c>
      <c r="Y290" s="150">
        <f>+IF(AND(Y$284&gt;='Assumptions and Sensis'!$H$43,Y$284&lt;'Assumptions and Sensis'!$H$45),'S&amp;U'!$J12/ROUNDUP('Assumptions and Sensis'!$H$44/12,0),IF(AND(Y$284&gt;='Assumptions and Sensis'!$H$45,Y$284&lt;'Assumptions and Sensis'!$H$47),'S&amp;U'!$J44/ROUNDUP('Assumptions and Sensis'!$H$46/12,0),0))</f>
        <v>0</v>
      </c>
      <c r="Z290" s="150">
        <f>+IF(AND(Z$284&gt;='Assumptions and Sensis'!$H$43,Z$284&lt;'Assumptions and Sensis'!$H$45),'S&amp;U'!$J12/ROUNDUP('Assumptions and Sensis'!$H$44/12,0),IF(AND(Z$284&gt;='Assumptions and Sensis'!$H$45,Z$284&lt;'Assumptions and Sensis'!$H$47),'S&amp;U'!$J44/ROUNDUP('Assumptions and Sensis'!$H$46/12,0),0))</f>
        <v>0</v>
      </c>
    </row>
    <row r="291" spans="2:26" x14ac:dyDescent="0.2">
      <c r="B291" s="32" t="s">
        <v>60</v>
      </c>
      <c r="D291" s="47">
        <f t="shared" ca="1" si="115"/>
        <v>11311824.592347085</v>
      </c>
      <c r="E291" s="47"/>
      <c r="F291" s="150">
        <f ca="1">+IF(AND(F$284&gt;='Assumptions and Sensis'!$H$43,F$284&lt;'Assumptions and Sensis'!$H$45),'S&amp;U'!$J13/ROUNDUP('Assumptions and Sensis'!$H$44/12,0),IF(AND(F$284&gt;='Assumptions and Sensis'!$H$45,F$284&lt;'Assumptions and Sensis'!$H$49),'S&amp;U'!$J45/ROUNDUP(('Assumptions and Sensis'!$H$46+'Assumptions and Sensis'!$H$48)/12,0),0))</f>
        <v>0</v>
      </c>
      <c r="G291" s="150">
        <f ca="1">+IF(AND(G$284&gt;='Assumptions and Sensis'!$H$43,G$284&lt;'Assumptions and Sensis'!$H$45),'S&amp;U'!$J13/ROUNDUP('Assumptions and Sensis'!$H$44/12,0),IF(AND(G$284&gt;='Assumptions and Sensis'!$H$45,G$284&lt;'Assumptions and Sensis'!$H$49),'S&amp;U'!$J45/ROUNDUP(('Assumptions and Sensis'!$H$46+'Assumptions and Sensis'!$H$48)/12,0),0))</f>
        <v>2827956.1480867714</v>
      </c>
      <c r="H291" s="150">
        <f ca="1">+IF(AND(H$284&gt;='Assumptions and Sensis'!$H$43,H$284&lt;'Assumptions and Sensis'!$H$45),'S&amp;U'!$J13/ROUNDUP('Assumptions and Sensis'!$H$44/12,0),IF(AND(H$284&gt;='Assumptions and Sensis'!$H$45,H$284&lt;'Assumptions and Sensis'!$H$49),'S&amp;U'!$J45/ROUNDUP(('Assumptions and Sensis'!$H$46+'Assumptions and Sensis'!$H$48)/12,0),0))</f>
        <v>2827956.1480867714</v>
      </c>
      <c r="I291" s="150">
        <f ca="1">+IF(AND(I$284&gt;='Assumptions and Sensis'!$H$43,I$284&lt;'Assumptions and Sensis'!$H$45),'S&amp;U'!$J13/ROUNDUP('Assumptions and Sensis'!$H$44/12,0),IF(AND(I$284&gt;='Assumptions and Sensis'!$H$45,I$284&lt;'Assumptions and Sensis'!$H$49),'S&amp;U'!$J45/ROUNDUP(('Assumptions and Sensis'!$H$46+'Assumptions and Sensis'!$H$48)/12,0),0))</f>
        <v>2827956.1480867714</v>
      </c>
      <c r="J291" s="150">
        <f ca="1">+IF(AND(J$284&gt;='Assumptions and Sensis'!$H$43,J$284&lt;'Assumptions and Sensis'!$H$45),'S&amp;U'!$J13/ROUNDUP('Assumptions and Sensis'!$H$44/12,0),IF(AND(J$284&gt;='Assumptions and Sensis'!$H$45,J$284&lt;'Assumptions and Sensis'!$H$49),'S&amp;U'!$J45/ROUNDUP(('Assumptions and Sensis'!$H$46+'Assumptions and Sensis'!$H$48)/12,0),0))</f>
        <v>2827956.1480867714</v>
      </c>
      <c r="K291" s="150">
        <f>+IF(AND(K$284&gt;='Assumptions and Sensis'!$H$43,K$284&lt;'Assumptions and Sensis'!$H$45),'S&amp;U'!$J13/ROUNDUP('Assumptions and Sensis'!$H$44/12,0),IF(AND(K$284&gt;='Assumptions and Sensis'!$H$45,K$284&lt;'Assumptions and Sensis'!$H$49),'S&amp;U'!$J45/ROUNDUP(('Assumptions and Sensis'!$H$46+'Assumptions and Sensis'!$H$48)/12,0),0))</f>
        <v>0</v>
      </c>
      <c r="L291" s="150">
        <f>+IF(AND(L$284&gt;='Assumptions and Sensis'!$H$43,L$284&lt;'Assumptions and Sensis'!$H$45),'S&amp;U'!$J13/ROUNDUP('Assumptions and Sensis'!$H$44/12,0),IF(AND(L$284&gt;='Assumptions and Sensis'!$H$45,L$284&lt;'Assumptions and Sensis'!$H$49),'S&amp;U'!$J45/ROUNDUP(('Assumptions and Sensis'!$H$46+'Assumptions and Sensis'!$H$48)/12,0),0))</f>
        <v>0</v>
      </c>
      <c r="M291" s="150">
        <f>+IF(AND(M$284&gt;='Assumptions and Sensis'!$H$43,M$284&lt;'Assumptions and Sensis'!$H$45),'S&amp;U'!$J13/ROUNDUP('Assumptions and Sensis'!$H$44/12,0),IF(AND(M$284&gt;='Assumptions and Sensis'!$H$45,M$284&lt;'Assumptions and Sensis'!$H$49),'S&amp;U'!$J45/ROUNDUP(('Assumptions and Sensis'!$H$46+'Assumptions and Sensis'!$H$48)/12,0),0))</f>
        <v>0</v>
      </c>
      <c r="N291" s="150">
        <f>+IF(AND(N$284&gt;='Assumptions and Sensis'!$H$43,N$284&lt;'Assumptions and Sensis'!$H$45),'S&amp;U'!$J13/ROUNDUP('Assumptions and Sensis'!$H$44/12,0),IF(AND(N$284&gt;='Assumptions and Sensis'!$H$45,N$284&lt;'Assumptions and Sensis'!$H$49),'S&amp;U'!$J45/ROUNDUP(('Assumptions and Sensis'!$H$46+'Assumptions and Sensis'!$H$48)/12,0),0))</f>
        <v>0</v>
      </c>
      <c r="O291" s="150">
        <f>+IF(AND(O$284&gt;='Assumptions and Sensis'!$H$43,O$284&lt;'Assumptions and Sensis'!$H$45),'S&amp;U'!$J13/ROUNDUP('Assumptions and Sensis'!$H$44/12,0),IF(AND(O$284&gt;='Assumptions and Sensis'!$H$45,O$284&lt;'Assumptions and Sensis'!$H$49),'S&amp;U'!$J45/ROUNDUP(('Assumptions and Sensis'!$H$46+'Assumptions and Sensis'!$H$48)/12,0),0))</f>
        <v>0</v>
      </c>
      <c r="P291" s="150">
        <f>+IF(AND(P$284&gt;='Assumptions and Sensis'!$H$43,P$284&lt;'Assumptions and Sensis'!$H$45),'S&amp;U'!$J13/ROUNDUP('Assumptions and Sensis'!$H$44/12,0),IF(AND(P$284&gt;='Assumptions and Sensis'!$H$45,P$284&lt;'Assumptions and Sensis'!$H$49),'S&amp;U'!$J45/ROUNDUP(('Assumptions and Sensis'!$H$46+'Assumptions and Sensis'!$H$48)/12,0),0))</f>
        <v>0</v>
      </c>
      <c r="Q291" s="150">
        <f>+IF(AND(Q$284&gt;='Assumptions and Sensis'!$H$43,Q$284&lt;'Assumptions and Sensis'!$H$45),'S&amp;U'!$J13/ROUNDUP('Assumptions and Sensis'!$H$44/12,0),IF(AND(Q$284&gt;='Assumptions and Sensis'!$H$45,Q$284&lt;'Assumptions and Sensis'!$H$49),'S&amp;U'!$J45/ROUNDUP(('Assumptions and Sensis'!$H$46+'Assumptions and Sensis'!$H$48)/12,0),0))</f>
        <v>0</v>
      </c>
      <c r="R291" s="150">
        <f>+IF(AND(R$284&gt;='Assumptions and Sensis'!$H$43,R$284&lt;'Assumptions and Sensis'!$H$45),'S&amp;U'!$J13/ROUNDUP('Assumptions and Sensis'!$H$44/12,0),IF(AND(R$284&gt;='Assumptions and Sensis'!$H$45,R$284&lt;'Assumptions and Sensis'!$H$49),'S&amp;U'!$J45/ROUNDUP(('Assumptions and Sensis'!$H$46+'Assumptions and Sensis'!$H$48)/12,0),0))</f>
        <v>0</v>
      </c>
      <c r="S291" s="150">
        <f>+IF(AND(S$284&gt;='Assumptions and Sensis'!$H$43,S$284&lt;'Assumptions and Sensis'!$H$45),'S&amp;U'!$J13/ROUNDUP('Assumptions and Sensis'!$H$44/12,0),IF(AND(S$284&gt;='Assumptions and Sensis'!$H$45,S$284&lt;'Assumptions and Sensis'!$H$49),'S&amp;U'!$J45/ROUNDUP(('Assumptions and Sensis'!$H$46+'Assumptions and Sensis'!$H$48)/12,0),0))</f>
        <v>0</v>
      </c>
      <c r="T291" s="150">
        <f>+IF(AND(T$284&gt;='Assumptions and Sensis'!$H$43,T$284&lt;'Assumptions and Sensis'!$H$45),'S&amp;U'!$J13/ROUNDUP('Assumptions and Sensis'!$H$44/12,0),IF(AND(T$284&gt;='Assumptions and Sensis'!$H$45,T$284&lt;'Assumptions and Sensis'!$H$49),'S&amp;U'!$J45/ROUNDUP(('Assumptions and Sensis'!$H$46+'Assumptions and Sensis'!$H$48)/12,0),0))</f>
        <v>0</v>
      </c>
      <c r="U291" s="150">
        <f>+IF(AND(U$284&gt;='Assumptions and Sensis'!$H$43,U$284&lt;'Assumptions and Sensis'!$H$45),'S&amp;U'!$J13/ROUNDUP('Assumptions and Sensis'!$H$44/12,0),IF(AND(U$284&gt;='Assumptions and Sensis'!$H$45,U$284&lt;'Assumptions and Sensis'!$H$49),'S&amp;U'!$J45/ROUNDUP(('Assumptions and Sensis'!$H$46+'Assumptions and Sensis'!$H$48)/12,0),0))</f>
        <v>0</v>
      </c>
      <c r="V291" s="150">
        <f>+IF(AND(V$284&gt;='Assumptions and Sensis'!$H$43,V$284&lt;'Assumptions and Sensis'!$H$45),'S&amp;U'!$J13/ROUNDUP('Assumptions and Sensis'!$H$44/12,0),IF(AND(V$284&gt;='Assumptions and Sensis'!$H$45,V$284&lt;'Assumptions and Sensis'!$H$49),'S&amp;U'!$J45/ROUNDUP(('Assumptions and Sensis'!$H$46+'Assumptions and Sensis'!$H$48)/12,0),0))</f>
        <v>0</v>
      </c>
      <c r="W291" s="150">
        <f>+IF(AND(W$284&gt;='Assumptions and Sensis'!$H$43,W$284&lt;'Assumptions and Sensis'!$H$45),'S&amp;U'!$J13/ROUNDUP('Assumptions and Sensis'!$H$44/12,0),IF(AND(W$284&gt;='Assumptions and Sensis'!$H$45,W$284&lt;'Assumptions and Sensis'!$H$49),'S&amp;U'!$J45/ROUNDUP(('Assumptions and Sensis'!$H$46+'Assumptions and Sensis'!$H$48)/12,0),0))</f>
        <v>0</v>
      </c>
      <c r="X291" s="150">
        <f>+IF(AND(X$284&gt;='Assumptions and Sensis'!$H$43,X$284&lt;'Assumptions and Sensis'!$H$45),'S&amp;U'!$J13/ROUNDUP('Assumptions and Sensis'!$H$44/12,0),IF(AND(X$284&gt;='Assumptions and Sensis'!$H$45,X$284&lt;'Assumptions and Sensis'!$H$49),'S&amp;U'!$J45/ROUNDUP(('Assumptions and Sensis'!$H$46+'Assumptions and Sensis'!$H$48)/12,0),0))</f>
        <v>0</v>
      </c>
      <c r="Y291" s="150">
        <f>+IF(AND(Y$284&gt;='Assumptions and Sensis'!$H$43,Y$284&lt;'Assumptions and Sensis'!$H$45),'S&amp;U'!$J13/ROUNDUP('Assumptions and Sensis'!$H$44/12,0),IF(AND(Y$284&gt;='Assumptions and Sensis'!$H$45,Y$284&lt;'Assumptions and Sensis'!$H$49),'S&amp;U'!$J45/ROUNDUP(('Assumptions and Sensis'!$H$46+'Assumptions and Sensis'!$H$48)/12,0),0))</f>
        <v>0</v>
      </c>
      <c r="Z291" s="150">
        <f>+IF(AND(Z$284&gt;='Assumptions and Sensis'!$H$43,Z$284&lt;'Assumptions and Sensis'!$H$45),'S&amp;U'!$J13/ROUNDUP('Assumptions and Sensis'!$H$44/12,0),IF(AND(Z$284&gt;='Assumptions and Sensis'!$H$45,Z$284&lt;'Assumptions and Sensis'!$H$49),'S&amp;U'!$J45/ROUNDUP(('Assumptions and Sensis'!$H$46+'Assumptions and Sensis'!$H$48)/12,0),0))</f>
        <v>0</v>
      </c>
    </row>
    <row r="292" spans="2:26" x14ac:dyDescent="0.2">
      <c r="B292" s="137" t="s">
        <v>20</v>
      </c>
      <c r="C292" s="137"/>
      <c r="D292" s="138">
        <f ca="1">+SUM(F292:Z292)</f>
        <v>397494231.33724999</v>
      </c>
      <c r="E292" s="138"/>
      <c r="F292" s="138">
        <f ca="1">+SUM(F285:F291)</f>
        <v>55765379.325386167</v>
      </c>
      <c r="G292" s="138">
        <f t="shared" ref="G292:Z292" ca="1" si="116">+SUM(G285:G291)</f>
        <v>168036469.85784513</v>
      </c>
      <c r="H292" s="138">
        <f t="shared" ca="1" si="116"/>
        <v>168036469.85784513</v>
      </c>
      <c r="I292" s="138">
        <f t="shared" ca="1" si="116"/>
        <v>2827956.1480867714</v>
      </c>
      <c r="J292" s="138">
        <f t="shared" ca="1" si="116"/>
        <v>2827956.1480867714</v>
      </c>
      <c r="K292" s="138">
        <f t="shared" si="116"/>
        <v>0</v>
      </c>
      <c r="L292" s="138">
        <f t="shared" si="116"/>
        <v>0</v>
      </c>
      <c r="M292" s="138">
        <f t="shared" si="116"/>
        <v>0</v>
      </c>
      <c r="N292" s="138">
        <f t="shared" si="116"/>
        <v>0</v>
      </c>
      <c r="O292" s="138">
        <f t="shared" si="116"/>
        <v>0</v>
      </c>
      <c r="P292" s="138">
        <f t="shared" si="116"/>
        <v>0</v>
      </c>
      <c r="Q292" s="138">
        <f t="shared" si="116"/>
        <v>0</v>
      </c>
      <c r="R292" s="138">
        <f t="shared" si="116"/>
        <v>0</v>
      </c>
      <c r="S292" s="138">
        <f t="shared" si="116"/>
        <v>0</v>
      </c>
      <c r="T292" s="138">
        <f t="shared" si="116"/>
        <v>0</v>
      </c>
      <c r="U292" s="138">
        <f t="shared" si="116"/>
        <v>0</v>
      </c>
      <c r="V292" s="138">
        <f t="shared" si="116"/>
        <v>0</v>
      </c>
      <c r="W292" s="138">
        <f t="shared" si="116"/>
        <v>0</v>
      </c>
      <c r="X292" s="138">
        <f t="shared" si="116"/>
        <v>0</v>
      </c>
      <c r="Y292" s="138">
        <f t="shared" si="116"/>
        <v>0</v>
      </c>
      <c r="Z292" s="138">
        <f t="shared" si="116"/>
        <v>0</v>
      </c>
    </row>
    <row r="294" spans="2:26" x14ac:dyDescent="0.2">
      <c r="B294" s="147" t="s">
        <v>347</v>
      </c>
      <c r="F294" s="149">
        <f>+'Assumptions and Sensis'!$H$43</f>
        <v>45657</v>
      </c>
      <c r="G294" s="149">
        <f>+EOMONTH(F294,12)</f>
        <v>46022</v>
      </c>
      <c r="H294" s="149">
        <f t="shared" ref="H294:Z294" si="117">+EOMONTH(G294,12)</f>
        <v>46387</v>
      </c>
      <c r="I294" s="149">
        <f t="shared" si="117"/>
        <v>46752</v>
      </c>
      <c r="J294" s="149">
        <f t="shared" si="117"/>
        <v>47118</v>
      </c>
      <c r="K294" s="149">
        <f t="shared" si="117"/>
        <v>47483</v>
      </c>
      <c r="L294" s="149">
        <f t="shared" si="117"/>
        <v>47848</v>
      </c>
      <c r="M294" s="149">
        <f t="shared" si="117"/>
        <v>48213</v>
      </c>
      <c r="N294" s="149">
        <f t="shared" si="117"/>
        <v>48579</v>
      </c>
      <c r="O294" s="149">
        <f t="shared" si="117"/>
        <v>48944</v>
      </c>
      <c r="P294" s="149">
        <f t="shared" si="117"/>
        <v>49309</v>
      </c>
      <c r="Q294" s="149">
        <f t="shared" si="117"/>
        <v>49674</v>
      </c>
      <c r="R294" s="149">
        <f t="shared" si="117"/>
        <v>50040</v>
      </c>
      <c r="S294" s="149">
        <f t="shared" si="117"/>
        <v>50405</v>
      </c>
      <c r="T294" s="149">
        <f t="shared" si="117"/>
        <v>50770</v>
      </c>
      <c r="U294" s="149">
        <f t="shared" si="117"/>
        <v>51135</v>
      </c>
      <c r="V294" s="149">
        <f t="shared" si="117"/>
        <v>51501</v>
      </c>
      <c r="W294" s="149">
        <f t="shared" si="117"/>
        <v>51866</v>
      </c>
      <c r="X294" s="149">
        <f t="shared" si="117"/>
        <v>52231</v>
      </c>
      <c r="Y294" s="149">
        <f t="shared" si="117"/>
        <v>52596</v>
      </c>
      <c r="Z294" s="149">
        <f t="shared" si="117"/>
        <v>52962</v>
      </c>
    </row>
    <row r="295" spans="2:26" x14ac:dyDescent="0.2">
      <c r="B295" s="32" t="s">
        <v>29</v>
      </c>
      <c r="D295" s="47">
        <f t="shared" ref="D295:D302" ca="1" si="118">+SUM(F295:Z295)</f>
        <v>78560429.144797742</v>
      </c>
      <c r="E295" s="47"/>
      <c r="F295" s="33">
        <f ca="1">+MIN('S&amp;U'!$J23-SUM('Phase III Pro Forma'!$E295:E295),'Phase III Pro Forma'!F$292)</f>
        <v>55765379.325386167</v>
      </c>
      <c r="G295" s="33">
        <f ca="1">+MIN('S&amp;U'!$J23-SUM('Phase III Pro Forma'!$E295:F295),'Phase III Pro Forma'!G$292)</f>
        <v>22795049.819411576</v>
      </c>
      <c r="H295" s="33">
        <f ca="1">+MIN('S&amp;U'!$J23-SUM('Phase III Pro Forma'!$E295:G295),'Phase III Pro Forma'!H$292)</f>
        <v>0</v>
      </c>
      <c r="I295" s="33">
        <f ca="1">+MIN('S&amp;U'!$J23-SUM('Phase III Pro Forma'!$E295:H295),'Phase III Pro Forma'!I$292)</f>
        <v>0</v>
      </c>
      <c r="J295" s="33">
        <f ca="1">+MIN('S&amp;U'!$J23-SUM('Phase III Pro Forma'!$E295:I295),'Phase III Pro Forma'!J$292)</f>
        <v>0</v>
      </c>
      <c r="K295" s="33">
        <f ca="1">+MIN('S&amp;U'!$J23-SUM('Phase III Pro Forma'!$E295:J295),'Phase III Pro Forma'!K$292)</f>
        <v>0</v>
      </c>
      <c r="L295" s="33">
        <f ca="1">+MIN('S&amp;U'!$J23-SUM('Phase III Pro Forma'!$E295:K295),'Phase III Pro Forma'!L$292)</f>
        <v>0</v>
      </c>
      <c r="M295" s="33">
        <f ca="1">+MIN('S&amp;U'!$J23-SUM('Phase III Pro Forma'!$E295:L295),'Phase III Pro Forma'!M$292)</f>
        <v>0</v>
      </c>
      <c r="N295" s="33">
        <f ca="1">+MIN('S&amp;U'!$J23-SUM('Phase III Pro Forma'!$E295:M295),'Phase III Pro Forma'!N$292)</f>
        <v>0</v>
      </c>
      <c r="O295" s="33">
        <f ca="1">+MIN('S&amp;U'!$J23-SUM('Phase III Pro Forma'!$E295:N295),'Phase III Pro Forma'!O$292)</f>
        <v>0</v>
      </c>
      <c r="P295" s="33">
        <f ca="1">+MIN('S&amp;U'!$J23-SUM('Phase III Pro Forma'!$E295:O295),'Phase III Pro Forma'!P$292)</f>
        <v>0</v>
      </c>
      <c r="Q295" s="33">
        <f ca="1">+MIN('S&amp;U'!$J23-SUM('Phase III Pro Forma'!$E295:P295),'Phase III Pro Forma'!Q$292)</f>
        <v>0</v>
      </c>
      <c r="R295" s="33">
        <f ca="1">+MIN('S&amp;U'!$J23-SUM('Phase III Pro Forma'!$E295:Q295),'Phase III Pro Forma'!R$292)</f>
        <v>0</v>
      </c>
      <c r="S295" s="33">
        <f ca="1">+MIN('S&amp;U'!$J23-SUM('Phase III Pro Forma'!$E295:R295),'Phase III Pro Forma'!S$292)</f>
        <v>0</v>
      </c>
      <c r="T295" s="33">
        <f ca="1">+MIN('S&amp;U'!$J23-SUM('Phase III Pro Forma'!$E295:S295),'Phase III Pro Forma'!T$292)</f>
        <v>0</v>
      </c>
      <c r="U295" s="33">
        <f ca="1">+MIN('S&amp;U'!$J23-SUM('Phase III Pro Forma'!$E295:T295),'Phase III Pro Forma'!U$292)</f>
        <v>0</v>
      </c>
      <c r="V295" s="33">
        <f ca="1">+MIN('S&amp;U'!$J23-SUM('Phase III Pro Forma'!$E295:U295),'Phase III Pro Forma'!V$292)</f>
        <v>0</v>
      </c>
      <c r="W295" s="33">
        <f ca="1">+MIN('S&amp;U'!$J23-SUM('Phase III Pro Forma'!$E295:V295),'Phase III Pro Forma'!W$292)</f>
        <v>0</v>
      </c>
      <c r="X295" s="33">
        <f ca="1">+MIN('S&amp;U'!$J23-SUM('Phase III Pro Forma'!$E295:W295),'Phase III Pro Forma'!X$292)</f>
        <v>0</v>
      </c>
      <c r="Y295" s="33">
        <f ca="1">+MIN('S&amp;U'!$J23-SUM('Phase III Pro Forma'!$E295:X295),'Phase III Pro Forma'!Y$292)</f>
        <v>0</v>
      </c>
      <c r="Z295" s="33">
        <f ca="1">+MIN('S&amp;U'!$J23-SUM('Phase III Pro Forma'!$E295:Y295),'Phase III Pro Forma'!Z$292)</f>
        <v>0</v>
      </c>
    </row>
    <row r="296" spans="2:26" x14ac:dyDescent="0.2">
      <c r="B296" s="32" t="s">
        <v>326</v>
      </c>
      <c r="D296" s="47">
        <f t="shared" ca="1" si="118"/>
        <v>0</v>
      </c>
      <c r="E296" s="47"/>
      <c r="F296" s="150">
        <f ca="1">+MIN('S&amp;U'!$J19-SUM('Phase III Pro Forma'!$E296:E296),'Phase III Pro Forma'!F$292-SUM(F$295:F295))</f>
        <v>0</v>
      </c>
      <c r="G296" s="150">
        <f ca="1">+MIN('S&amp;U'!$J19-SUM('Phase III Pro Forma'!$E296:F296),'Phase III Pro Forma'!G$292-SUM(G$295:G295))</f>
        <v>0</v>
      </c>
      <c r="H296" s="150">
        <f ca="1">+MIN('S&amp;U'!$J19-SUM('Phase III Pro Forma'!$E296:G296),'Phase III Pro Forma'!H$292-SUM(H$295:H295))</f>
        <v>0</v>
      </c>
      <c r="I296" s="150">
        <f ca="1">+MIN('S&amp;U'!$J19-SUM('Phase III Pro Forma'!$E296:H296),'Phase III Pro Forma'!I$292-SUM(I$295:I295))</f>
        <v>0</v>
      </c>
      <c r="J296" s="150">
        <f ca="1">+MIN('S&amp;U'!$J19-SUM('Phase III Pro Forma'!$E296:I296),'Phase III Pro Forma'!J$292-SUM(J$295:J295))</f>
        <v>0</v>
      </c>
      <c r="K296" s="150">
        <f ca="1">+MIN('S&amp;U'!$J19-SUM('Phase III Pro Forma'!$E296:J296),'Phase III Pro Forma'!K$292-SUM(K$295:K295))</f>
        <v>0</v>
      </c>
      <c r="L296" s="150">
        <f ca="1">+MIN('S&amp;U'!$J19-SUM('Phase III Pro Forma'!$E296:K296),'Phase III Pro Forma'!L$292-SUM(L$295:L295))</f>
        <v>0</v>
      </c>
      <c r="M296" s="150">
        <f ca="1">+MIN('S&amp;U'!$J19-SUM('Phase III Pro Forma'!$E296:L296),'Phase III Pro Forma'!M$292-SUM(M$295:M295))</f>
        <v>0</v>
      </c>
      <c r="N296" s="150">
        <f ca="1">+MIN('S&amp;U'!$J19-SUM('Phase III Pro Forma'!$E296:M296),'Phase III Pro Forma'!N$292-SUM(N$295:N295))</f>
        <v>0</v>
      </c>
      <c r="O296" s="150">
        <f ca="1">+MIN('S&amp;U'!$J19-SUM('Phase III Pro Forma'!$E296:N296),'Phase III Pro Forma'!O$292-SUM(O$295:O295))</f>
        <v>0</v>
      </c>
      <c r="P296" s="150">
        <f ca="1">+MIN('S&amp;U'!$J19-SUM('Phase III Pro Forma'!$E296:O296),'Phase III Pro Forma'!P$292-SUM(P$295:P295))</f>
        <v>0</v>
      </c>
      <c r="Q296" s="150">
        <f ca="1">+MIN('S&amp;U'!$J19-SUM('Phase III Pro Forma'!$E296:P296),'Phase III Pro Forma'!Q$292-SUM(Q$295:Q295))</f>
        <v>0</v>
      </c>
      <c r="R296" s="150">
        <f ca="1">+MIN('S&amp;U'!$J19-SUM('Phase III Pro Forma'!$E296:Q296),'Phase III Pro Forma'!R$292-SUM(R$295:R295))</f>
        <v>0</v>
      </c>
      <c r="S296" s="150">
        <f ca="1">+MIN('S&amp;U'!$J19-SUM('Phase III Pro Forma'!$E296:R296),'Phase III Pro Forma'!S$292-SUM(S$295:S295))</f>
        <v>0</v>
      </c>
      <c r="T296" s="150">
        <f ca="1">+MIN('S&amp;U'!$J19-SUM('Phase III Pro Forma'!$E296:S296),'Phase III Pro Forma'!T$292-SUM(T$295:T295))</f>
        <v>0</v>
      </c>
      <c r="U296" s="150">
        <f ca="1">+MIN('S&amp;U'!$J19-SUM('Phase III Pro Forma'!$E296:T296),'Phase III Pro Forma'!U$292-SUM(U$295:U295))</f>
        <v>0</v>
      </c>
      <c r="V296" s="150">
        <f ca="1">+MIN('S&amp;U'!$J19-SUM('Phase III Pro Forma'!$E296:U296),'Phase III Pro Forma'!V$292-SUM(V$295:V295))</f>
        <v>0</v>
      </c>
      <c r="W296" s="150">
        <f ca="1">+MIN('S&amp;U'!$J19-SUM('Phase III Pro Forma'!$E296:V296),'Phase III Pro Forma'!W$292-SUM(W$295:W295))</f>
        <v>0</v>
      </c>
      <c r="X296" s="150">
        <f ca="1">+MIN('S&amp;U'!$J19-SUM('Phase III Pro Forma'!$E296:W296),'Phase III Pro Forma'!X$292-SUM(X$295:X295))</f>
        <v>0</v>
      </c>
      <c r="Y296" s="150">
        <f ca="1">+MIN('S&amp;U'!$J19-SUM('Phase III Pro Forma'!$E296:X296),'Phase III Pro Forma'!Y$292-SUM(Y$295:Y295))</f>
        <v>0</v>
      </c>
      <c r="Z296" s="150">
        <f ca="1">+MIN('S&amp;U'!$J19-SUM('Phase III Pro Forma'!$E296:Y296),'Phase III Pro Forma'!Z$292-SUM(Z$295:Z295))</f>
        <v>0</v>
      </c>
    </row>
    <row r="297" spans="2:26" x14ac:dyDescent="0.2">
      <c r="B297" s="32" t="s">
        <v>99</v>
      </c>
      <c r="D297" s="47">
        <f t="shared" ca="1" si="118"/>
        <v>10625026.803841824</v>
      </c>
      <c r="E297" s="47"/>
      <c r="F297" s="150">
        <f ca="1">+MIN('S&amp;U'!$J20-SUM('Phase III Pro Forma'!$E297:E297),'Phase III Pro Forma'!F$292-SUM(F$295:F296))</f>
        <v>0</v>
      </c>
      <c r="G297" s="150">
        <f ca="1">+MIN('S&amp;U'!$J20-SUM('Phase III Pro Forma'!$E297:F297),'Phase III Pro Forma'!G$292-SUM(G$295:G296))</f>
        <v>10625026.803841824</v>
      </c>
      <c r="H297" s="150">
        <f ca="1">+MIN('S&amp;U'!$J20-SUM('Phase III Pro Forma'!$E297:G297),'Phase III Pro Forma'!H$292-SUM(H$295:H296))</f>
        <v>0</v>
      </c>
      <c r="I297" s="150">
        <f ca="1">+MIN('S&amp;U'!$J20-SUM('Phase III Pro Forma'!$E297:H297),'Phase III Pro Forma'!I$292-SUM(I$295:I296))</f>
        <v>0</v>
      </c>
      <c r="J297" s="150">
        <f ca="1">+MIN('S&amp;U'!$J20-SUM('Phase III Pro Forma'!$E297:I297),'Phase III Pro Forma'!J$292-SUM(J$295:J296))</f>
        <v>0</v>
      </c>
      <c r="K297" s="150">
        <f ca="1">+MIN('S&amp;U'!$J20-SUM('Phase III Pro Forma'!$E297:J297),'Phase III Pro Forma'!K$292-SUM(K$295:K296))</f>
        <v>0</v>
      </c>
      <c r="L297" s="150">
        <f ca="1">+MIN('S&amp;U'!$J20-SUM('Phase III Pro Forma'!$E297:K297),'Phase III Pro Forma'!L$292-SUM(L$295:L296))</f>
        <v>0</v>
      </c>
      <c r="M297" s="150">
        <f ca="1">+MIN('S&amp;U'!$J20-SUM('Phase III Pro Forma'!$E297:L297),'Phase III Pro Forma'!M$292-SUM(M$295:M296))</f>
        <v>0</v>
      </c>
      <c r="N297" s="150">
        <f ca="1">+MIN('S&amp;U'!$J20-SUM('Phase III Pro Forma'!$E297:M297),'Phase III Pro Forma'!N$292-SUM(N$295:N296))</f>
        <v>0</v>
      </c>
      <c r="O297" s="150">
        <f ca="1">+MIN('S&amp;U'!$J20-SUM('Phase III Pro Forma'!$E297:N297),'Phase III Pro Forma'!O$292-SUM(O$295:O296))</f>
        <v>0</v>
      </c>
      <c r="P297" s="150">
        <f ca="1">+MIN('S&amp;U'!$J20-SUM('Phase III Pro Forma'!$E297:O297),'Phase III Pro Forma'!P$292-SUM(P$295:P296))</f>
        <v>0</v>
      </c>
      <c r="Q297" s="150">
        <f ca="1">+MIN('S&amp;U'!$J20-SUM('Phase III Pro Forma'!$E297:P297),'Phase III Pro Forma'!Q$292-SUM(Q$295:Q296))</f>
        <v>0</v>
      </c>
      <c r="R297" s="150">
        <f ca="1">+MIN('S&amp;U'!$J20-SUM('Phase III Pro Forma'!$E297:Q297),'Phase III Pro Forma'!R$292-SUM(R$295:R296))</f>
        <v>0</v>
      </c>
      <c r="S297" s="150">
        <f ca="1">+MIN('S&amp;U'!$J20-SUM('Phase III Pro Forma'!$E297:R297),'Phase III Pro Forma'!S$292-SUM(S$295:S296))</f>
        <v>0</v>
      </c>
      <c r="T297" s="150">
        <f ca="1">+MIN('S&amp;U'!$J20-SUM('Phase III Pro Forma'!$E297:S297),'Phase III Pro Forma'!T$292-SUM(T$295:T296))</f>
        <v>0</v>
      </c>
      <c r="U297" s="150">
        <f ca="1">+MIN('S&amp;U'!$J20-SUM('Phase III Pro Forma'!$E297:T297),'Phase III Pro Forma'!U$292-SUM(U$295:U296))</f>
        <v>0</v>
      </c>
      <c r="V297" s="150">
        <f ca="1">+MIN('S&amp;U'!$J20-SUM('Phase III Pro Forma'!$E297:U297),'Phase III Pro Forma'!V$292-SUM(V$295:V296))</f>
        <v>0</v>
      </c>
      <c r="W297" s="150">
        <f ca="1">+MIN('S&amp;U'!$J20-SUM('Phase III Pro Forma'!$E297:V297),'Phase III Pro Forma'!W$292-SUM(W$295:W296))</f>
        <v>0</v>
      </c>
      <c r="X297" s="150">
        <f ca="1">+MIN('S&amp;U'!$J20-SUM('Phase III Pro Forma'!$E297:W297),'Phase III Pro Forma'!X$292-SUM(X$295:X296))</f>
        <v>0</v>
      </c>
      <c r="Y297" s="150">
        <f ca="1">+MIN('S&amp;U'!$J20-SUM('Phase III Pro Forma'!$E297:X297),'Phase III Pro Forma'!Y$292-SUM(Y$295:Y296))</f>
        <v>0</v>
      </c>
      <c r="Z297" s="150">
        <f ca="1">+MIN('S&amp;U'!$J20-SUM('Phase III Pro Forma'!$E297:Y297),'Phase III Pro Forma'!Z$292-SUM(Z$295:Z296))</f>
        <v>0</v>
      </c>
    </row>
    <row r="298" spans="2:26" x14ac:dyDescent="0.2">
      <c r="B298" s="32" t="s">
        <v>100</v>
      </c>
      <c r="D298" s="47">
        <f t="shared" ca="1" si="118"/>
        <v>5538000</v>
      </c>
      <c r="E298" s="47"/>
      <c r="F298" s="150">
        <f ca="1">+MIN('S&amp;U'!$J21-SUM('Phase III Pro Forma'!$E298:E298),'Phase III Pro Forma'!F$292-SUM(F$295:F297))</f>
        <v>0</v>
      </c>
      <c r="G298" s="150">
        <f ca="1">+MIN('S&amp;U'!$J21-SUM('Phase III Pro Forma'!$E298:F298),'Phase III Pro Forma'!G$292-SUM(G$295:G297))</f>
        <v>5538000</v>
      </c>
      <c r="H298" s="150">
        <f ca="1">+MIN('S&amp;U'!$J21-SUM('Phase III Pro Forma'!$E298:G298),'Phase III Pro Forma'!H$292-SUM(H$295:H297))</f>
        <v>0</v>
      </c>
      <c r="I298" s="150">
        <f ca="1">+MIN('S&amp;U'!$J21-SUM('Phase III Pro Forma'!$E298:H298),'Phase III Pro Forma'!I$292-SUM(I$295:I297))</f>
        <v>0</v>
      </c>
      <c r="J298" s="150">
        <f ca="1">+MIN('S&amp;U'!$J21-SUM('Phase III Pro Forma'!$E298:I298),'Phase III Pro Forma'!J$292-SUM(J$295:J297))</f>
        <v>0</v>
      </c>
      <c r="K298" s="150">
        <f ca="1">+MIN('S&amp;U'!$J21-SUM('Phase III Pro Forma'!$E298:J298),'Phase III Pro Forma'!K$292-SUM(K$295:K297))</f>
        <v>0</v>
      </c>
      <c r="L298" s="150">
        <f ca="1">+MIN('S&amp;U'!$J21-SUM('Phase III Pro Forma'!$E298:K298),'Phase III Pro Forma'!L$292-SUM(L$295:L297))</f>
        <v>0</v>
      </c>
      <c r="M298" s="150">
        <f ca="1">+MIN('S&amp;U'!$J21-SUM('Phase III Pro Forma'!$E298:L298),'Phase III Pro Forma'!M$292-SUM(M$295:M297))</f>
        <v>0</v>
      </c>
      <c r="N298" s="150">
        <f ca="1">+MIN('S&amp;U'!$J21-SUM('Phase III Pro Forma'!$E298:M298),'Phase III Pro Forma'!N$292-SUM(N$295:N297))</f>
        <v>0</v>
      </c>
      <c r="O298" s="150">
        <f ca="1">+MIN('S&amp;U'!$J21-SUM('Phase III Pro Forma'!$E298:N298),'Phase III Pro Forma'!O$292-SUM(O$295:O297))</f>
        <v>0</v>
      </c>
      <c r="P298" s="150">
        <f ca="1">+MIN('S&amp;U'!$J21-SUM('Phase III Pro Forma'!$E298:O298),'Phase III Pro Forma'!P$292-SUM(P$295:P297))</f>
        <v>0</v>
      </c>
      <c r="Q298" s="150">
        <f ca="1">+MIN('S&amp;U'!$J21-SUM('Phase III Pro Forma'!$E298:P298),'Phase III Pro Forma'!Q$292-SUM(Q$295:Q297))</f>
        <v>0</v>
      </c>
      <c r="R298" s="150">
        <f ca="1">+MIN('S&amp;U'!$J21-SUM('Phase III Pro Forma'!$E298:Q298),'Phase III Pro Forma'!R$292-SUM(R$295:R297))</f>
        <v>0</v>
      </c>
      <c r="S298" s="150">
        <f ca="1">+MIN('S&amp;U'!$J21-SUM('Phase III Pro Forma'!$E298:R298),'Phase III Pro Forma'!S$292-SUM(S$295:S297))</f>
        <v>0</v>
      </c>
      <c r="T298" s="150">
        <f ca="1">+MIN('S&amp;U'!$J21-SUM('Phase III Pro Forma'!$E298:S298),'Phase III Pro Forma'!T$292-SUM(T$295:T297))</f>
        <v>0</v>
      </c>
      <c r="U298" s="150">
        <f ca="1">+MIN('S&amp;U'!$J21-SUM('Phase III Pro Forma'!$E298:T298),'Phase III Pro Forma'!U$292-SUM(U$295:U297))</f>
        <v>0</v>
      </c>
      <c r="V298" s="150">
        <f ca="1">+MIN('S&amp;U'!$J21-SUM('Phase III Pro Forma'!$E298:U298),'Phase III Pro Forma'!V$292-SUM(V$295:V297))</f>
        <v>0</v>
      </c>
      <c r="W298" s="150">
        <f ca="1">+MIN('S&amp;U'!$J21-SUM('Phase III Pro Forma'!$E298:V298),'Phase III Pro Forma'!W$292-SUM(W$295:W297))</f>
        <v>0</v>
      </c>
      <c r="X298" s="150">
        <f ca="1">+MIN('S&amp;U'!$J21-SUM('Phase III Pro Forma'!$E298:W298),'Phase III Pro Forma'!X$292-SUM(X$295:X297))</f>
        <v>0</v>
      </c>
      <c r="Y298" s="150">
        <f ca="1">+MIN('S&amp;U'!$J21-SUM('Phase III Pro Forma'!$E298:X298),'Phase III Pro Forma'!Y$292-SUM(Y$295:Y297))</f>
        <v>0</v>
      </c>
      <c r="Z298" s="150">
        <f ca="1">+MIN('S&amp;U'!$J21-SUM('Phase III Pro Forma'!$E298:Y298),'Phase III Pro Forma'!Z$292-SUM(Z$295:Z297))</f>
        <v>0</v>
      </c>
    </row>
    <row r="299" spans="2:26" x14ac:dyDescent="0.2">
      <c r="B299" s="32" t="s">
        <v>613</v>
      </c>
      <c r="D299" s="47">
        <f t="shared" ref="D299" ca="1" si="119">+SUM(F299:Z299)</f>
        <v>0</v>
      </c>
      <c r="E299" s="47"/>
      <c r="F299" s="150">
        <f ca="1">+MIN('S&amp;U'!$J22-SUM('Phase III Pro Forma'!$E299:E299),'Phase III Pro Forma'!F$292-SUM(F$295:F298))</f>
        <v>0</v>
      </c>
      <c r="G299" s="150">
        <f ca="1">+MIN('S&amp;U'!$J22-SUM('Phase III Pro Forma'!$E299:F299),'Phase III Pro Forma'!G$292-SUM(G$295:G298))</f>
        <v>0</v>
      </c>
      <c r="H299" s="150">
        <f ca="1">+MIN('S&amp;U'!$J22-SUM('Phase III Pro Forma'!$E299:G299),'Phase III Pro Forma'!H$292-SUM(H$295:H298))</f>
        <v>0</v>
      </c>
      <c r="I299" s="150">
        <f ca="1">+MIN('S&amp;U'!$J22-SUM('Phase III Pro Forma'!$E299:H299),'Phase III Pro Forma'!I$292-SUM(I$295:I298))</f>
        <v>0</v>
      </c>
      <c r="J299" s="150">
        <f ca="1">+MIN('S&amp;U'!$J22-SUM('Phase III Pro Forma'!$E299:I299),'Phase III Pro Forma'!J$292-SUM(J$295:J298))</f>
        <v>0</v>
      </c>
      <c r="K299" s="150">
        <f ca="1">+MIN('S&amp;U'!$J22-SUM('Phase III Pro Forma'!$E299:J299),'Phase III Pro Forma'!K$292-SUM(K$295:K298))</f>
        <v>0</v>
      </c>
      <c r="L299" s="150">
        <f ca="1">+MIN('S&amp;U'!$J22-SUM('Phase III Pro Forma'!$E299:K299),'Phase III Pro Forma'!L$292-SUM(L$295:L298))</f>
        <v>0</v>
      </c>
      <c r="M299" s="150">
        <f ca="1">+MIN('S&amp;U'!$J22-SUM('Phase III Pro Forma'!$E299:L299),'Phase III Pro Forma'!M$292-SUM(M$295:M298))</f>
        <v>0</v>
      </c>
      <c r="N299" s="150">
        <f ca="1">+MIN('S&amp;U'!$J22-SUM('Phase III Pro Forma'!$E299:M299),'Phase III Pro Forma'!N$292-SUM(N$295:N298))</f>
        <v>0</v>
      </c>
      <c r="O299" s="150">
        <f ca="1">+MIN('S&amp;U'!$J22-SUM('Phase III Pro Forma'!$E299:N299),'Phase III Pro Forma'!O$292-SUM(O$295:O298))</f>
        <v>0</v>
      </c>
      <c r="P299" s="150">
        <f ca="1">+MIN('S&amp;U'!$J22-SUM('Phase III Pro Forma'!$E299:O299),'Phase III Pro Forma'!P$292-SUM(P$295:P298))</f>
        <v>0</v>
      </c>
      <c r="Q299" s="150">
        <f ca="1">+MIN('S&amp;U'!$J22-SUM('Phase III Pro Forma'!$E299:P299),'Phase III Pro Forma'!Q$292-SUM(Q$295:Q298))</f>
        <v>0</v>
      </c>
      <c r="R299" s="150">
        <f ca="1">+MIN('S&amp;U'!$J22-SUM('Phase III Pro Forma'!$E299:Q299),'Phase III Pro Forma'!R$292-SUM(R$295:R298))</f>
        <v>0</v>
      </c>
      <c r="S299" s="150">
        <f ca="1">+MIN('S&amp;U'!$J22-SUM('Phase III Pro Forma'!$E299:R299),'Phase III Pro Forma'!S$292-SUM(S$295:S298))</f>
        <v>0</v>
      </c>
      <c r="T299" s="150">
        <f ca="1">+MIN('S&amp;U'!$J22-SUM('Phase III Pro Forma'!$E299:S299),'Phase III Pro Forma'!T$292-SUM(T$295:T298))</f>
        <v>0</v>
      </c>
      <c r="U299" s="150">
        <f ca="1">+MIN('S&amp;U'!$J22-SUM('Phase III Pro Forma'!$E299:T299),'Phase III Pro Forma'!U$292-SUM(U$295:U298))</f>
        <v>0</v>
      </c>
      <c r="V299" s="150">
        <f ca="1">+MIN('S&amp;U'!$J22-SUM('Phase III Pro Forma'!$E299:U299),'Phase III Pro Forma'!V$292-SUM(V$295:V298))</f>
        <v>0</v>
      </c>
      <c r="W299" s="150">
        <f ca="1">+MIN('S&amp;U'!$J22-SUM('Phase III Pro Forma'!$E299:V299),'Phase III Pro Forma'!W$292-SUM(W$295:W298))</f>
        <v>0</v>
      </c>
      <c r="X299" s="150">
        <f ca="1">+MIN('S&amp;U'!$J22-SUM('Phase III Pro Forma'!$E299:W299),'Phase III Pro Forma'!X$292-SUM(X$295:X298))</f>
        <v>0</v>
      </c>
      <c r="Y299" s="150">
        <f ca="1">+MIN('S&amp;U'!$J22-SUM('Phase III Pro Forma'!$E299:X299),'Phase III Pro Forma'!Y$292-SUM(Y$295:Y298))</f>
        <v>0</v>
      </c>
      <c r="Z299" s="150">
        <f ca="1">+MIN('S&amp;U'!$J22-SUM('Phase III Pro Forma'!$E299:Y299),'Phase III Pro Forma'!Z$292-SUM(Z$295:Z298))</f>
        <v>0</v>
      </c>
    </row>
    <row r="300" spans="2:26" x14ac:dyDescent="0.2">
      <c r="B300" s="32" t="s">
        <v>330</v>
      </c>
      <c r="D300" s="47">
        <f t="shared" ca="1" si="118"/>
        <v>238496538.80234998</v>
      </c>
      <c r="E300" s="47"/>
      <c r="F300" s="150">
        <f ca="1">+MIN('S&amp;U'!$J17-SUM('Phase III Pro Forma'!$E300:E300),'Phase III Pro Forma'!F$292-SUM(F$295:F299))</f>
        <v>0</v>
      </c>
      <c r="G300" s="150">
        <f ca="1">+MIN('S&amp;U'!$J17-SUM('Phase III Pro Forma'!$E300:F300),'Phase III Pro Forma'!G$292-SUM(G$295:G299))</f>
        <v>129078393.23459172</v>
      </c>
      <c r="H300" s="150">
        <f ca="1">+MIN('S&amp;U'!$J17-SUM('Phase III Pro Forma'!$E300:G300),'Phase III Pro Forma'!H$292-SUM(H$295:H299))</f>
        <v>109418145.56775826</v>
      </c>
      <c r="I300" s="150">
        <f ca="1">+MIN('S&amp;U'!$J17-SUM('Phase III Pro Forma'!$E300:H300),'Phase III Pro Forma'!I$292-SUM(I$295:I299))</f>
        <v>0</v>
      </c>
      <c r="J300" s="150">
        <f ca="1">+MIN('S&amp;U'!$J17-SUM('Phase III Pro Forma'!$E300:I300),'Phase III Pro Forma'!J$292-SUM(J$295:J299))</f>
        <v>0</v>
      </c>
      <c r="K300" s="150">
        <f ca="1">+MIN('S&amp;U'!$J17-SUM('Phase III Pro Forma'!$E300:J300),'Phase III Pro Forma'!K$292-SUM(K$295:K299))</f>
        <v>0</v>
      </c>
      <c r="L300" s="150">
        <f ca="1">+MIN('S&amp;U'!$J17-SUM('Phase III Pro Forma'!$E300:K300),'Phase III Pro Forma'!L$292-SUM(L$295:L299))</f>
        <v>0</v>
      </c>
      <c r="M300" s="150">
        <f ca="1">+MIN('S&amp;U'!$J17-SUM('Phase III Pro Forma'!$E300:L300),'Phase III Pro Forma'!M$292-SUM(M$295:M299))</f>
        <v>0</v>
      </c>
      <c r="N300" s="150">
        <f ca="1">+MIN('S&amp;U'!$J17-SUM('Phase III Pro Forma'!$E300:M300),'Phase III Pro Forma'!N$292-SUM(N$295:N299))</f>
        <v>0</v>
      </c>
      <c r="O300" s="150">
        <f ca="1">+MIN('S&amp;U'!$J17-SUM('Phase III Pro Forma'!$E300:N300),'Phase III Pro Forma'!O$292-SUM(O$295:O299))</f>
        <v>0</v>
      </c>
      <c r="P300" s="150">
        <f ca="1">+MIN('S&amp;U'!$J17-SUM('Phase III Pro Forma'!$E300:O300),'Phase III Pro Forma'!P$292-SUM(P$295:P299))</f>
        <v>0</v>
      </c>
      <c r="Q300" s="150">
        <f ca="1">+MIN('S&amp;U'!$J17-SUM('Phase III Pro Forma'!$E300:P300),'Phase III Pro Forma'!Q$292-SUM(Q$295:Q299))</f>
        <v>0</v>
      </c>
      <c r="R300" s="150">
        <f ca="1">+MIN('S&amp;U'!$J17-SUM('Phase III Pro Forma'!$E300:Q300),'Phase III Pro Forma'!R$292-SUM(R$295:R299))</f>
        <v>0</v>
      </c>
      <c r="S300" s="150">
        <f ca="1">+MIN('S&amp;U'!$J17-SUM('Phase III Pro Forma'!$E300:R300),'Phase III Pro Forma'!S$292-SUM(S$295:S299))</f>
        <v>0</v>
      </c>
      <c r="T300" s="150">
        <f ca="1">+MIN('S&amp;U'!$J17-SUM('Phase III Pro Forma'!$E300:S300),'Phase III Pro Forma'!T$292-SUM(T$295:T299))</f>
        <v>0</v>
      </c>
      <c r="U300" s="150">
        <f ca="1">+MIN('S&amp;U'!$J17-SUM('Phase III Pro Forma'!$E300:T300),'Phase III Pro Forma'!U$292-SUM(U$295:U299))</f>
        <v>0</v>
      </c>
      <c r="V300" s="150">
        <f ca="1">+MIN('S&amp;U'!$J17-SUM('Phase III Pro Forma'!$E300:U300),'Phase III Pro Forma'!V$292-SUM(V$295:V299))</f>
        <v>0</v>
      </c>
      <c r="W300" s="150">
        <f ca="1">+MIN('S&amp;U'!$J17-SUM('Phase III Pro Forma'!$E300:V300),'Phase III Pro Forma'!W$292-SUM(W$295:W299))</f>
        <v>0</v>
      </c>
      <c r="X300" s="150">
        <f ca="1">+MIN('S&amp;U'!$J17-SUM('Phase III Pro Forma'!$E300:W300),'Phase III Pro Forma'!X$292-SUM(X$295:X299))</f>
        <v>0</v>
      </c>
      <c r="Y300" s="150">
        <f ca="1">+MIN('S&amp;U'!$J17-SUM('Phase III Pro Forma'!$E300:X300),'Phase III Pro Forma'!Y$292-SUM(Y$295:Y299))</f>
        <v>0</v>
      </c>
      <c r="Z300" s="150">
        <f ca="1">+MIN('S&amp;U'!$J17-SUM('Phase III Pro Forma'!$E300:Y300),'Phase III Pro Forma'!Z$292-SUM(Z$295:Z299))</f>
        <v>0</v>
      </c>
    </row>
    <row r="301" spans="2:26" x14ac:dyDescent="0.2">
      <c r="B301" s="32" t="s">
        <v>98</v>
      </c>
      <c r="D301" s="47">
        <f t="shared" ca="1" si="118"/>
        <v>64274236.586260393</v>
      </c>
      <c r="E301" s="47"/>
      <c r="F301" s="150">
        <f ca="1">+MIN('S&amp;U'!$J18-SUM('Phase III Pro Forma'!$E301:E301),'Phase III Pro Forma'!F$292-SUM(F$295:F300))</f>
        <v>0</v>
      </c>
      <c r="G301" s="150">
        <f ca="1">+MIN('S&amp;U'!$J18-SUM('Phase III Pro Forma'!$E301:F301),'Phase III Pro Forma'!G$292-SUM(G$295:G300))</f>
        <v>0</v>
      </c>
      <c r="H301" s="150">
        <f ca="1">+MIN('S&amp;U'!$J18-SUM('Phase III Pro Forma'!$E301:G301),'Phase III Pro Forma'!H$292-SUM(H$295:H300))</f>
        <v>58618324.290086865</v>
      </c>
      <c r="I301" s="150">
        <f ca="1">+MIN('S&amp;U'!$J18-SUM('Phase III Pro Forma'!$E301:H301),'Phase III Pro Forma'!I$292-SUM(I$295:I300))</f>
        <v>2827956.1480867714</v>
      </c>
      <c r="J301" s="150">
        <f ca="1">+MIN('S&amp;U'!$J18-SUM('Phase III Pro Forma'!$E301:I301),'Phase III Pro Forma'!J$292-SUM(J$295:J300))</f>
        <v>2827956.1480867192</v>
      </c>
      <c r="K301" s="150">
        <f ca="1">+MIN('S&amp;U'!$J18-SUM('Phase III Pro Forma'!$E301:J301),'Phase III Pro Forma'!K$292-SUM(K$295:K300))</f>
        <v>0</v>
      </c>
      <c r="L301" s="150">
        <f ca="1">+MIN('S&amp;U'!$J18-SUM('Phase III Pro Forma'!$E301:K301),'Phase III Pro Forma'!L$292-SUM(L$295:L300))</f>
        <v>0</v>
      </c>
      <c r="M301" s="150">
        <f ca="1">+MIN('S&amp;U'!$J18-SUM('Phase III Pro Forma'!$E301:L301),'Phase III Pro Forma'!M$292-SUM(M$295:M300))</f>
        <v>0</v>
      </c>
      <c r="N301" s="150">
        <f ca="1">+MIN('S&amp;U'!$J18-SUM('Phase III Pro Forma'!$E301:M301),'Phase III Pro Forma'!N$292-SUM(N$295:N300))</f>
        <v>0</v>
      </c>
      <c r="O301" s="150">
        <f ca="1">+MIN('S&amp;U'!$J18-SUM('Phase III Pro Forma'!$E301:N301),'Phase III Pro Forma'!O$292-SUM(O$295:O300))</f>
        <v>0</v>
      </c>
      <c r="P301" s="150">
        <f ca="1">+MIN('S&amp;U'!$J18-SUM('Phase III Pro Forma'!$E301:O301),'Phase III Pro Forma'!P$292-SUM(P$295:P300))</f>
        <v>0</v>
      </c>
      <c r="Q301" s="150">
        <f ca="1">+MIN('S&amp;U'!$J18-SUM('Phase III Pro Forma'!$E301:P301),'Phase III Pro Forma'!Q$292-SUM(Q$295:Q300))</f>
        <v>0</v>
      </c>
      <c r="R301" s="150">
        <f ca="1">+MIN('S&amp;U'!$J18-SUM('Phase III Pro Forma'!$E301:Q301),'Phase III Pro Forma'!R$292-SUM(R$295:R300))</f>
        <v>0</v>
      </c>
      <c r="S301" s="150">
        <f ca="1">+MIN('S&amp;U'!$J18-SUM('Phase III Pro Forma'!$E301:R301),'Phase III Pro Forma'!S$292-SUM(S$295:S300))</f>
        <v>0</v>
      </c>
      <c r="T301" s="150">
        <f ca="1">+MIN('S&amp;U'!$J18-SUM('Phase III Pro Forma'!$E301:S301),'Phase III Pro Forma'!T$292-SUM(T$295:T300))</f>
        <v>0</v>
      </c>
      <c r="U301" s="150">
        <f ca="1">+MIN('S&amp;U'!$J18-SUM('Phase III Pro Forma'!$E301:T301),'Phase III Pro Forma'!U$292-SUM(U$295:U300))</f>
        <v>0</v>
      </c>
      <c r="V301" s="150">
        <f ca="1">+MIN('S&amp;U'!$J18-SUM('Phase III Pro Forma'!$E301:U301),'Phase III Pro Forma'!V$292-SUM(V$295:V300))</f>
        <v>0</v>
      </c>
      <c r="W301" s="150">
        <f ca="1">+MIN('S&amp;U'!$J18-SUM('Phase III Pro Forma'!$E301:V301),'Phase III Pro Forma'!W$292-SUM(W$295:W300))</f>
        <v>0</v>
      </c>
      <c r="X301" s="150">
        <f ca="1">+MIN('S&amp;U'!$J18-SUM('Phase III Pro Forma'!$E301:W301),'Phase III Pro Forma'!X$292-SUM(X$295:X300))</f>
        <v>0</v>
      </c>
      <c r="Y301" s="150">
        <f ca="1">+MIN('S&amp;U'!$J18-SUM('Phase III Pro Forma'!$E301:X301),'Phase III Pro Forma'!Y$292-SUM(Y$295:Y300))</f>
        <v>0</v>
      </c>
      <c r="Z301" s="150">
        <f ca="1">+MIN('S&amp;U'!$J18-SUM('Phase III Pro Forma'!$E301:Y301),'Phase III Pro Forma'!Z$292-SUM(Z$295:Z300))</f>
        <v>0</v>
      </c>
    </row>
    <row r="302" spans="2:26" x14ac:dyDescent="0.2">
      <c r="B302" s="137" t="s">
        <v>377</v>
      </c>
      <c r="C302" s="137"/>
      <c r="D302" s="138">
        <f t="shared" ca="1" si="118"/>
        <v>397494231.33724999</v>
      </c>
      <c r="E302" s="138"/>
      <c r="F302" s="138">
        <f t="shared" ref="F302:Z302" ca="1" si="120">+SUM(F295:F301)</f>
        <v>55765379.325386167</v>
      </c>
      <c r="G302" s="138">
        <f t="shared" ca="1" si="120"/>
        <v>168036469.85784513</v>
      </c>
      <c r="H302" s="138">
        <f t="shared" ca="1" si="120"/>
        <v>168036469.85784513</v>
      </c>
      <c r="I302" s="138">
        <f t="shared" ca="1" si="120"/>
        <v>2827956.1480867714</v>
      </c>
      <c r="J302" s="138">
        <f t="shared" ca="1" si="120"/>
        <v>2827956.1480867192</v>
      </c>
      <c r="K302" s="138">
        <f t="shared" ca="1" si="120"/>
        <v>0</v>
      </c>
      <c r="L302" s="138">
        <f t="shared" ca="1" si="120"/>
        <v>0</v>
      </c>
      <c r="M302" s="138">
        <f t="shared" ca="1" si="120"/>
        <v>0</v>
      </c>
      <c r="N302" s="138">
        <f t="shared" ca="1" si="120"/>
        <v>0</v>
      </c>
      <c r="O302" s="138">
        <f t="shared" ca="1" si="120"/>
        <v>0</v>
      </c>
      <c r="P302" s="138">
        <f t="shared" ca="1" si="120"/>
        <v>0</v>
      </c>
      <c r="Q302" s="138">
        <f t="shared" ca="1" si="120"/>
        <v>0</v>
      </c>
      <c r="R302" s="138">
        <f t="shared" ca="1" si="120"/>
        <v>0</v>
      </c>
      <c r="S302" s="138">
        <f t="shared" ca="1" si="120"/>
        <v>0</v>
      </c>
      <c r="T302" s="138">
        <f t="shared" ca="1" si="120"/>
        <v>0</v>
      </c>
      <c r="U302" s="138">
        <f t="shared" ca="1" si="120"/>
        <v>0</v>
      </c>
      <c r="V302" s="138">
        <f t="shared" ca="1" si="120"/>
        <v>0</v>
      </c>
      <c r="W302" s="138">
        <f t="shared" ca="1" si="120"/>
        <v>0</v>
      </c>
      <c r="X302" s="138">
        <f t="shared" ca="1" si="120"/>
        <v>0</v>
      </c>
      <c r="Y302" s="138">
        <f t="shared" ca="1" si="120"/>
        <v>0</v>
      </c>
      <c r="Z302" s="138">
        <f t="shared" ca="1" si="120"/>
        <v>0</v>
      </c>
    </row>
    <row r="304" spans="2:26" x14ac:dyDescent="0.2">
      <c r="B304" s="32" t="s">
        <v>437</v>
      </c>
      <c r="D304" s="47">
        <f t="shared" ref="D304" ca="1" si="121">+SUM(F304:Z304)</f>
        <v>80437263.390102223</v>
      </c>
      <c r="F304" s="41">
        <f ca="1">+SUM(F296:F298,F301)</f>
        <v>0</v>
      </c>
      <c r="G304" s="41">
        <f t="shared" ref="G304:Z304" ca="1" si="122">+SUM(G296:G298,G301)</f>
        <v>16163026.803841824</v>
      </c>
      <c r="H304" s="41">
        <f t="shared" ca="1" si="122"/>
        <v>58618324.290086865</v>
      </c>
      <c r="I304" s="41">
        <f t="shared" ca="1" si="122"/>
        <v>2827956.1480867714</v>
      </c>
      <c r="J304" s="41">
        <f t="shared" ca="1" si="122"/>
        <v>2827956.1480867192</v>
      </c>
      <c r="K304" s="41">
        <f t="shared" ca="1" si="122"/>
        <v>0</v>
      </c>
      <c r="L304" s="41">
        <f t="shared" ca="1" si="122"/>
        <v>0</v>
      </c>
      <c r="M304" s="41">
        <f t="shared" ca="1" si="122"/>
        <v>0</v>
      </c>
      <c r="N304" s="41">
        <f t="shared" ca="1" si="122"/>
        <v>0</v>
      </c>
      <c r="O304" s="41">
        <f t="shared" ca="1" si="122"/>
        <v>0</v>
      </c>
      <c r="P304" s="41">
        <f t="shared" ca="1" si="122"/>
        <v>0</v>
      </c>
      <c r="Q304" s="41">
        <f t="shared" ca="1" si="122"/>
        <v>0</v>
      </c>
      <c r="R304" s="41">
        <f t="shared" ca="1" si="122"/>
        <v>0</v>
      </c>
      <c r="S304" s="41">
        <f t="shared" ca="1" si="122"/>
        <v>0</v>
      </c>
      <c r="T304" s="41">
        <f t="shared" ca="1" si="122"/>
        <v>0</v>
      </c>
      <c r="U304" s="41">
        <f t="shared" ca="1" si="122"/>
        <v>0</v>
      </c>
      <c r="V304" s="41">
        <f t="shared" ca="1" si="122"/>
        <v>0</v>
      </c>
      <c r="W304" s="41">
        <f t="shared" ca="1" si="122"/>
        <v>0</v>
      </c>
      <c r="X304" s="41">
        <f t="shared" ca="1" si="122"/>
        <v>0</v>
      </c>
      <c r="Y304" s="41">
        <f t="shared" ca="1" si="122"/>
        <v>0</v>
      </c>
      <c r="Z304" s="41">
        <f t="shared" ca="1" si="122"/>
        <v>0</v>
      </c>
    </row>
    <row r="306" spans="2:26" x14ac:dyDescent="0.2">
      <c r="B306" s="147" t="s">
        <v>348</v>
      </c>
    </row>
    <row r="307" spans="2:26" x14ac:dyDescent="0.2">
      <c r="B307" s="32" t="s">
        <v>349</v>
      </c>
      <c r="D307" s="47">
        <f ca="1">+SUM(F307:Z307)</f>
        <v>-78560429.144797742</v>
      </c>
      <c r="E307" s="47"/>
      <c r="F307" s="33">
        <f t="shared" ref="F307:Z307" ca="1" si="123">-F295</f>
        <v>-55765379.325386167</v>
      </c>
      <c r="G307" s="33">
        <f t="shared" ca="1" si="123"/>
        <v>-22795049.819411576</v>
      </c>
      <c r="H307" s="33">
        <f t="shared" ca="1" si="123"/>
        <v>0</v>
      </c>
      <c r="I307" s="33">
        <f t="shared" ca="1" si="123"/>
        <v>0</v>
      </c>
      <c r="J307" s="33">
        <f t="shared" ca="1" si="123"/>
        <v>0</v>
      </c>
      <c r="K307" s="33">
        <f t="shared" ca="1" si="123"/>
        <v>0</v>
      </c>
      <c r="L307" s="33">
        <f t="shared" ca="1" si="123"/>
        <v>0</v>
      </c>
      <c r="M307" s="33">
        <f t="shared" ca="1" si="123"/>
        <v>0</v>
      </c>
      <c r="N307" s="33">
        <f t="shared" ca="1" si="123"/>
        <v>0</v>
      </c>
      <c r="O307" s="33">
        <f t="shared" ca="1" si="123"/>
        <v>0</v>
      </c>
      <c r="P307" s="33">
        <f t="shared" ca="1" si="123"/>
        <v>0</v>
      </c>
      <c r="Q307" s="33">
        <f t="shared" ca="1" si="123"/>
        <v>0</v>
      </c>
      <c r="R307" s="33">
        <f t="shared" ca="1" si="123"/>
        <v>0</v>
      </c>
      <c r="S307" s="33">
        <f t="shared" ca="1" si="123"/>
        <v>0</v>
      </c>
      <c r="T307" s="33">
        <f t="shared" ca="1" si="123"/>
        <v>0</v>
      </c>
      <c r="U307" s="33">
        <f t="shared" ca="1" si="123"/>
        <v>0</v>
      </c>
      <c r="V307" s="33">
        <f t="shared" ca="1" si="123"/>
        <v>0</v>
      </c>
      <c r="W307" s="33">
        <f t="shared" ca="1" si="123"/>
        <v>0</v>
      </c>
      <c r="X307" s="33">
        <f t="shared" ca="1" si="123"/>
        <v>0</v>
      </c>
      <c r="Y307" s="33">
        <f t="shared" ca="1" si="123"/>
        <v>0</v>
      </c>
      <c r="Z307" s="33">
        <f t="shared" ca="1" si="123"/>
        <v>0</v>
      </c>
    </row>
    <row r="308" spans="2:26" x14ac:dyDescent="0.2">
      <c r="B308" s="32" t="s">
        <v>350</v>
      </c>
      <c r="D308" s="47">
        <f t="shared" ref="D308" ca="1" si="124">+SUM(F308:Z308)</f>
        <v>235964398.19676763</v>
      </c>
      <c r="E308" s="47"/>
      <c r="F308" s="150">
        <f ca="1">+F277</f>
        <v>0</v>
      </c>
      <c r="G308" s="150">
        <f t="shared" ref="G308:Z308" ca="1" si="125">+G277</f>
        <v>0</v>
      </c>
      <c r="H308" s="150">
        <f t="shared" ca="1" si="125"/>
        <v>0</v>
      </c>
      <c r="I308" s="150">
        <f t="shared" ca="1" si="125"/>
        <v>34294946.00865227</v>
      </c>
      <c r="J308" s="150">
        <f t="shared" ca="1" si="125"/>
        <v>5163707.0895398315</v>
      </c>
      <c r="K308" s="150">
        <f t="shared" ca="1" si="125"/>
        <v>5446481.3733853698</v>
      </c>
      <c r="L308" s="150">
        <f t="shared" ca="1" si="125"/>
        <v>191059263.72519034</v>
      </c>
      <c r="M308" s="150">
        <f t="shared" si="125"/>
        <v>0</v>
      </c>
      <c r="N308" s="150">
        <f t="shared" si="125"/>
        <v>0</v>
      </c>
      <c r="O308" s="150">
        <f t="shared" si="125"/>
        <v>0</v>
      </c>
      <c r="P308" s="150">
        <f t="shared" si="125"/>
        <v>0</v>
      </c>
      <c r="Q308" s="150">
        <f t="shared" si="125"/>
        <v>0</v>
      </c>
      <c r="R308" s="150">
        <f t="shared" si="125"/>
        <v>0</v>
      </c>
      <c r="S308" s="150">
        <f t="shared" si="125"/>
        <v>0</v>
      </c>
      <c r="T308" s="150">
        <f t="shared" si="125"/>
        <v>0</v>
      </c>
      <c r="U308" s="150">
        <f t="shared" si="125"/>
        <v>0</v>
      </c>
      <c r="V308" s="150">
        <f t="shared" si="125"/>
        <v>0</v>
      </c>
      <c r="W308" s="150">
        <f t="shared" si="125"/>
        <v>0</v>
      </c>
      <c r="X308" s="150">
        <f t="shared" si="125"/>
        <v>0</v>
      </c>
      <c r="Y308" s="150">
        <f t="shared" si="125"/>
        <v>0</v>
      </c>
      <c r="Z308" s="150">
        <f t="shared" si="125"/>
        <v>0</v>
      </c>
    </row>
    <row r="309" spans="2:26" x14ac:dyDescent="0.2">
      <c r="B309" s="137" t="s">
        <v>351</v>
      </c>
      <c r="C309" s="137"/>
      <c r="D309" s="138">
        <f ca="1">+SUM(F309:Z309)</f>
        <v>157403969.05196989</v>
      </c>
      <c r="E309" s="138"/>
      <c r="F309" s="138">
        <f ca="1">+SUM(F307:F308)</f>
        <v>-55765379.325386167</v>
      </c>
      <c r="G309" s="138">
        <f t="shared" ref="G309:Z309" ca="1" si="126">+SUM(G307:G308)</f>
        <v>-22795049.819411576</v>
      </c>
      <c r="H309" s="138">
        <f t="shared" ca="1" si="126"/>
        <v>0</v>
      </c>
      <c r="I309" s="138">
        <f t="shared" ca="1" si="126"/>
        <v>34294946.00865227</v>
      </c>
      <c r="J309" s="138">
        <f t="shared" ca="1" si="126"/>
        <v>5163707.0895398315</v>
      </c>
      <c r="K309" s="138">
        <f t="shared" ca="1" si="126"/>
        <v>5446481.3733853698</v>
      </c>
      <c r="L309" s="138">
        <f t="shared" ca="1" si="126"/>
        <v>191059263.72519034</v>
      </c>
      <c r="M309" s="138">
        <f t="shared" ca="1" si="126"/>
        <v>0</v>
      </c>
      <c r="N309" s="138">
        <f t="shared" ca="1" si="126"/>
        <v>0</v>
      </c>
      <c r="O309" s="138">
        <f t="shared" ca="1" si="126"/>
        <v>0</v>
      </c>
      <c r="P309" s="138">
        <f t="shared" ca="1" si="126"/>
        <v>0</v>
      </c>
      <c r="Q309" s="138">
        <f t="shared" ca="1" si="126"/>
        <v>0</v>
      </c>
      <c r="R309" s="138">
        <f t="shared" ca="1" si="126"/>
        <v>0</v>
      </c>
      <c r="S309" s="138">
        <f t="shared" ca="1" si="126"/>
        <v>0</v>
      </c>
      <c r="T309" s="138">
        <f t="shared" ca="1" si="126"/>
        <v>0</v>
      </c>
      <c r="U309" s="138">
        <f t="shared" ca="1" si="126"/>
        <v>0</v>
      </c>
      <c r="V309" s="138">
        <f t="shared" ca="1" si="126"/>
        <v>0</v>
      </c>
      <c r="W309" s="138">
        <f t="shared" ca="1" si="126"/>
        <v>0</v>
      </c>
      <c r="X309" s="138">
        <f t="shared" ca="1" si="126"/>
        <v>0</v>
      </c>
      <c r="Y309" s="138">
        <f t="shared" ca="1" si="126"/>
        <v>0</v>
      </c>
      <c r="Z309" s="138">
        <f t="shared" ca="1" si="126"/>
        <v>0</v>
      </c>
    </row>
    <row r="311" spans="2:26" x14ac:dyDescent="0.2">
      <c r="B311" s="188" t="s">
        <v>355</v>
      </c>
      <c r="C311" s="188"/>
      <c r="D311" s="189">
        <f ca="1">+IRR(F309:Z309)</f>
        <v>0.24148009708429607</v>
      </c>
    </row>
    <row r="312" spans="2:26" x14ac:dyDescent="0.2">
      <c r="B312" s="140" t="s">
        <v>353</v>
      </c>
      <c r="C312" s="190"/>
      <c r="D312" s="141">
        <f ca="1">+SUM(F309:Z309)</f>
        <v>157403969.05197006</v>
      </c>
    </row>
    <row r="313" spans="2:26" x14ac:dyDescent="0.2">
      <c r="B313" s="192" t="s">
        <v>354</v>
      </c>
      <c r="C313" s="191"/>
      <c r="D313" s="193">
        <f ca="1">+D308/-D307</f>
        <v>3.0036037323810003</v>
      </c>
    </row>
    <row r="315" spans="2:26" x14ac:dyDescent="0.2">
      <c r="B315" s="36" t="s">
        <v>391</v>
      </c>
      <c r="C315" s="37"/>
      <c r="D315" s="37"/>
      <c r="E315" s="37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7" spans="2:26" x14ac:dyDescent="0.2">
      <c r="B317" s="147" t="s">
        <v>248</v>
      </c>
      <c r="F317" s="149">
        <f>+F$294</f>
        <v>45657</v>
      </c>
      <c r="G317" s="149">
        <f t="shared" ref="G317:Z317" si="127">+G$294</f>
        <v>46022</v>
      </c>
      <c r="H317" s="149">
        <f t="shared" si="127"/>
        <v>46387</v>
      </c>
      <c r="I317" s="149">
        <f t="shared" si="127"/>
        <v>46752</v>
      </c>
      <c r="J317" s="149">
        <f t="shared" si="127"/>
        <v>47118</v>
      </c>
      <c r="K317" s="149">
        <f t="shared" si="127"/>
        <v>47483</v>
      </c>
      <c r="L317" s="149">
        <f t="shared" si="127"/>
        <v>47848</v>
      </c>
      <c r="M317" s="149">
        <f t="shared" si="127"/>
        <v>48213</v>
      </c>
      <c r="N317" s="149">
        <f t="shared" si="127"/>
        <v>48579</v>
      </c>
      <c r="O317" s="149">
        <f t="shared" si="127"/>
        <v>48944</v>
      </c>
      <c r="P317" s="149">
        <f t="shared" si="127"/>
        <v>49309</v>
      </c>
      <c r="Q317" s="149">
        <f t="shared" si="127"/>
        <v>49674</v>
      </c>
      <c r="R317" s="149">
        <f t="shared" si="127"/>
        <v>50040</v>
      </c>
      <c r="S317" s="149">
        <f t="shared" si="127"/>
        <v>50405</v>
      </c>
      <c r="T317" s="149">
        <f t="shared" si="127"/>
        <v>50770</v>
      </c>
      <c r="U317" s="149">
        <f t="shared" si="127"/>
        <v>51135</v>
      </c>
      <c r="V317" s="149">
        <f t="shared" si="127"/>
        <v>51501</v>
      </c>
      <c r="W317" s="149">
        <f t="shared" si="127"/>
        <v>51866</v>
      </c>
      <c r="X317" s="149">
        <f t="shared" si="127"/>
        <v>52231</v>
      </c>
      <c r="Y317" s="149">
        <f t="shared" si="127"/>
        <v>52596</v>
      </c>
      <c r="Z317" s="149">
        <f t="shared" si="127"/>
        <v>52962</v>
      </c>
    </row>
    <row r="318" spans="2:26" x14ac:dyDescent="0.2">
      <c r="B318" s="32" t="s">
        <v>767</v>
      </c>
      <c r="C318"/>
      <c r="D318"/>
      <c r="E318"/>
      <c r="F318" s="33">
        <f ca="1">+F$138</f>
        <v>0</v>
      </c>
      <c r="G318" s="33">
        <f t="shared" ref="G318:Z318" ca="1" si="128">+G$138</f>
        <v>0</v>
      </c>
      <c r="H318" s="33">
        <f t="shared" ca="1" si="128"/>
        <v>0</v>
      </c>
      <c r="I318" s="33">
        <f t="shared" ca="1" si="128"/>
        <v>11161559.888533447</v>
      </c>
      <c r="J318" s="33">
        <f t="shared" ca="1" si="128"/>
        <v>22506312.187976442</v>
      </c>
      <c r="K318" s="33">
        <f t="shared" ca="1" si="128"/>
        <v>22752875.065934889</v>
      </c>
      <c r="L318" s="33">
        <f t="shared" ca="1" si="128"/>
        <v>24578526.875471123</v>
      </c>
      <c r="M318" s="33">
        <f t="shared" ca="1" si="128"/>
        <v>24781412.193075653</v>
      </c>
      <c r="N318" s="33">
        <f t="shared" ca="1" si="128"/>
        <v>25049397.797417622</v>
      </c>
      <c r="O318" s="33">
        <f t="shared" ca="1" si="128"/>
        <v>25324938.034431577</v>
      </c>
      <c r="P318" s="33">
        <f t="shared" ca="1" si="128"/>
        <v>25549338.25486248</v>
      </c>
      <c r="Q318" s="33">
        <f t="shared" ca="1" si="128"/>
        <v>27568151.316594727</v>
      </c>
      <c r="R318" s="33">
        <f t="shared" ca="1" si="128"/>
        <v>27867682.535733871</v>
      </c>
      <c r="S318" s="33">
        <f t="shared" ca="1" si="128"/>
        <v>28115584.960395083</v>
      </c>
      <c r="T318" s="33">
        <f t="shared" ca="1" si="128"/>
        <v>28432281.565821871</v>
      </c>
      <c r="U318" s="33">
        <f t="shared" ca="1" si="128"/>
        <v>28757932.953322574</v>
      </c>
      <c r="V318" s="33">
        <f t="shared" ca="1" si="128"/>
        <v>30929811.93117993</v>
      </c>
      <c r="W318" s="33">
        <f t="shared" ca="1" si="128"/>
        <v>31274153.559437558</v>
      </c>
      <c r="X318" s="33">
        <f t="shared" ca="1" si="128"/>
        <v>31628245.893780448</v>
      </c>
      <c r="Y318" s="33">
        <f t="shared" ca="1" si="128"/>
        <v>31929852.414438207</v>
      </c>
      <c r="Z318" s="33">
        <f t="shared" ca="1" si="128"/>
        <v>32304297.148026269</v>
      </c>
    </row>
    <row r="319" spans="2:26" x14ac:dyDescent="0.2">
      <c r="B319" s="32" t="s">
        <v>768</v>
      </c>
      <c r="C319"/>
      <c r="D319"/>
      <c r="E319"/>
      <c r="F319" s="150">
        <f ca="1">+F$206</f>
        <v>0</v>
      </c>
      <c r="G319" s="150">
        <f t="shared" ref="G319:Z319" ca="1" si="129">+G$206</f>
        <v>0</v>
      </c>
      <c r="H319" s="150">
        <f t="shared" ca="1" si="129"/>
        <v>0</v>
      </c>
      <c r="I319" s="150">
        <f t="shared" ca="1" si="129"/>
        <v>214730.89300095788</v>
      </c>
      <c r="J319" s="150">
        <f t="shared" ca="1" si="129"/>
        <v>507761.97664471564</v>
      </c>
      <c r="K319" s="150">
        <f t="shared" ca="1" si="129"/>
        <v>543973.38253181055</v>
      </c>
      <c r="L319" s="150">
        <f t="shared" ca="1" si="129"/>
        <v>558284.64298444171</v>
      </c>
      <c r="M319" s="150">
        <f t="shared" ca="1" si="129"/>
        <v>569450.33584413049</v>
      </c>
      <c r="N319" s="150">
        <f t="shared" ca="1" si="129"/>
        <v>584339.77121904842</v>
      </c>
      <c r="O319" s="150">
        <f t="shared" ca="1" si="129"/>
        <v>599526.99530146434</v>
      </c>
      <c r="P319" s="150">
        <f t="shared" ca="1" si="129"/>
        <v>611517.53520749416</v>
      </c>
      <c r="Q319" s="150">
        <f t="shared" ca="1" si="129"/>
        <v>627318.32314284029</v>
      </c>
      <c r="R319" s="150">
        <f t="shared" ca="1" si="129"/>
        <v>643435.12683689257</v>
      </c>
      <c r="S319" s="150">
        <f t="shared" ca="1" si="129"/>
        <v>656303.82937363128</v>
      </c>
      <c r="T319" s="150">
        <f t="shared" ca="1" si="129"/>
        <v>673071.75193692395</v>
      </c>
      <c r="U319" s="150">
        <f t="shared" ca="1" si="129"/>
        <v>690175.03295148199</v>
      </c>
      <c r="V319" s="150">
        <f t="shared" ca="1" si="129"/>
        <v>703978.5336105118</v>
      </c>
      <c r="W319" s="150">
        <f t="shared" ca="1" si="129"/>
        <v>721772.78717805818</v>
      </c>
      <c r="X319" s="150">
        <f t="shared" ca="1" si="129"/>
        <v>739922.92581695563</v>
      </c>
      <c r="Y319" s="150">
        <f t="shared" ca="1" si="129"/>
        <v>754721.3843332947</v>
      </c>
      <c r="Z319" s="150">
        <f t="shared" ca="1" si="129"/>
        <v>773604.78857320419</v>
      </c>
    </row>
    <row r="320" spans="2:26" x14ac:dyDescent="0.2">
      <c r="B320" s="32" t="s">
        <v>769</v>
      </c>
      <c r="C320"/>
      <c r="D320"/>
      <c r="E320"/>
      <c r="F320" s="150">
        <f ca="1">+F$251</f>
        <v>0</v>
      </c>
      <c r="G320" s="150">
        <f t="shared" ref="G320:Z320" ca="1" si="130">+G$251</f>
        <v>0</v>
      </c>
      <c r="H320" s="150">
        <f t="shared" ca="1" si="130"/>
        <v>0</v>
      </c>
      <c r="I320" s="150">
        <f t="shared" ca="1" si="130"/>
        <v>1432396.7654325122</v>
      </c>
      <c r="J320" s="150">
        <f t="shared" ca="1" si="130"/>
        <v>2864793.5308650248</v>
      </c>
      <c r="K320" s="150">
        <f t="shared" ca="1" si="130"/>
        <v>2864793.5308650248</v>
      </c>
      <c r="L320" s="150">
        <f t="shared" ca="1" si="130"/>
        <v>3151272.8839515271</v>
      </c>
      <c r="M320" s="150">
        <f t="shared" ca="1" si="130"/>
        <v>3151272.8839515271</v>
      </c>
      <c r="N320" s="150">
        <f t="shared" ca="1" si="130"/>
        <v>3151272.8839515271</v>
      </c>
      <c r="O320" s="150">
        <f t="shared" ca="1" si="130"/>
        <v>3151272.8839515271</v>
      </c>
      <c r="P320" s="150">
        <f t="shared" ca="1" si="130"/>
        <v>3151272.8839515271</v>
      </c>
      <c r="Q320" s="150">
        <f t="shared" ca="1" si="130"/>
        <v>3466400.17234668</v>
      </c>
      <c r="R320" s="150">
        <f t="shared" ca="1" si="130"/>
        <v>3466400.17234668</v>
      </c>
      <c r="S320" s="150">
        <f t="shared" ca="1" si="130"/>
        <v>3466400.1723466795</v>
      </c>
      <c r="T320" s="150">
        <f t="shared" ca="1" si="130"/>
        <v>3466400.172346679</v>
      </c>
      <c r="U320" s="150">
        <f t="shared" ca="1" si="130"/>
        <v>3466400.1723466795</v>
      </c>
      <c r="V320" s="150">
        <f t="shared" ca="1" si="130"/>
        <v>3813040.1895813486</v>
      </c>
      <c r="W320" s="150">
        <f t="shared" ca="1" si="130"/>
        <v>3813040.1895813476</v>
      </c>
      <c r="X320" s="150">
        <f t="shared" ca="1" si="130"/>
        <v>3813040.1895813476</v>
      </c>
      <c r="Y320" s="150">
        <f t="shared" ca="1" si="130"/>
        <v>3813040.1895813481</v>
      </c>
      <c r="Z320" s="150">
        <f t="shared" ca="1" si="130"/>
        <v>3813040.1895813476</v>
      </c>
    </row>
    <row r="321" spans="2:26" x14ac:dyDescent="0.2">
      <c r="B321" s="137" t="s">
        <v>248</v>
      </c>
      <c r="C321" s="137"/>
      <c r="D321" s="138"/>
      <c r="E321" s="138"/>
      <c r="F321" s="138">
        <f t="shared" ref="F321:Z321" ca="1" si="131">+SUM(F318:F320)</f>
        <v>0</v>
      </c>
      <c r="G321" s="138">
        <f t="shared" ca="1" si="131"/>
        <v>0</v>
      </c>
      <c r="H321" s="138">
        <f t="shared" ca="1" si="131"/>
        <v>0</v>
      </c>
      <c r="I321" s="138">
        <f t="shared" ca="1" si="131"/>
        <v>12808687.546966918</v>
      </c>
      <c r="J321" s="138">
        <f t="shared" ca="1" si="131"/>
        <v>25878867.695486184</v>
      </c>
      <c r="K321" s="138">
        <f t="shared" ca="1" si="131"/>
        <v>26161641.979331724</v>
      </c>
      <c r="L321" s="138">
        <f t="shared" ca="1" si="131"/>
        <v>28288084.402407091</v>
      </c>
      <c r="M321" s="138">
        <f t="shared" ca="1" si="131"/>
        <v>28502135.412871309</v>
      </c>
      <c r="N321" s="138">
        <f t="shared" ca="1" si="131"/>
        <v>28785010.452588197</v>
      </c>
      <c r="O321" s="138">
        <f t="shared" ca="1" si="131"/>
        <v>29075737.913684566</v>
      </c>
      <c r="P321" s="138">
        <f t="shared" ca="1" si="131"/>
        <v>29312128.674021501</v>
      </c>
      <c r="Q321" s="138">
        <f t="shared" ca="1" si="131"/>
        <v>31661869.81208425</v>
      </c>
      <c r="R321" s="138">
        <f t="shared" ca="1" si="131"/>
        <v>31977517.834917445</v>
      </c>
      <c r="S321" s="138">
        <f t="shared" ca="1" si="131"/>
        <v>32238288.962115392</v>
      </c>
      <c r="T321" s="138">
        <f t="shared" ca="1" si="131"/>
        <v>32571753.490105473</v>
      </c>
      <c r="U321" s="138">
        <f t="shared" ca="1" si="131"/>
        <v>32914508.158620737</v>
      </c>
      <c r="V321" s="138">
        <f t="shared" ca="1" si="131"/>
        <v>35446830.654371791</v>
      </c>
      <c r="W321" s="138">
        <f t="shared" ca="1" si="131"/>
        <v>35808966.536196962</v>
      </c>
      <c r="X321" s="138">
        <f t="shared" ca="1" si="131"/>
        <v>36181209.00917875</v>
      </c>
      <c r="Y321" s="138">
        <f t="shared" ca="1" si="131"/>
        <v>36497613.98835285</v>
      </c>
      <c r="Z321" s="138">
        <f t="shared" ca="1" si="131"/>
        <v>36890942.12618082</v>
      </c>
    </row>
    <row r="323" spans="2:26" x14ac:dyDescent="0.2">
      <c r="B323" s="147" t="s">
        <v>149</v>
      </c>
      <c r="F323" s="149">
        <f>+F$294</f>
        <v>45657</v>
      </c>
      <c r="G323" s="149">
        <f t="shared" ref="G323:Z323" si="132">+G$294</f>
        <v>46022</v>
      </c>
      <c r="H323" s="149">
        <f t="shared" si="132"/>
        <v>46387</v>
      </c>
      <c r="I323" s="149">
        <f t="shared" si="132"/>
        <v>46752</v>
      </c>
      <c r="J323" s="149">
        <f t="shared" si="132"/>
        <v>47118</v>
      </c>
      <c r="K323" s="149">
        <f t="shared" si="132"/>
        <v>47483</v>
      </c>
      <c r="L323" s="149">
        <f t="shared" si="132"/>
        <v>47848</v>
      </c>
      <c r="M323" s="149">
        <f t="shared" si="132"/>
        <v>48213</v>
      </c>
      <c r="N323" s="149">
        <f t="shared" si="132"/>
        <v>48579</v>
      </c>
      <c r="O323" s="149">
        <f t="shared" si="132"/>
        <v>48944</v>
      </c>
      <c r="P323" s="149">
        <f t="shared" si="132"/>
        <v>49309</v>
      </c>
      <c r="Q323" s="149">
        <f t="shared" si="132"/>
        <v>49674</v>
      </c>
      <c r="R323" s="149">
        <f t="shared" si="132"/>
        <v>50040</v>
      </c>
      <c r="S323" s="149">
        <f t="shared" si="132"/>
        <v>50405</v>
      </c>
      <c r="T323" s="149">
        <f t="shared" si="132"/>
        <v>50770</v>
      </c>
      <c r="U323" s="149">
        <f t="shared" si="132"/>
        <v>51135</v>
      </c>
      <c r="V323" s="149">
        <f t="shared" si="132"/>
        <v>51501</v>
      </c>
      <c r="W323" s="149">
        <f t="shared" si="132"/>
        <v>51866</v>
      </c>
      <c r="X323" s="149">
        <f t="shared" si="132"/>
        <v>52231</v>
      </c>
      <c r="Y323" s="149">
        <f t="shared" si="132"/>
        <v>52596</v>
      </c>
      <c r="Z323" s="149">
        <f t="shared" si="132"/>
        <v>52962</v>
      </c>
    </row>
    <row r="324" spans="2:26" x14ac:dyDescent="0.2">
      <c r="B324" s="32" t="s">
        <v>336</v>
      </c>
      <c r="C324"/>
      <c r="D324"/>
      <c r="E324"/>
      <c r="F324" s="33">
        <f t="shared" ref="F324:Z324" si="133">+F270+F225+F155</f>
        <v>0</v>
      </c>
      <c r="G324" s="33">
        <f t="shared" si="133"/>
        <v>0</v>
      </c>
      <c r="H324" s="33">
        <f t="shared" si="133"/>
        <v>0</v>
      </c>
      <c r="I324" s="33">
        <f t="shared" si="133"/>
        <v>0</v>
      </c>
      <c r="J324" s="33">
        <f t="shared" si="133"/>
        <v>0</v>
      </c>
      <c r="K324" s="33">
        <f t="shared" si="133"/>
        <v>0</v>
      </c>
      <c r="L324" s="33">
        <f t="shared" ca="1" si="133"/>
        <v>463461713.43663049</v>
      </c>
      <c r="M324" s="33">
        <f t="shared" si="133"/>
        <v>0</v>
      </c>
      <c r="N324" s="33">
        <f t="shared" si="133"/>
        <v>0</v>
      </c>
      <c r="O324" s="33">
        <f t="shared" si="133"/>
        <v>0</v>
      </c>
      <c r="P324" s="33">
        <f t="shared" si="133"/>
        <v>0</v>
      </c>
      <c r="Q324" s="33">
        <f t="shared" si="133"/>
        <v>0</v>
      </c>
      <c r="R324" s="33">
        <f t="shared" si="133"/>
        <v>0</v>
      </c>
      <c r="S324" s="33">
        <f t="shared" si="133"/>
        <v>0</v>
      </c>
      <c r="T324" s="33">
        <f t="shared" si="133"/>
        <v>0</v>
      </c>
      <c r="U324" s="33">
        <f t="shared" si="133"/>
        <v>0</v>
      </c>
      <c r="V324" s="33">
        <f t="shared" si="133"/>
        <v>0</v>
      </c>
      <c r="W324" s="33">
        <f t="shared" si="133"/>
        <v>0</v>
      </c>
      <c r="X324" s="33">
        <f t="shared" si="133"/>
        <v>0</v>
      </c>
      <c r="Y324" s="33">
        <f t="shared" si="133"/>
        <v>0</v>
      </c>
      <c r="Z324" s="33">
        <f t="shared" si="133"/>
        <v>0</v>
      </c>
    </row>
    <row r="325" spans="2:26" x14ac:dyDescent="0.2">
      <c r="B325" s="32" t="s">
        <v>337</v>
      </c>
      <c r="F325" s="150">
        <f t="shared" ref="F325:Z325" si="134">+F271+F226+F157</f>
        <v>0</v>
      </c>
      <c r="G325" s="150">
        <f t="shared" si="134"/>
        <v>0</v>
      </c>
      <c r="H325" s="150">
        <f t="shared" si="134"/>
        <v>0</v>
      </c>
      <c r="I325" s="150">
        <f t="shared" si="134"/>
        <v>0</v>
      </c>
      <c r="J325" s="150">
        <f t="shared" si="134"/>
        <v>0</v>
      </c>
      <c r="K325" s="150">
        <f t="shared" si="134"/>
        <v>0</v>
      </c>
      <c r="L325" s="150">
        <f t="shared" ca="1" si="134"/>
        <v>-9269234.2687326111</v>
      </c>
      <c r="M325" s="150">
        <f t="shared" si="134"/>
        <v>0</v>
      </c>
      <c r="N325" s="150">
        <f t="shared" si="134"/>
        <v>0</v>
      </c>
      <c r="O325" s="150">
        <f t="shared" si="134"/>
        <v>0</v>
      </c>
      <c r="P325" s="150">
        <f t="shared" si="134"/>
        <v>0</v>
      </c>
      <c r="Q325" s="150">
        <f t="shared" si="134"/>
        <v>0</v>
      </c>
      <c r="R325" s="150">
        <f t="shared" si="134"/>
        <v>0</v>
      </c>
      <c r="S325" s="150">
        <f t="shared" si="134"/>
        <v>0</v>
      </c>
      <c r="T325" s="150">
        <f t="shared" si="134"/>
        <v>0</v>
      </c>
      <c r="U325" s="150">
        <f t="shared" si="134"/>
        <v>0</v>
      </c>
      <c r="V325" s="150">
        <f t="shared" si="134"/>
        <v>0</v>
      </c>
      <c r="W325" s="150">
        <f t="shared" si="134"/>
        <v>0</v>
      </c>
      <c r="X325" s="150">
        <f t="shared" si="134"/>
        <v>0</v>
      </c>
      <c r="Y325" s="150">
        <f t="shared" si="134"/>
        <v>0</v>
      </c>
      <c r="Z325" s="150">
        <f t="shared" si="134"/>
        <v>0</v>
      </c>
    </row>
    <row r="326" spans="2:26" x14ac:dyDescent="0.2">
      <c r="B326" s="137" t="s">
        <v>339</v>
      </c>
      <c r="C326" s="137"/>
      <c r="D326" s="138"/>
      <c r="E326" s="138"/>
      <c r="F326" s="138">
        <f>+SUM(F324:F325)</f>
        <v>0</v>
      </c>
      <c r="G326" s="138">
        <f t="shared" ref="G326:Z326" si="135">+SUM(G324:G325)</f>
        <v>0</v>
      </c>
      <c r="H326" s="138">
        <f t="shared" si="135"/>
        <v>0</v>
      </c>
      <c r="I326" s="138">
        <f t="shared" si="135"/>
        <v>0</v>
      </c>
      <c r="J326" s="138">
        <f t="shared" si="135"/>
        <v>0</v>
      </c>
      <c r="K326" s="138">
        <f t="shared" si="135"/>
        <v>0</v>
      </c>
      <c r="L326" s="138">
        <f t="shared" ca="1" si="135"/>
        <v>454192479.16789788</v>
      </c>
      <c r="M326" s="138">
        <f t="shared" si="135"/>
        <v>0</v>
      </c>
      <c r="N326" s="138">
        <f t="shared" si="135"/>
        <v>0</v>
      </c>
      <c r="O326" s="138">
        <f t="shared" si="135"/>
        <v>0</v>
      </c>
      <c r="P326" s="138">
        <f t="shared" si="135"/>
        <v>0</v>
      </c>
      <c r="Q326" s="138">
        <f t="shared" si="135"/>
        <v>0</v>
      </c>
      <c r="R326" s="138">
        <f t="shared" si="135"/>
        <v>0</v>
      </c>
      <c r="S326" s="138">
        <f t="shared" si="135"/>
        <v>0</v>
      </c>
      <c r="T326" s="138">
        <f t="shared" si="135"/>
        <v>0</v>
      </c>
      <c r="U326" s="138">
        <f t="shared" si="135"/>
        <v>0</v>
      </c>
      <c r="V326" s="138">
        <f t="shared" si="135"/>
        <v>0</v>
      </c>
      <c r="W326" s="138">
        <f t="shared" si="135"/>
        <v>0</v>
      </c>
      <c r="X326" s="138">
        <f t="shared" si="135"/>
        <v>0</v>
      </c>
      <c r="Y326" s="138">
        <f t="shared" si="135"/>
        <v>0</v>
      </c>
      <c r="Z326" s="138">
        <f t="shared" si="135"/>
        <v>0</v>
      </c>
    </row>
    <row r="328" spans="2:26" x14ac:dyDescent="0.2">
      <c r="B328" s="147" t="s">
        <v>392</v>
      </c>
      <c r="F328" s="149">
        <f t="shared" ref="F328:Z328" si="136">+F$294</f>
        <v>45657</v>
      </c>
      <c r="G328" s="149">
        <f t="shared" si="136"/>
        <v>46022</v>
      </c>
      <c r="H328" s="149">
        <f t="shared" si="136"/>
        <v>46387</v>
      </c>
      <c r="I328" s="149">
        <f t="shared" si="136"/>
        <v>46752</v>
      </c>
      <c r="J328" s="149">
        <f t="shared" si="136"/>
        <v>47118</v>
      </c>
      <c r="K328" s="149">
        <f t="shared" si="136"/>
        <v>47483</v>
      </c>
      <c r="L328" s="149">
        <f t="shared" si="136"/>
        <v>47848</v>
      </c>
      <c r="M328" s="149">
        <f t="shared" si="136"/>
        <v>48213</v>
      </c>
      <c r="N328" s="149">
        <f t="shared" si="136"/>
        <v>48579</v>
      </c>
      <c r="O328" s="149">
        <f t="shared" si="136"/>
        <v>48944</v>
      </c>
      <c r="P328" s="149">
        <f t="shared" si="136"/>
        <v>49309</v>
      </c>
      <c r="Q328" s="149">
        <f t="shared" si="136"/>
        <v>49674</v>
      </c>
      <c r="R328" s="149">
        <f t="shared" si="136"/>
        <v>50040</v>
      </c>
      <c r="S328" s="149">
        <f t="shared" si="136"/>
        <v>50405</v>
      </c>
      <c r="T328" s="149">
        <f t="shared" si="136"/>
        <v>50770</v>
      </c>
      <c r="U328" s="149">
        <f t="shared" si="136"/>
        <v>51135</v>
      </c>
      <c r="V328" s="149">
        <f t="shared" si="136"/>
        <v>51501</v>
      </c>
      <c r="W328" s="149">
        <f t="shared" si="136"/>
        <v>51866</v>
      </c>
      <c r="X328" s="149">
        <f t="shared" si="136"/>
        <v>52231</v>
      </c>
      <c r="Y328" s="149">
        <f t="shared" si="136"/>
        <v>52596</v>
      </c>
      <c r="Z328" s="149">
        <f t="shared" si="136"/>
        <v>52962</v>
      </c>
    </row>
    <row r="329" spans="2:26" x14ac:dyDescent="0.2">
      <c r="B329" s="32" t="s">
        <v>61</v>
      </c>
      <c r="D329" s="47">
        <f>+SUM(F329:Z329)</f>
        <v>9121587</v>
      </c>
      <c r="E329" s="47"/>
      <c r="F329" s="33">
        <f t="shared" ref="F329:Z329" si="137">+F285</f>
        <v>9121587</v>
      </c>
      <c r="G329" s="33">
        <f t="shared" si="137"/>
        <v>0</v>
      </c>
      <c r="H329" s="33">
        <f t="shared" si="137"/>
        <v>0</v>
      </c>
      <c r="I329" s="33">
        <f t="shared" si="137"/>
        <v>0</v>
      </c>
      <c r="J329" s="33">
        <f t="shared" si="137"/>
        <v>0</v>
      </c>
      <c r="K329" s="33">
        <f t="shared" si="137"/>
        <v>0</v>
      </c>
      <c r="L329" s="33">
        <f t="shared" si="137"/>
        <v>0</v>
      </c>
      <c r="M329" s="33">
        <f t="shared" si="137"/>
        <v>0</v>
      </c>
      <c r="N329" s="33">
        <f t="shared" si="137"/>
        <v>0</v>
      </c>
      <c r="O329" s="33">
        <f t="shared" si="137"/>
        <v>0</v>
      </c>
      <c r="P329" s="33">
        <f t="shared" si="137"/>
        <v>0</v>
      </c>
      <c r="Q329" s="33">
        <f t="shared" si="137"/>
        <v>0</v>
      </c>
      <c r="R329" s="33">
        <f t="shared" si="137"/>
        <v>0</v>
      </c>
      <c r="S329" s="33">
        <f t="shared" si="137"/>
        <v>0</v>
      </c>
      <c r="T329" s="33">
        <f t="shared" si="137"/>
        <v>0</v>
      </c>
      <c r="U329" s="33">
        <f t="shared" si="137"/>
        <v>0</v>
      </c>
      <c r="V329" s="33">
        <f t="shared" si="137"/>
        <v>0</v>
      </c>
      <c r="W329" s="33">
        <f t="shared" si="137"/>
        <v>0</v>
      </c>
      <c r="X329" s="33">
        <f t="shared" si="137"/>
        <v>0</v>
      </c>
      <c r="Y329" s="33">
        <f t="shared" si="137"/>
        <v>0</v>
      </c>
      <c r="Z329" s="33">
        <f t="shared" si="137"/>
        <v>0</v>
      </c>
    </row>
    <row r="330" spans="2:26" x14ac:dyDescent="0.2">
      <c r="B330" s="32" t="s">
        <v>8</v>
      </c>
      <c r="D330" s="47">
        <f t="shared" ref="D330:D335" si="138">+SUM(F330:Z330)</f>
        <v>33080888.234042555</v>
      </c>
      <c r="E330" s="47"/>
      <c r="F330" s="150">
        <f t="shared" ref="F330:Z330" si="139">+F286</f>
        <v>33080888.234042555</v>
      </c>
      <c r="G330" s="150">
        <f t="shared" si="139"/>
        <v>0</v>
      </c>
      <c r="H330" s="150">
        <f t="shared" si="139"/>
        <v>0</v>
      </c>
      <c r="I330" s="150">
        <f t="shared" si="139"/>
        <v>0</v>
      </c>
      <c r="J330" s="150">
        <f t="shared" si="139"/>
        <v>0</v>
      </c>
      <c r="K330" s="150">
        <f t="shared" si="139"/>
        <v>0</v>
      </c>
      <c r="L330" s="150">
        <f t="shared" si="139"/>
        <v>0</v>
      </c>
      <c r="M330" s="150">
        <f t="shared" si="139"/>
        <v>0</v>
      </c>
      <c r="N330" s="150">
        <f t="shared" si="139"/>
        <v>0</v>
      </c>
      <c r="O330" s="150">
        <f t="shared" si="139"/>
        <v>0</v>
      </c>
      <c r="P330" s="150">
        <f t="shared" si="139"/>
        <v>0</v>
      </c>
      <c r="Q330" s="150">
        <f t="shared" si="139"/>
        <v>0</v>
      </c>
      <c r="R330" s="150">
        <f t="shared" si="139"/>
        <v>0</v>
      </c>
      <c r="S330" s="150">
        <f t="shared" si="139"/>
        <v>0</v>
      </c>
      <c r="T330" s="150">
        <f t="shared" si="139"/>
        <v>0</v>
      </c>
      <c r="U330" s="150">
        <f t="shared" si="139"/>
        <v>0</v>
      </c>
      <c r="V330" s="150">
        <f t="shared" si="139"/>
        <v>0</v>
      </c>
      <c r="W330" s="150">
        <f t="shared" si="139"/>
        <v>0</v>
      </c>
      <c r="X330" s="150">
        <f t="shared" si="139"/>
        <v>0</v>
      </c>
      <c r="Y330" s="150">
        <f t="shared" si="139"/>
        <v>0</v>
      </c>
      <c r="Z330" s="150">
        <f t="shared" si="139"/>
        <v>0</v>
      </c>
    </row>
    <row r="331" spans="2:26" x14ac:dyDescent="0.2">
      <c r="B331" s="32" t="s">
        <v>57</v>
      </c>
      <c r="D331" s="47">
        <f t="shared" ca="1" si="138"/>
        <v>291051583.54014122</v>
      </c>
      <c r="E331" s="47"/>
      <c r="F331" s="150">
        <f t="shared" ref="F331:Z331" si="140">+F287</f>
        <v>0</v>
      </c>
      <c r="G331" s="150">
        <f t="shared" ca="1" si="140"/>
        <v>145525791.77007061</v>
      </c>
      <c r="H331" s="150">
        <f t="shared" ca="1" si="140"/>
        <v>145525791.77007061</v>
      </c>
      <c r="I331" s="150">
        <f t="shared" si="140"/>
        <v>0</v>
      </c>
      <c r="J331" s="150">
        <f t="shared" si="140"/>
        <v>0</v>
      </c>
      <c r="K331" s="150">
        <f t="shared" si="140"/>
        <v>0</v>
      </c>
      <c r="L331" s="150">
        <f t="shared" si="140"/>
        <v>0</v>
      </c>
      <c r="M331" s="150">
        <f t="shared" si="140"/>
        <v>0</v>
      </c>
      <c r="N331" s="150">
        <f t="shared" si="140"/>
        <v>0</v>
      </c>
      <c r="O331" s="150">
        <f t="shared" si="140"/>
        <v>0</v>
      </c>
      <c r="P331" s="150">
        <f t="shared" si="140"/>
        <v>0</v>
      </c>
      <c r="Q331" s="150">
        <f t="shared" si="140"/>
        <v>0</v>
      </c>
      <c r="R331" s="150">
        <f t="shared" si="140"/>
        <v>0</v>
      </c>
      <c r="S331" s="150">
        <f t="shared" si="140"/>
        <v>0</v>
      </c>
      <c r="T331" s="150">
        <f t="shared" si="140"/>
        <v>0</v>
      </c>
      <c r="U331" s="150">
        <f t="shared" si="140"/>
        <v>0</v>
      </c>
      <c r="V331" s="150">
        <f t="shared" si="140"/>
        <v>0</v>
      </c>
      <c r="W331" s="150">
        <f t="shared" si="140"/>
        <v>0</v>
      </c>
      <c r="X331" s="150">
        <f t="shared" si="140"/>
        <v>0</v>
      </c>
      <c r="Y331" s="150">
        <f t="shared" si="140"/>
        <v>0</v>
      </c>
      <c r="Z331" s="150">
        <f t="shared" si="140"/>
        <v>0</v>
      </c>
    </row>
    <row r="332" spans="2:26" x14ac:dyDescent="0.2">
      <c r="B332" s="32" t="s">
        <v>58</v>
      </c>
      <c r="D332" s="47">
        <f t="shared" ca="1" si="138"/>
        <v>24325045.475048773</v>
      </c>
      <c r="E332" s="47"/>
      <c r="F332" s="150">
        <f t="shared" ref="F332:Z332" ca="1" si="141">+F288</f>
        <v>13562904.091343613</v>
      </c>
      <c r="G332" s="150">
        <f t="shared" ca="1" si="141"/>
        <v>5381070.6918525798</v>
      </c>
      <c r="H332" s="150">
        <f t="shared" ca="1" si="141"/>
        <v>5381070.6918525798</v>
      </c>
      <c r="I332" s="150">
        <f t="shared" si="141"/>
        <v>0</v>
      </c>
      <c r="J332" s="150">
        <f t="shared" si="141"/>
        <v>0</v>
      </c>
      <c r="K332" s="150">
        <f t="shared" si="141"/>
        <v>0</v>
      </c>
      <c r="L332" s="150">
        <f t="shared" si="141"/>
        <v>0</v>
      </c>
      <c r="M332" s="150">
        <f t="shared" si="141"/>
        <v>0</v>
      </c>
      <c r="N332" s="150">
        <f t="shared" si="141"/>
        <v>0</v>
      </c>
      <c r="O332" s="150">
        <f t="shared" si="141"/>
        <v>0</v>
      </c>
      <c r="P332" s="150">
        <f t="shared" si="141"/>
        <v>0</v>
      </c>
      <c r="Q332" s="150">
        <f t="shared" si="141"/>
        <v>0</v>
      </c>
      <c r="R332" s="150">
        <f t="shared" si="141"/>
        <v>0</v>
      </c>
      <c r="S332" s="150">
        <f t="shared" si="141"/>
        <v>0</v>
      </c>
      <c r="T332" s="150">
        <f t="shared" si="141"/>
        <v>0</v>
      </c>
      <c r="U332" s="150">
        <f t="shared" si="141"/>
        <v>0</v>
      </c>
      <c r="V332" s="150">
        <f t="shared" si="141"/>
        <v>0</v>
      </c>
      <c r="W332" s="150">
        <f t="shared" si="141"/>
        <v>0</v>
      </c>
      <c r="X332" s="150">
        <f t="shared" si="141"/>
        <v>0</v>
      </c>
      <c r="Y332" s="150">
        <f t="shared" si="141"/>
        <v>0</v>
      </c>
      <c r="Z332" s="150">
        <f t="shared" si="141"/>
        <v>0</v>
      </c>
    </row>
    <row r="333" spans="2:26" x14ac:dyDescent="0.2">
      <c r="B333" s="32" t="s">
        <v>80</v>
      </c>
      <c r="D333" s="47">
        <f t="shared" si="138"/>
        <v>0</v>
      </c>
      <c r="E333" s="47"/>
      <c r="F333" s="150">
        <v>0</v>
      </c>
      <c r="G333" s="150">
        <v>0</v>
      </c>
      <c r="H333" s="150">
        <v>0</v>
      </c>
      <c r="I333" s="150">
        <v>0</v>
      </c>
      <c r="J333" s="150">
        <v>0</v>
      </c>
      <c r="K333" s="150">
        <v>0</v>
      </c>
      <c r="L333" s="150">
        <v>0</v>
      </c>
      <c r="M333" s="150">
        <v>0</v>
      </c>
      <c r="N333" s="150">
        <v>0</v>
      </c>
      <c r="O333" s="150">
        <v>0</v>
      </c>
      <c r="P333" s="150">
        <v>0</v>
      </c>
      <c r="Q333" s="150">
        <v>0</v>
      </c>
      <c r="R333" s="150">
        <v>0</v>
      </c>
      <c r="S333" s="150">
        <v>0</v>
      </c>
      <c r="T333" s="150">
        <v>0</v>
      </c>
      <c r="U333" s="150">
        <v>0</v>
      </c>
      <c r="V333" s="150">
        <v>0</v>
      </c>
      <c r="W333" s="150">
        <v>0</v>
      </c>
      <c r="X333" s="150">
        <v>0</v>
      </c>
      <c r="Y333" s="150">
        <v>0</v>
      </c>
      <c r="Z333" s="150">
        <v>0</v>
      </c>
    </row>
    <row r="334" spans="2:26" x14ac:dyDescent="0.2">
      <c r="B334" s="32" t="s">
        <v>83</v>
      </c>
      <c r="D334" s="47">
        <f t="shared" ca="1" si="138"/>
        <v>791069.26670236117</v>
      </c>
      <c r="E334" s="47"/>
      <c r="F334" s="150">
        <f t="shared" ref="F334:Z334" si="142">+F290</f>
        <v>0</v>
      </c>
      <c r="G334" s="150">
        <f t="shared" ca="1" si="142"/>
        <v>395534.63335118059</v>
      </c>
      <c r="H334" s="150">
        <f t="shared" ca="1" si="142"/>
        <v>395534.63335118059</v>
      </c>
      <c r="I334" s="150">
        <f t="shared" si="142"/>
        <v>0</v>
      </c>
      <c r="J334" s="150">
        <f t="shared" si="142"/>
        <v>0</v>
      </c>
      <c r="K334" s="150">
        <f t="shared" si="142"/>
        <v>0</v>
      </c>
      <c r="L334" s="150">
        <f t="shared" si="142"/>
        <v>0</v>
      </c>
      <c r="M334" s="150">
        <f t="shared" si="142"/>
        <v>0</v>
      </c>
      <c r="N334" s="150">
        <f t="shared" si="142"/>
        <v>0</v>
      </c>
      <c r="O334" s="150">
        <f t="shared" si="142"/>
        <v>0</v>
      </c>
      <c r="P334" s="150">
        <f t="shared" si="142"/>
        <v>0</v>
      </c>
      <c r="Q334" s="150">
        <f t="shared" si="142"/>
        <v>0</v>
      </c>
      <c r="R334" s="150">
        <f t="shared" si="142"/>
        <v>0</v>
      </c>
      <c r="S334" s="150">
        <f t="shared" si="142"/>
        <v>0</v>
      </c>
      <c r="T334" s="150">
        <f t="shared" si="142"/>
        <v>0</v>
      </c>
      <c r="U334" s="150">
        <f t="shared" si="142"/>
        <v>0</v>
      </c>
      <c r="V334" s="150">
        <f t="shared" si="142"/>
        <v>0</v>
      </c>
      <c r="W334" s="150">
        <f t="shared" si="142"/>
        <v>0</v>
      </c>
      <c r="X334" s="150">
        <f t="shared" si="142"/>
        <v>0</v>
      </c>
      <c r="Y334" s="150">
        <f t="shared" si="142"/>
        <v>0</v>
      </c>
      <c r="Z334" s="150">
        <f t="shared" si="142"/>
        <v>0</v>
      </c>
    </row>
    <row r="335" spans="2:26" x14ac:dyDescent="0.2">
      <c r="B335" s="32" t="s">
        <v>60</v>
      </c>
      <c r="D335" s="47">
        <f t="shared" ca="1" si="138"/>
        <v>11311824.592347085</v>
      </c>
      <c r="E335" s="47"/>
      <c r="F335" s="150">
        <f t="shared" ref="F335:Z335" ca="1" si="143">+F291</f>
        <v>0</v>
      </c>
      <c r="G335" s="150">
        <f t="shared" ca="1" si="143"/>
        <v>2827956.1480867714</v>
      </c>
      <c r="H335" s="150">
        <f t="shared" ca="1" si="143"/>
        <v>2827956.1480867714</v>
      </c>
      <c r="I335" s="150">
        <f t="shared" ca="1" si="143"/>
        <v>2827956.1480867714</v>
      </c>
      <c r="J335" s="150">
        <f t="shared" ca="1" si="143"/>
        <v>2827956.1480867714</v>
      </c>
      <c r="K335" s="150">
        <f t="shared" si="143"/>
        <v>0</v>
      </c>
      <c r="L335" s="150">
        <f t="shared" si="143"/>
        <v>0</v>
      </c>
      <c r="M335" s="150">
        <f t="shared" si="143"/>
        <v>0</v>
      </c>
      <c r="N335" s="150">
        <f t="shared" si="143"/>
        <v>0</v>
      </c>
      <c r="O335" s="150">
        <f t="shared" si="143"/>
        <v>0</v>
      </c>
      <c r="P335" s="150">
        <f t="shared" si="143"/>
        <v>0</v>
      </c>
      <c r="Q335" s="150">
        <f t="shared" si="143"/>
        <v>0</v>
      </c>
      <c r="R335" s="150">
        <f t="shared" si="143"/>
        <v>0</v>
      </c>
      <c r="S335" s="150">
        <f t="shared" si="143"/>
        <v>0</v>
      </c>
      <c r="T335" s="150">
        <f t="shared" si="143"/>
        <v>0</v>
      </c>
      <c r="U335" s="150">
        <f t="shared" si="143"/>
        <v>0</v>
      </c>
      <c r="V335" s="150">
        <f t="shared" si="143"/>
        <v>0</v>
      </c>
      <c r="W335" s="150">
        <f t="shared" si="143"/>
        <v>0</v>
      </c>
      <c r="X335" s="150">
        <f t="shared" si="143"/>
        <v>0</v>
      </c>
      <c r="Y335" s="150">
        <f t="shared" si="143"/>
        <v>0</v>
      </c>
      <c r="Z335" s="150">
        <f t="shared" si="143"/>
        <v>0</v>
      </c>
    </row>
    <row r="336" spans="2:26" x14ac:dyDescent="0.2">
      <c r="B336" s="137" t="s">
        <v>20</v>
      </c>
      <c r="C336" s="137"/>
      <c r="D336" s="138">
        <f ca="1">+SUM(F336:Z336)</f>
        <v>369681998.10828197</v>
      </c>
      <c r="E336" s="138"/>
      <c r="F336" s="138">
        <f ca="1">+SUM(F329:F335)</f>
        <v>55765379.325386167</v>
      </c>
      <c r="G336" s="138">
        <f t="shared" ref="G336:Z336" ca="1" si="144">+SUM(G329:G335)</f>
        <v>154130353.24336112</v>
      </c>
      <c r="H336" s="138">
        <f t="shared" ca="1" si="144"/>
        <v>154130353.24336112</v>
      </c>
      <c r="I336" s="138">
        <f t="shared" ca="1" si="144"/>
        <v>2827956.1480867714</v>
      </c>
      <c r="J336" s="138">
        <f t="shared" ca="1" si="144"/>
        <v>2827956.1480867714</v>
      </c>
      <c r="K336" s="138">
        <f t="shared" si="144"/>
        <v>0</v>
      </c>
      <c r="L336" s="138">
        <f t="shared" si="144"/>
        <v>0</v>
      </c>
      <c r="M336" s="138">
        <f t="shared" si="144"/>
        <v>0</v>
      </c>
      <c r="N336" s="138">
        <f t="shared" si="144"/>
        <v>0</v>
      </c>
      <c r="O336" s="138">
        <f t="shared" si="144"/>
        <v>0</v>
      </c>
      <c r="P336" s="138">
        <f t="shared" si="144"/>
        <v>0</v>
      </c>
      <c r="Q336" s="138">
        <f t="shared" si="144"/>
        <v>0</v>
      </c>
      <c r="R336" s="138">
        <f t="shared" si="144"/>
        <v>0</v>
      </c>
      <c r="S336" s="138">
        <f t="shared" si="144"/>
        <v>0</v>
      </c>
      <c r="T336" s="138">
        <f t="shared" si="144"/>
        <v>0</v>
      </c>
      <c r="U336" s="138">
        <f t="shared" si="144"/>
        <v>0</v>
      </c>
      <c r="V336" s="138">
        <f t="shared" si="144"/>
        <v>0</v>
      </c>
      <c r="W336" s="138">
        <f t="shared" si="144"/>
        <v>0</v>
      </c>
      <c r="X336" s="138">
        <f t="shared" si="144"/>
        <v>0</v>
      </c>
      <c r="Y336" s="138">
        <f t="shared" si="144"/>
        <v>0</v>
      </c>
      <c r="Z336" s="138">
        <f t="shared" si="144"/>
        <v>0</v>
      </c>
    </row>
    <row r="338" spans="2:26" x14ac:dyDescent="0.2">
      <c r="B338" s="147" t="s">
        <v>347</v>
      </c>
      <c r="F338" s="149">
        <f t="shared" ref="F338" si="145">+F$294</f>
        <v>45657</v>
      </c>
      <c r="G338" s="149">
        <f>+EOMONTH(F338,12)</f>
        <v>46022</v>
      </c>
      <c r="H338" s="149">
        <f t="shared" ref="H338:Z338" si="146">+EOMONTH(G338,12)</f>
        <v>46387</v>
      </c>
      <c r="I338" s="149">
        <f t="shared" si="146"/>
        <v>46752</v>
      </c>
      <c r="J338" s="149">
        <f t="shared" si="146"/>
        <v>47118</v>
      </c>
      <c r="K338" s="149">
        <f t="shared" si="146"/>
        <v>47483</v>
      </c>
      <c r="L338" s="149">
        <f t="shared" si="146"/>
        <v>47848</v>
      </c>
      <c r="M338" s="149">
        <f t="shared" si="146"/>
        <v>48213</v>
      </c>
      <c r="N338" s="149">
        <f t="shared" si="146"/>
        <v>48579</v>
      </c>
      <c r="O338" s="149">
        <f t="shared" si="146"/>
        <v>48944</v>
      </c>
      <c r="P338" s="149">
        <f t="shared" si="146"/>
        <v>49309</v>
      </c>
      <c r="Q338" s="149">
        <f t="shared" si="146"/>
        <v>49674</v>
      </c>
      <c r="R338" s="149">
        <f t="shared" si="146"/>
        <v>50040</v>
      </c>
      <c r="S338" s="149">
        <f t="shared" si="146"/>
        <v>50405</v>
      </c>
      <c r="T338" s="149">
        <f t="shared" si="146"/>
        <v>50770</v>
      </c>
      <c r="U338" s="149">
        <f t="shared" si="146"/>
        <v>51135</v>
      </c>
      <c r="V338" s="149">
        <f t="shared" si="146"/>
        <v>51501</v>
      </c>
      <c r="W338" s="149">
        <f t="shared" si="146"/>
        <v>51866</v>
      </c>
      <c r="X338" s="149">
        <f t="shared" si="146"/>
        <v>52231</v>
      </c>
      <c r="Y338" s="149">
        <f t="shared" si="146"/>
        <v>52596</v>
      </c>
      <c r="Z338" s="149">
        <f t="shared" si="146"/>
        <v>52962</v>
      </c>
    </row>
    <row r="339" spans="2:26" x14ac:dyDescent="0.2">
      <c r="B339" s="32" t="s">
        <v>29</v>
      </c>
      <c r="D339" s="47">
        <f ca="1">+D336-SUM(D296:D298,D301)</f>
        <v>289244734.71817976</v>
      </c>
      <c r="E339" s="47"/>
      <c r="F339" s="33">
        <f ca="1">+MIN($D$339-SUM('Phase III Pro Forma'!$E339:E339),'Phase III Pro Forma'!F$336)</f>
        <v>55765379.325386167</v>
      </c>
      <c r="G339" s="33">
        <f ca="1">+MIN($D$339-SUM('Phase III Pro Forma'!$E339:F339),'Phase III Pro Forma'!G$336)</f>
        <v>154130353.24336112</v>
      </c>
      <c r="H339" s="33">
        <f ca="1">+MIN($D$339-SUM('Phase III Pro Forma'!$E339:G339),'Phase III Pro Forma'!H$336)</f>
        <v>79349002.14943248</v>
      </c>
      <c r="I339" s="33">
        <f ca="1">+MIN($D$339-SUM('Phase III Pro Forma'!$E339:H339),'Phase III Pro Forma'!I$336)</f>
        <v>0</v>
      </c>
      <c r="J339" s="33">
        <f ca="1">+MIN($D$339-SUM('Phase III Pro Forma'!$E339:I339),'Phase III Pro Forma'!J$336)</f>
        <v>0</v>
      </c>
      <c r="K339" s="33">
        <f ca="1">+MIN($D$339-SUM('Phase III Pro Forma'!$E339:J339),'Phase III Pro Forma'!K$336)</f>
        <v>0</v>
      </c>
      <c r="L339" s="33">
        <f ca="1">+MIN($D$339-SUM('Phase III Pro Forma'!$E339:K339),'Phase III Pro Forma'!L$336)</f>
        <v>0</v>
      </c>
      <c r="M339" s="33">
        <f ca="1">+MIN($D$339-SUM('Phase III Pro Forma'!$E339:L339),'Phase III Pro Forma'!M$336)</f>
        <v>0</v>
      </c>
      <c r="N339" s="33">
        <f ca="1">+MIN($D$339-SUM('Phase III Pro Forma'!$E339:M339),'Phase III Pro Forma'!N$336)</f>
        <v>0</v>
      </c>
      <c r="O339" s="33">
        <f ca="1">+MIN($D$339-SUM('Phase III Pro Forma'!$E339:N339),'Phase III Pro Forma'!O$336)</f>
        <v>0</v>
      </c>
      <c r="P339" s="33">
        <f ca="1">+MIN($D$339-SUM('Phase III Pro Forma'!$E339:O339),'Phase III Pro Forma'!P$336)</f>
        <v>0</v>
      </c>
      <c r="Q339" s="33">
        <f ca="1">+MIN($D$339-SUM('Phase III Pro Forma'!$E339:P339),'Phase III Pro Forma'!Q$336)</f>
        <v>0</v>
      </c>
      <c r="R339" s="33">
        <f ca="1">+MIN($D$339-SUM('Phase III Pro Forma'!$E339:Q339),'Phase III Pro Forma'!R$336)</f>
        <v>0</v>
      </c>
      <c r="S339" s="33">
        <f ca="1">+MIN($D$339-SUM('Phase III Pro Forma'!$E339:R339),'Phase III Pro Forma'!S$336)</f>
        <v>0</v>
      </c>
      <c r="T339" s="33">
        <f ca="1">+MIN($D$339-SUM('Phase III Pro Forma'!$E339:S339),'Phase III Pro Forma'!T$336)</f>
        <v>0</v>
      </c>
      <c r="U339" s="33">
        <f ca="1">+MIN($D$339-SUM('Phase III Pro Forma'!$E339:T339),'Phase III Pro Forma'!U$336)</f>
        <v>0</v>
      </c>
      <c r="V339" s="33">
        <f ca="1">+MIN($D$339-SUM('Phase III Pro Forma'!$E339:U339),'Phase III Pro Forma'!V$336)</f>
        <v>0</v>
      </c>
      <c r="W339" s="33">
        <f ca="1">+MIN($D$339-SUM('Phase III Pro Forma'!$E339:V339),'Phase III Pro Forma'!W$336)</f>
        <v>0</v>
      </c>
      <c r="X339" s="33">
        <f ca="1">+MIN($D$339-SUM('Phase III Pro Forma'!$E339:W339),'Phase III Pro Forma'!X$336)</f>
        <v>0</v>
      </c>
      <c r="Y339" s="33">
        <f ca="1">+MIN($D$339-SUM('Phase III Pro Forma'!$E339:X339),'Phase III Pro Forma'!Y$336)</f>
        <v>0</v>
      </c>
      <c r="Z339" s="33">
        <f ca="1">+MIN($D$339-SUM('Phase III Pro Forma'!$E339:Y339),'Phase III Pro Forma'!Z$336)</f>
        <v>0</v>
      </c>
    </row>
    <row r="340" spans="2:26" x14ac:dyDescent="0.2">
      <c r="B340" s="32" t="s">
        <v>326</v>
      </c>
      <c r="D340" s="47">
        <f t="shared" ref="D340:D346" ca="1" si="147">+SUM(F340:Z340)</f>
        <v>0</v>
      </c>
      <c r="E340" s="47"/>
      <c r="F340" s="150">
        <f ca="1">+MIN('S&amp;U'!$J19-SUM('Phase III Pro Forma'!$E340:E340),'Phase III Pro Forma'!F$336-SUM(F$339:F339))</f>
        <v>0</v>
      </c>
      <c r="G340" s="150">
        <f ca="1">+MIN('S&amp;U'!$J19-SUM('Phase III Pro Forma'!$E340:F340),'Phase III Pro Forma'!G$336-SUM(G$339:G339))</f>
        <v>0</v>
      </c>
      <c r="H340" s="150">
        <f ca="1">+MIN('S&amp;U'!$J19-SUM('Phase III Pro Forma'!$E340:G340),'Phase III Pro Forma'!H$336-SUM(H$339:H339))</f>
        <v>0</v>
      </c>
      <c r="I340" s="150">
        <f ca="1">+MIN('S&amp;U'!$J19-SUM('Phase III Pro Forma'!$E340:H340),'Phase III Pro Forma'!I$336-SUM(I$339:I339))</f>
        <v>0</v>
      </c>
      <c r="J340" s="150">
        <f ca="1">+MIN('S&amp;U'!$J19-SUM('Phase III Pro Forma'!$E340:I340),'Phase III Pro Forma'!J$336-SUM(J$339:J339))</f>
        <v>0</v>
      </c>
      <c r="K340" s="150">
        <f ca="1">+MIN('S&amp;U'!$J19-SUM('Phase III Pro Forma'!$E340:J340),'Phase III Pro Forma'!K$336-SUM(K$339:K339))</f>
        <v>0</v>
      </c>
      <c r="L340" s="150">
        <f ca="1">+MIN('S&amp;U'!$J19-SUM('Phase III Pro Forma'!$E340:K340),'Phase III Pro Forma'!L$336-SUM(L$339:L339))</f>
        <v>0</v>
      </c>
      <c r="M340" s="150">
        <f ca="1">+MIN('S&amp;U'!$J19-SUM('Phase III Pro Forma'!$E340:L340),'Phase III Pro Forma'!M$336-SUM(M$339:M339))</f>
        <v>0</v>
      </c>
      <c r="N340" s="150">
        <f ca="1">+MIN('S&amp;U'!$J19-SUM('Phase III Pro Forma'!$E340:M340),'Phase III Pro Forma'!N$336-SUM(N$339:N339))</f>
        <v>0</v>
      </c>
      <c r="O340" s="150">
        <f ca="1">+MIN('S&amp;U'!$J19-SUM('Phase III Pro Forma'!$E340:N340),'Phase III Pro Forma'!O$336-SUM(O$339:O339))</f>
        <v>0</v>
      </c>
      <c r="P340" s="150">
        <f ca="1">+MIN('S&amp;U'!$J19-SUM('Phase III Pro Forma'!$E340:O340),'Phase III Pro Forma'!P$336-SUM(P$339:P339))</f>
        <v>0</v>
      </c>
      <c r="Q340" s="150">
        <f ca="1">+MIN('S&amp;U'!$J19-SUM('Phase III Pro Forma'!$E340:P340),'Phase III Pro Forma'!Q$336-SUM(Q$339:Q339))</f>
        <v>0</v>
      </c>
      <c r="R340" s="150">
        <f ca="1">+MIN('S&amp;U'!$J19-SUM('Phase III Pro Forma'!$E340:Q340),'Phase III Pro Forma'!R$336-SUM(R$339:R339))</f>
        <v>0</v>
      </c>
      <c r="S340" s="150">
        <f ca="1">+MIN('S&amp;U'!$J19-SUM('Phase III Pro Forma'!$E340:R340),'Phase III Pro Forma'!S$336-SUM(S$339:S339))</f>
        <v>0</v>
      </c>
      <c r="T340" s="150">
        <f ca="1">+MIN('S&amp;U'!$J19-SUM('Phase III Pro Forma'!$E340:S340),'Phase III Pro Forma'!T$336-SUM(T$339:T339))</f>
        <v>0</v>
      </c>
      <c r="U340" s="150">
        <f ca="1">+MIN('S&amp;U'!$J19-SUM('Phase III Pro Forma'!$E340:T340),'Phase III Pro Forma'!U$336-SUM(U$339:U339))</f>
        <v>0</v>
      </c>
      <c r="V340" s="150">
        <f ca="1">+MIN('S&amp;U'!$J19-SUM('Phase III Pro Forma'!$E340:U340),'Phase III Pro Forma'!V$336-SUM(V$339:V339))</f>
        <v>0</v>
      </c>
      <c r="W340" s="150">
        <f ca="1">+MIN('S&amp;U'!$J19-SUM('Phase III Pro Forma'!$E340:V340),'Phase III Pro Forma'!W$336-SUM(W$339:W339))</f>
        <v>0</v>
      </c>
      <c r="X340" s="150">
        <f ca="1">+MIN('S&amp;U'!$J19-SUM('Phase III Pro Forma'!$E340:W340),'Phase III Pro Forma'!X$336-SUM(X$339:X339))</f>
        <v>0</v>
      </c>
      <c r="Y340" s="150">
        <f ca="1">+MIN('S&amp;U'!$J19-SUM('Phase III Pro Forma'!$E340:X340),'Phase III Pro Forma'!Y$336-SUM(Y$339:Y339))</f>
        <v>0</v>
      </c>
      <c r="Z340" s="150">
        <f ca="1">+MIN('S&amp;U'!$J19-SUM('Phase III Pro Forma'!$E340:Y340),'Phase III Pro Forma'!Z$336-SUM(Z$339:Z339))</f>
        <v>0</v>
      </c>
    </row>
    <row r="341" spans="2:26" x14ac:dyDescent="0.2">
      <c r="B341" s="32" t="s">
        <v>99</v>
      </c>
      <c r="D341" s="47">
        <f t="shared" ca="1" si="147"/>
        <v>10625026.803841824</v>
      </c>
      <c r="E341" s="47"/>
      <c r="F341" s="150">
        <f ca="1">+MIN('S&amp;U'!$J20-SUM('Phase III Pro Forma'!$E341:E341),'Phase III Pro Forma'!F$336-SUM(F$339:F340))</f>
        <v>0</v>
      </c>
      <c r="G341" s="150">
        <f ca="1">+MIN('S&amp;U'!$J20-SUM('Phase III Pro Forma'!$E341:F341),'Phase III Pro Forma'!G$336-SUM(G$339:G340))</f>
        <v>0</v>
      </c>
      <c r="H341" s="150">
        <f ca="1">+MIN('S&amp;U'!$J20-SUM('Phase III Pro Forma'!$E341:G341),'Phase III Pro Forma'!H$336-SUM(H$339:H340))</f>
        <v>10625026.803841824</v>
      </c>
      <c r="I341" s="150">
        <f ca="1">+MIN('S&amp;U'!$J20-SUM('Phase III Pro Forma'!$E341:H341),'Phase III Pro Forma'!I$336-SUM(I$339:I340))</f>
        <v>0</v>
      </c>
      <c r="J341" s="150">
        <f ca="1">+MIN('S&amp;U'!$J20-SUM('Phase III Pro Forma'!$E341:I341),'Phase III Pro Forma'!J$336-SUM(J$339:J340))</f>
        <v>0</v>
      </c>
      <c r="K341" s="150">
        <f ca="1">+MIN('S&amp;U'!$J20-SUM('Phase III Pro Forma'!$E341:J341),'Phase III Pro Forma'!K$336-SUM(K$339:K340))</f>
        <v>0</v>
      </c>
      <c r="L341" s="150">
        <f ca="1">+MIN('S&amp;U'!$J20-SUM('Phase III Pro Forma'!$E341:K341),'Phase III Pro Forma'!L$336-SUM(L$339:L340))</f>
        <v>0</v>
      </c>
      <c r="M341" s="150">
        <f ca="1">+MIN('S&amp;U'!$J20-SUM('Phase III Pro Forma'!$E341:L341),'Phase III Pro Forma'!M$336-SUM(M$339:M340))</f>
        <v>0</v>
      </c>
      <c r="N341" s="150">
        <f ca="1">+MIN('S&amp;U'!$J20-SUM('Phase III Pro Forma'!$E341:M341),'Phase III Pro Forma'!N$336-SUM(N$339:N340))</f>
        <v>0</v>
      </c>
      <c r="O341" s="150">
        <f ca="1">+MIN('S&amp;U'!$J20-SUM('Phase III Pro Forma'!$E341:N341),'Phase III Pro Forma'!O$336-SUM(O$339:O340))</f>
        <v>0</v>
      </c>
      <c r="P341" s="150">
        <f ca="1">+MIN('S&amp;U'!$J20-SUM('Phase III Pro Forma'!$E341:O341),'Phase III Pro Forma'!P$336-SUM(P$339:P340))</f>
        <v>0</v>
      </c>
      <c r="Q341" s="150">
        <f ca="1">+MIN('S&amp;U'!$J20-SUM('Phase III Pro Forma'!$E341:P341),'Phase III Pro Forma'!Q$336-SUM(Q$339:Q340))</f>
        <v>0</v>
      </c>
      <c r="R341" s="150">
        <f ca="1">+MIN('S&amp;U'!$J20-SUM('Phase III Pro Forma'!$E341:Q341),'Phase III Pro Forma'!R$336-SUM(R$339:R340))</f>
        <v>0</v>
      </c>
      <c r="S341" s="150">
        <f ca="1">+MIN('S&amp;U'!$J20-SUM('Phase III Pro Forma'!$E341:R341),'Phase III Pro Forma'!S$336-SUM(S$339:S340))</f>
        <v>0</v>
      </c>
      <c r="T341" s="150">
        <f ca="1">+MIN('S&amp;U'!$J20-SUM('Phase III Pro Forma'!$E341:S341),'Phase III Pro Forma'!T$336-SUM(T$339:T340))</f>
        <v>0</v>
      </c>
      <c r="U341" s="150">
        <f ca="1">+MIN('S&amp;U'!$J20-SUM('Phase III Pro Forma'!$E341:T341),'Phase III Pro Forma'!U$336-SUM(U$339:U340))</f>
        <v>0</v>
      </c>
      <c r="V341" s="150">
        <f ca="1">+MIN('S&amp;U'!$J20-SUM('Phase III Pro Forma'!$E341:U341),'Phase III Pro Forma'!V$336-SUM(V$339:V340))</f>
        <v>0</v>
      </c>
      <c r="W341" s="150">
        <f ca="1">+MIN('S&amp;U'!$J20-SUM('Phase III Pro Forma'!$E341:V341),'Phase III Pro Forma'!W$336-SUM(W$339:W340))</f>
        <v>0</v>
      </c>
      <c r="X341" s="150">
        <f ca="1">+MIN('S&amp;U'!$J20-SUM('Phase III Pro Forma'!$E341:W341),'Phase III Pro Forma'!X$336-SUM(X$339:X340))</f>
        <v>0</v>
      </c>
      <c r="Y341" s="150">
        <f ca="1">+MIN('S&amp;U'!$J20-SUM('Phase III Pro Forma'!$E341:X341),'Phase III Pro Forma'!Y$336-SUM(Y$339:Y340))</f>
        <v>0</v>
      </c>
      <c r="Z341" s="150">
        <f ca="1">+MIN('S&amp;U'!$J20-SUM('Phase III Pro Forma'!$E341:Y341),'Phase III Pro Forma'!Z$336-SUM(Z$339:Z340))</f>
        <v>0</v>
      </c>
    </row>
    <row r="342" spans="2:26" x14ac:dyDescent="0.2">
      <c r="B342" s="32" t="s">
        <v>100</v>
      </c>
      <c r="D342" s="47">
        <f t="shared" ca="1" si="147"/>
        <v>5538000</v>
      </c>
      <c r="E342" s="47"/>
      <c r="F342" s="150">
        <f ca="1">+MIN('S&amp;U'!$J21-SUM('Phase III Pro Forma'!$E342:E342),'Phase III Pro Forma'!F$336-SUM(F$339:F341))</f>
        <v>0</v>
      </c>
      <c r="G342" s="150">
        <f ca="1">+MIN('S&amp;U'!$J21-SUM('Phase III Pro Forma'!$E342:F342),'Phase III Pro Forma'!G$336-SUM(G$339:G341))</f>
        <v>0</v>
      </c>
      <c r="H342" s="150">
        <f ca="1">+MIN('S&amp;U'!$J21-SUM('Phase III Pro Forma'!$E342:G342),'Phase III Pro Forma'!H$336-SUM(H$339:H341))</f>
        <v>5538000</v>
      </c>
      <c r="I342" s="150">
        <f ca="1">+MIN('S&amp;U'!$J21-SUM('Phase III Pro Forma'!$E342:H342),'Phase III Pro Forma'!I$336-SUM(I$339:I341))</f>
        <v>0</v>
      </c>
      <c r="J342" s="150">
        <f ca="1">+MIN('S&amp;U'!$J21-SUM('Phase III Pro Forma'!$E342:I342),'Phase III Pro Forma'!J$336-SUM(J$339:J341))</f>
        <v>0</v>
      </c>
      <c r="K342" s="150">
        <f ca="1">+MIN('S&amp;U'!$J21-SUM('Phase III Pro Forma'!$E342:J342),'Phase III Pro Forma'!K$336-SUM(K$339:K341))</f>
        <v>0</v>
      </c>
      <c r="L342" s="150">
        <f ca="1">+MIN('S&amp;U'!$J21-SUM('Phase III Pro Forma'!$E342:K342),'Phase III Pro Forma'!L$336-SUM(L$339:L341))</f>
        <v>0</v>
      </c>
      <c r="M342" s="150">
        <f ca="1">+MIN('S&amp;U'!$J21-SUM('Phase III Pro Forma'!$E342:L342),'Phase III Pro Forma'!M$336-SUM(M$339:M341))</f>
        <v>0</v>
      </c>
      <c r="N342" s="150">
        <f ca="1">+MIN('S&amp;U'!$J21-SUM('Phase III Pro Forma'!$E342:M342),'Phase III Pro Forma'!N$336-SUM(N$339:N341))</f>
        <v>0</v>
      </c>
      <c r="O342" s="150">
        <f ca="1">+MIN('S&amp;U'!$J21-SUM('Phase III Pro Forma'!$E342:N342),'Phase III Pro Forma'!O$336-SUM(O$339:O341))</f>
        <v>0</v>
      </c>
      <c r="P342" s="150">
        <f ca="1">+MIN('S&amp;U'!$J21-SUM('Phase III Pro Forma'!$E342:O342),'Phase III Pro Forma'!P$336-SUM(P$339:P341))</f>
        <v>0</v>
      </c>
      <c r="Q342" s="150">
        <f ca="1">+MIN('S&amp;U'!$J21-SUM('Phase III Pro Forma'!$E342:P342),'Phase III Pro Forma'!Q$336-SUM(Q$339:Q341))</f>
        <v>0</v>
      </c>
      <c r="R342" s="150">
        <f ca="1">+MIN('S&amp;U'!$J21-SUM('Phase III Pro Forma'!$E342:Q342),'Phase III Pro Forma'!R$336-SUM(R$339:R341))</f>
        <v>0</v>
      </c>
      <c r="S342" s="150">
        <f ca="1">+MIN('S&amp;U'!$J21-SUM('Phase III Pro Forma'!$E342:R342),'Phase III Pro Forma'!S$336-SUM(S$339:S341))</f>
        <v>0</v>
      </c>
      <c r="T342" s="150">
        <f ca="1">+MIN('S&amp;U'!$J21-SUM('Phase III Pro Forma'!$E342:S342),'Phase III Pro Forma'!T$336-SUM(T$339:T341))</f>
        <v>0</v>
      </c>
      <c r="U342" s="150">
        <f ca="1">+MIN('S&amp;U'!$J21-SUM('Phase III Pro Forma'!$E342:T342),'Phase III Pro Forma'!U$336-SUM(U$339:U341))</f>
        <v>0</v>
      </c>
      <c r="V342" s="150">
        <f ca="1">+MIN('S&amp;U'!$J21-SUM('Phase III Pro Forma'!$E342:U342),'Phase III Pro Forma'!V$336-SUM(V$339:V341))</f>
        <v>0</v>
      </c>
      <c r="W342" s="150">
        <f ca="1">+MIN('S&amp;U'!$J21-SUM('Phase III Pro Forma'!$E342:V342),'Phase III Pro Forma'!W$336-SUM(W$339:W341))</f>
        <v>0</v>
      </c>
      <c r="X342" s="150">
        <f ca="1">+MIN('S&amp;U'!$J21-SUM('Phase III Pro Forma'!$E342:W342),'Phase III Pro Forma'!X$336-SUM(X$339:X341))</f>
        <v>0</v>
      </c>
      <c r="Y342" s="150">
        <f ca="1">+MIN('S&amp;U'!$J21-SUM('Phase III Pro Forma'!$E342:X342),'Phase III Pro Forma'!Y$336-SUM(Y$339:Y341))</f>
        <v>0</v>
      </c>
      <c r="Z342" s="150">
        <f ca="1">+MIN('S&amp;U'!$J21-SUM('Phase III Pro Forma'!$E342:Y342),'Phase III Pro Forma'!Z$336-SUM(Z$339:Z341))</f>
        <v>0</v>
      </c>
    </row>
    <row r="343" spans="2:26" x14ac:dyDescent="0.2">
      <c r="B343" s="32" t="s">
        <v>613</v>
      </c>
      <c r="D343" s="47">
        <f t="shared" ref="D343" ca="1" si="148">+SUM(F343:Z343)</f>
        <v>0</v>
      </c>
      <c r="E343" s="47"/>
      <c r="F343" s="150">
        <f ca="1">+MIN('S&amp;U'!$J22-SUM('Phase III Pro Forma'!$E343:E343),'Phase III Pro Forma'!F$336-SUM(F$339:F342))</f>
        <v>0</v>
      </c>
      <c r="G343" s="150">
        <f ca="1">+MIN('S&amp;U'!$J22-SUM('Phase III Pro Forma'!$E343:F343),'Phase III Pro Forma'!G$336-SUM(G$339:G342))</f>
        <v>0</v>
      </c>
      <c r="H343" s="150">
        <f ca="1">+MIN('S&amp;U'!$J22-SUM('Phase III Pro Forma'!$E343:G343),'Phase III Pro Forma'!H$336-SUM(H$339:H342))</f>
        <v>0</v>
      </c>
      <c r="I343" s="150">
        <f ca="1">+MIN('S&amp;U'!$J22-SUM('Phase III Pro Forma'!$E343:H343),'Phase III Pro Forma'!I$336-SUM(I$339:I342))</f>
        <v>0</v>
      </c>
      <c r="J343" s="150">
        <f ca="1">+MIN('S&amp;U'!$J22-SUM('Phase III Pro Forma'!$E343:I343),'Phase III Pro Forma'!J$336-SUM(J$339:J342))</f>
        <v>0</v>
      </c>
      <c r="K343" s="150">
        <f ca="1">+MIN('S&amp;U'!$J22-SUM('Phase III Pro Forma'!$E343:J343),'Phase III Pro Forma'!K$336-SUM(K$339:K342))</f>
        <v>0</v>
      </c>
      <c r="L343" s="150">
        <f ca="1">+MIN('S&amp;U'!$J22-SUM('Phase III Pro Forma'!$E343:K343),'Phase III Pro Forma'!L$336-SUM(L$339:L342))</f>
        <v>0</v>
      </c>
      <c r="M343" s="150">
        <f ca="1">+MIN('S&amp;U'!$J22-SUM('Phase III Pro Forma'!$E343:L343),'Phase III Pro Forma'!M$336-SUM(M$339:M342))</f>
        <v>0</v>
      </c>
      <c r="N343" s="150">
        <f ca="1">+MIN('S&amp;U'!$J22-SUM('Phase III Pro Forma'!$E343:M343),'Phase III Pro Forma'!N$336-SUM(N$339:N342))</f>
        <v>0</v>
      </c>
      <c r="O343" s="150">
        <f ca="1">+MIN('S&amp;U'!$J22-SUM('Phase III Pro Forma'!$E343:N343),'Phase III Pro Forma'!O$336-SUM(O$339:O342))</f>
        <v>0</v>
      </c>
      <c r="P343" s="150">
        <f ca="1">+MIN('S&amp;U'!$J22-SUM('Phase III Pro Forma'!$E343:O343),'Phase III Pro Forma'!P$336-SUM(P$339:P342))</f>
        <v>0</v>
      </c>
      <c r="Q343" s="150">
        <f ca="1">+MIN('S&amp;U'!$J22-SUM('Phase III Pro Forma'!$E343:P343),'Phase III Pro Forma'!Q$336-SUM(Q$339:Q342))</f>
        <v>0</v>
      </c>
      <c r="R343" s="150">
        <f ca="1">+MIN('S&amp;U'!$J22-SUM('Phase III Pro Forma'!$E343:Q343),'Phase III Pro Forma'!R$336-SUM(R$339:R342))</f>
        <v>0</v>
      </c>
      <c r="S343" s="150">
        <f ca="1">+MIN('S&amp;U'!$J22-SUM('Phase III Pro Forma'!$E343:R343),'Phase III Pro Forma'!S$336-SUM(S$339:S342))</f>
        <v>0</v>
      </c>
      <c r="T343" s="150">
        <f ca="1">+MIN('S&amp;U'!$J22-SUM('Phase III Pro Forma'!$E343:S343),'Phase III Pro Forma'!T$336-SUM(T$339:T342))</f>
        <v>0</v>
      </c>
      <c r="U343" s="150">
        <f ca="1">+MIN('S&amp;U'!$J22-SUM('Phase III Pro Forma'!$E343:T343),'Phase III Pro Forma'!U$336-SUM(U$339:U342))</f>
        <v>0</v>
      </c>
      <c r="V343" s="150">
        <f ca="1">+MIN('S&amp;U'!$J22-SUM('Phase III Pro Forma'!$E343:U343),'Phase III Pro Forma'!V$336-SUM(V$339:V342))</f>
        <v>0</v>
      </c>
      <c r="W343" s="150">
        <f ca="1">+MIN('S&amp;U'!$J22-SUM('Phase III Pro Forma'!$E343:V343),'Phase III Pro Forma'!W$336-SUM(W$339:W342))</f>
        <v>0</v>
      </c>
      <c r="X343" s="150">
        <f ca="1">+MIN('S&amp;U'!$J22-SUM('Phase III Pro Forma'!$E343:W343),'Phase III Pro Forma'!X$336-SUM(X$339:X342))</f>
        <v>0</v>
      </c>
      <c r="Y343" s="150">
        <f ca="1">+MIN('S&amp;U'!$J22-SUM('Phase III Pro Forma'!$E343:X343),'Phase III Pro Forma'!Y$336-SUM(Y$339:Y342))</f>
        <v>0</v>
      </c>
      <c r="Z343" s="150">
        <f ca="1">+MIN('S&amp;U'!$J22-SUM('Phase III Pro Forma'!$E343:Y343),'Phase III Pro Forma'!Z$336-SUM(Z$339:Z342))</f>
        <v>0</v>
      </c>
    </row>
    <row r="344" spans="2:26" x14ac:dyDescent="0.2">
      <c r="B344" s="32" t="s">
        <v>330</v>
      </c>
      <c r="D344" s="47">
        <f t="shared" si="147"/>
        <v>0</v>
      </c>
      <c r="E344" s="47"/>
      <c r="F344" s="150">
        <v>0</v>
      </c>
      <c r="G344" s="150">
        <v>0</v>
      </c>
      <c r="H344" s="150">
        <v>0</v>
      </c>
      <c r="I344" s="150">
        <v>0</v>
      </c>
      <c r="J344" s="150">
        <v>0</v>
      </c>
      <c r="K344" s="150">
        <v>0</v>
      </c>
      <c r="L344" s="150">
        <v>0</v>
      </c>
      <c r="M344" s="150">
        <v>0</v>
      </c>
      <c r="N344" s="150">
        <v>0</v>
      </c>
      <c r="O344" s="150">
        <v>0</v>
      </c>
      <c r="P344" s="150">
        <v>0</v>
      </c>
      <c r="Q344" s="150">
        <v>0</v>
      </c>
      <c r="R344" s="150">
        <v>0</v>
      </c>
      <c r="S344" s="150">
        <v>0</v>
      </c>
      <c r="T344" s="150">
        <v>0</v>
      </c>
      <c r="U344" s="150">
        <v>0</v>
      </c>
      <c r="V344" s="150">
        <v>0</v>
      </c>
      <c r="W344" s="150">
        <v>0</v>
      </c>
      <c r="X344" s="150">
        <v>0</v>
      </c>
      <c r="Y344" s="150">
        <v>0</v>
      </c>
      <c r="Z344" s="150">
        <v>0</v>
      </c>
    </row>
    <row r="345" spans="2:26" x14ac:dyDescent="0.2">
      <c r="B345" s="32" t="s">
        <v>98</v>
      </c>
      <c r="D345" s="47">
        <f t="shared" ca="1" si="147"/>
        <v>64274236.586260289</v>
      </c>
      <c r="E345" s="47"/>
      <c r="F345" s="150">
        <f ca="1">+MIN('S&amp;U'!$J26-SUM('Phase III Pro Forma'!$E345:E345),'Phase III Pro Forma'!F$336-SUM(F$339:F344))</f>
        <v>0</v>
      </c>
      <c r="G345" s="150">
        <f ca="1">+MIN('S&amp;U'!$J26-SUM('Phase III Pro Forma'!$E345:F345),'Phase III Pro Forma'!G$336-SUM(G$339:G344))</f>
        <v>0</v>
      </c>
      <c r="H345" s="150">
        <f ca="1">+MIN('S&amp;U'!$J26-SUM('Phase III Pro Forma'!$E345:G345),'Phase III Pro Forma'!H$336-SUM(H$339:H344))</f>
        <v>58618324.290086806</v>
      </c>
      <c r="I345" s="150">
        <f ca="1">+MIN('S&amp;U'!$J26-SUM('Phase III Pro Forma'!$E345:H345),'Phase III Pro Forma'!I$336-SUM(I$339:I344))</f>
        <v>2827956.1480867714</v>
      </c>
      <c r="J345" s="150">
        <f ca="1">+MIN('S&amp;U'!$J26-SUM('Phase III Pro Forma'!$E345:I345),'Phase III Pro Forma'!J$336-SUM(J$339:J344))</f>
        <v>2827956.1480867714</v>
      </c>
      <c r="K345" s="150">
        <f ca="1">+MIN('S&amp;U'!$J26-SUM('Phase III Pro Forma'!$E345:J345),'Phase III Pro Forma'!K$336-SUM(K$339:K344))</f>
        <v>0</v>
      </c>
      <c r="L345" s="150">
        <f ca="1">+MIN('S&amp;U'!$J26-SUM('Phase III Pro Forma'!$E345:K345),'Phase III Pro Forma'!L$336-SUM(L$339:L344))</f>
        <v>0</v>
      </c>
      <c r="M345" s="150">
        <f ca="1">+MIN('S&amp;U'!$J26-SUM('Phase III Pro Forma'!$E345:L345),'Phase III Pro Forma'!M$336-SUM(M$339:M344))</f>
        <v>0</v>
      </c>
      <c r="N345" s="150">
        <f ca="1">+MIN('S&amp;U'!$J26-SUM('Phase III Pro Forma'!$E345:M345),'Phase III Pro Forma'!N$336-SUM(N$339:N344))</f>
        <v>0</v>
      </c>
      <c r="O345" s="150">
        <f ca="1">+MIN('S&amp;U'!$J26-SUM('Phase III Pro Forma'!$E345:N345),'Phase III Pro Forma'!O$336-SUM(O$339:O344))</f>
        <v>0</v>
      </c>
      <c r="P345" s="150">
        <f ca="1">+MIN('S&amp;U'!$J26-SUM('Phase III Pro Forma'!$E345:O345),'Phase III Pro Forma'!P$336-SUM(P$339:P344))</f>
        <v>0</v>
      </c>
      <c r="Q345" s="150">
        <f ca="1">+MIN('S&amp;U'!$J26-SUM('Phase III Pro Forma'!$E345:P345),'Phase III Pro Forma'!Q$336-SUM(Q$339:Q344))</f>
        <v>0</v>
      </c>
      <c r="R345" s="150">
        <f ca="1">+MIN('S&amp;U'!$J26-SUM('Phase III Pro Forma'!$E345:Q345),'Phase III Pro Forma'!R$336-SUM(R$339:R344))</f>
        <v>0</v>
      </c>
      <c r="S345" s="150">
        <f ca="1">+MIN('S&amp;U'!$J26-SUM('Phase III Pro Forma'!$E345:R345),'Phase III Pro Forma'!S$336-SUM(S$339:S344))</f>
        <v>0</v>
      </c>
      <c r="T345" s="150">
        <f ca="1">+MIN('S&amp;U'!$J26-SUM('Phase III Pro Forma'!$E345:S345),'Phase III Pro Forma'!T$336-SUM(T$339:T344))</f>
        <v>0</v>
      </c>
      <c r="U345" s="150">
        <f ca="1">+MIN('S&amp;U'!$J26-SUM('Phase III Pro Forma'!$E345:T345),'Phase III Pro Forma'!U$336-SUM(U$339:U344))</f>
        <v>0</v>
      </c>
      <c r="V345" s="150">
        <f ca="1">+MIN('S&amp;U'!$J26-SUM('Phase III Pro Forma'!$E345:U345),'Phase III Pro Forma'!V$336-SUM(V$339:V344))</f>
        <v>0</v>
      </c>
      <c r="W345" s="150">
        <f ca="1">+MIN('S&amp;U'!$J26-SUM('Phase III Pro Forma'!$E345:V345),'Phase III Pro Forma'!W$336-SUM(W$339:W344))</f>
        <v>0</v>
      </c>
      <c r="X345" s="150">
        <f ca="1">+MIN('S&amp;U'!$J26-SUM('Phase III Pro Forma'!$E345:W345),'Phase III Pro Forma'!X$336-SUM(X$339:X344))</f>
        <v>0</v>
      </c>
      <c r="Y345" s="150">
        <f ca="1">+MIN('S&amp;U'!$J26-SUM('Phase III Pro Forma'!$E345:X345),'Phase III Pro Forma'!Y$336-SUM(Y$339:Y344))</f>
        <v>0</v>
      </c>
      <c r="Z345" s="150">
        <f ca="1">+MIN('S&amp;U'!$J26-SUM('Phase III Pro Forma'!$E345:Y345),'Phase III Pro Forma'!Z$336-SUM(Z$339:Z344))</f>
        <v>0</v>
      </c>
    </row>
    <row r="346" spans="2:26" x14ac:dyDescent="0.2">
      <c r="B346" s="137" t="s">
        <v>377</v>
      </c>
      <c r="C346" s="137"/>
      <c r="D346" s="138">
        <f t="shared" ca="1" si="147"/>
        <v>369681998.10828197</v>
      </c>
      <c r="E346" s="138"/>
      <c r="F346" s="138">
        <f t="shared" ref="F346:Z346" ca="1" si="149">+SUM(F339:F345)</f>
        <v>55765379.325386167</v>
      </c>
      <c r="G346" s="138">
        <f t="shared" ca="1" si="149"/>
        <v>154130353.24336112</v>
      </c>
      <c r="H346" s="138">
        <f t="shared" ca="1" si="149"/>
        <v>154130353.24336112</v>
      </c>
      <c r="I346" s="138">
        <f t="shared" ca="1" si="149"/>
        <v>2827956.1480867714</v>
      </c>
      <c r="J346" s="138">
        <f t="shared" ca="1" si="149"/>
        <v>2827956.1480867714</v>
      </c>
      <c r="K346" s="138">
        <f t="shared" ca="1" si="149"/>
        <v>0</v>
      </c>
      <c r="L346" s="138">
        <f t="shared" ca="1" si="149"/>
        <v>0</v>
      </c>
      <c r="M346" s="138">
        <f t="shared" ca="1" si="149"/>
        <v>0</v>
      </c>
      <c r="N346" s="138">
        <f t="shared" ca="1" si="149"/>
        <v>0</v>
      </c>
      <c r="O346" s="138">
        <f t="shared" ca="1" si="149"/>
        <v>0</v>
      </c>
      <c r="P346" s="138">
        <f t="shared" ca="1" si="149"/>
        <v>0</v>
      </c>
      <c r="Q346" s="138">
        <f t="shared" ca="1" si="149"/>
        <v>0</v>
      </c>
      <c r="R346" s="138">
        <f t="shared" ca="1" si="149"/>
        <v>0</v>
      </c>
      <c r="S346" s="138">
        <f t="shared" ca="1" si="149"/>
        <v>0</v>
      </c>
      <c r="T346" s="138">
        <f t="shared" ca="1" si="149"/>
        <v>0</v>
      </c>
      <c r="U346" s="138">
        <f t="shared" ca="1" si="149"/>
        <v>0</v>
      </c>
      <c r="V346" s="138">
        <f t="shared" ca="1" si="149"/>
        <v>0</v>
      </c>
      <c r="W346" s="138">
        <f t="shared" ca="1" si="149"/>
        <v>0</v>
      </c>
      <c r="X346" s="138">
        <f t="shared" ca="1" si="149"/>
        <v>0</v>
      </c>
      <c r="Y346" s="138">
        <f t="shared" ca="1" si="149"/>
        <v>0</v>
      </c>
      <c r="Z346" s="138">
        <f t="shared" ca="1" si="149"/>
        <v>0</v>
      </c>
    </row>
    <row r="348" spans="2:26" x14ac:dyDescent="0.2">
      <c r="B348" s="147" t="s">
        <v>348</v>
      </c>
    </row>
    <row r="349" spans="2:26" x14ac:dyDescent="0.2">
      <c r="B349" s="32" t="s">
        <v>349</v>
      </c>
      <c r="D349" s="47">
        <f ca="1">+SUM(F349:Z349)</f>
        <v>-289244734.71817982</v>
      </c>
      <c r="E349" s="47"/>
      <c r="F349" s="33">
        <f ca="1">-F339</f>
        <v>-55765379.325386167</v>
      </c>
      <c r="G349" s="33">
        <f t="shared" ref="G349:Z349" ca="1" si="150">-G339</f>
        <v>-154130353.24336112</v>
      </c>
      <c r="H349" s="33">
        <f t="shared" ca="1" si="150"/>
        <v>-79349002.14943248</v>
      </c>
      <c r="I349" s="33">
        <f t="shared" ca="1" si="150"/>
        <v>0</v>
      </c>
      <c r="J349" s="33">
        <f t="shared" ca="1" si="150"/>
        <v>0</v>
      </c>
      <c r="K349" s="33">
        <f t="shared" ca="1" si="150"/>
        <v>0</v>
      </c>
      <c r="L349" s="33">
        <f t="shared" ca="1" si="150"/>
        <v>0</v>
      </c>
      <c r="M349" s="33">
        <f t="shared" ca="1" si="150"/>
        <v>0</v>
      </c>
      <c r="N349" s="33">
        <f t="shared" ca="1" si="150"/>
        <v>0</v>
      </c>
      <c r="O349" s="33">
        <f t="shared" ca="1" si="150"/>
        <v>0</v>
      </c>
      <c r="P349" s="33">
        <f t="shared" ca="1" si="150"/>
        <v>0</v>
      </c>
      <c r="Q349" s="33">
        <f t="shared" ca="1" si="150"/>
        <v>0</v>
      </c>
      <c r="R349" s="33">
        <f t="shared" ca="1" si="150"/>
        <v>0</v>
      </c>
      <c r="S349" s="33">
        <f t="shared" ca="1" si="150"/>
        <v>0</v>
      </c>
      <c r="T349" s="33">
        <f t="shared" ca="1" si="150"/>
        <v>0</v>
      </c>
      <c r="U349" s="33">
        <f t="shared" ca="1" si="150"/>
        <v>0</v>
      </c>
      <c r="V349" s="33">
        <f t="shared" ca="1" si="150"/>
        <v>0</v>
      </c>
      <c r="W349" s="33">
        <f t="shared" ca="1" si="150"/>
        <v>0</v>
      </c>
      <c r="X349" s="33">
        <f t="shared" ca="1" si="150"/>
        <v>0</v>
      </c>
      <c r="Y349" s="33">
        <f t="shared" ca="1" si="150"/>
        <v>0</v>
      </c>
      <c r="Z349" s="33">
        <f t="shared" ca="1" si="150"/>
        <v>0</v>
      </c>
    </row>
    <row r="350" spans="2:26" x14ac:dyDescent="0.2">
      <c r="B350" s="32" t="s">
        <v>350</v>
      </c>
      <c r="D350" s="47">
        <f t="shared" ref="D350" ca="1" si="151">+SUM(F350:Z350)</f>
        <v>547329760.79208982</v>
      </c>
      <c r="E350" s="47"/>
      <c r="F350" s="150">
        <f ca="1">+IF(YEAR(F$140)&lt;=YEAR('Assumptions and Sensis'!$H$51),F321+F326,0)</f>
        <v>0</v>
      </c>
      <c r="G350" s="150">
        <f ca="1">+IF(YEAR(G$140)&lt;=YEAR('Assumptions and Sensis'!$H$51),G321+G326,0)</f>
        <v>0</v>
      </c>
      <c r="H350" s="150">
        <f ca="1">+IF(YEAR(H$140)&lt;=YEAR('Assumptions and Sensis'!$H$51),H321+H326,0)</f>
        <v>0</v>
      </c>
      <c r="I350" s="150">
        <f ca="1">+IF(YEAR(I$140)&lt;=YEAR('Assumptions and Sensis'!$H$51),I321+I326,0)</f>
        <v>12808687.546966918</v>
      </c>
      <c r="J350" s="150">
        <f ca="1">+IF(YEAR(J$140)&lt;=YEAR('Assumptions and Sensis'!$H$51),J321+J326,0)</f>
        <v>25878867.695486184</v>
      </c>
      <c r="K350" s="150">
        <f ca="1">+IF(YEAR(K$140)&lt;=YEAR('Assumptions and Sensis'!$H$51),K321+K326,0)</f>
        <v>26161641.979331724</v>
      </c>
      <c r="L350" s="150">
        <f ca="1">+IF(YEAR(L$140)&lt;=YEAR('Assumptions and Sensis'!$H$51),L321+L326,0)</f>
        <v>482480563.57030499</v>
      </c>
      <c r="M350" s="150">
        <f>+IF(YEAR(M$140)&lt;=YEAR('Assumptions and Sensis'!$H$51),M321+M326,0)</f>
        <v>0</v>
      </c>
      <c r="N350" s="150">
        <f>+IF(YEAR(N$140)&lt;=YEAR('Assumptions and Sensis'!$H$51),N321+N326,0)</f>
        <v>0</v>
      </c>
      <c r="O350" s="150">
        <f>+IF(YEAR(O$140)&lt;=YEAR('Assumptions and Sensis'!$H$51),O321+O326,0)</f>
        <v>0</v>
      </c>
      <c r="P350" s="150">
        <f>+IF(YEAR(P$140)&lt;=YEAR('Assumptions and Sensis'!$H$51),P321+P326,0)</f>
        <v>0</v>
      </c>
      <c r="Q350" s="150">
        <f>+IF(YEAR(Q$140)&lt;=YEAR('Assumptions and Sensis'!$H$51),Q321+Q326,0)</f>
        <v>0</v>
      </c>
      <c r="R350" s="150">
        <f>+IF(YEAR(R$140)&lt;=YEAR('Assumptions and Sensis'!$H$51),R321+R326,0)</f>
        <v>0</v>
      </c>
      <c r="S350" s="150">
        <f>+IF(YEAR(S$140)&lt;=YEAR('Assumptions and Sensis'!$H$51),S321+S326,0)</f>
        <v>0</v>
      </c>
      <c r="T350" s="150">
        <f>+IF(YEAR(T$140)&lt;=YEAR('Assumptions and Sensis'!$H$51),T321+T326,0)</f>
        <v>0</v>
      </c>
      <c r="U350" s="150">
        <f>+IF(YEAR(U$140)&lt;=YEAR('Assumptions and Sensis'!$H$51),U321+U326,0)</f>
        <v>0</v>
      </c>
      <c r="V350" s="150">
        <f>+IF(YEAR(V$140)&lt;=YEAR('Assumptions and Sensis'!$H$51),V321+V326,0)</f>
        <v>0</v>
      </c>
      <c r="W350" s="150">
        <f>+IF(YEAR(W$140)&lt;=YEAR('Assumptions and Sensis'!$H$51),W321+W326,0)</f>
        <v>0</v>
      </c>
      <c r="X350" s="150">
        <f>+IF(YEAR(X$140)&lt;=YEAR('Assumptions and Sensis'!$H$51),X321+X326,0)</f>
        <v>0</v>
      </c>
      <c r="Y350" s="150">
        <f>+IF(YEAR(Y$140)&lt;=YEAR('Assumptions and Sensis'!$H$51),Y321+Y326,0)</f>
        <v>0</v>
      </c>
      <c r="Z350" s="150">
        <f>+IF(YEAR(Z$140)&lt;=YEAR('Assumptions and Sensis'!$H$51),Z321+Z326,0)</f>
        <v>0</v>
      </c>
    </row>
    <row r="351" spans="2:26" x14ac:dyDescent="0.2">
      <c r="B351" s="137" t="s">
        <v>351</v>
      </c>
      <c r="C351" s="137"/>
      <c r="D351" s="138">
        <f ca="1">+SUM(F351:Z351)</f>
        <v>258085026.07391</v>
      </c>
      <c r="E351" s="138"/>
      <c r="F351" s="138">
        <f ca="1">+SUM(F349:F350)</f>
        <v>-55765379.325386167</v>
      </c>
      <c r="G351" s="138">
        <f t="shared" ref="G351:Z351" ca="1" si="152">+SUM(G349:G350)</f>
        <v>-154130353.24336112</v>
      </c>
      <c r="H351" s="138">
        <f t="shared" ca="1" si="152"/>
        <v>-79349002.14943248</v>
      </c>
      <c r="I351" s="138">
        <f t="shared" ca="1" si="152"/>
        <v>12808687.546966918</v>
      </c>
      <c r="J351" s="138">
        <f t="shared" ca="1" si="152"/>
        <v>25878867.695486184</v>
      </c>
      <c r="K351" s="138">
        <f t="shared" ca="1" si="152"/>
        <v>26161641.979331724</v>
      </c>
      <c r="L351" s="138">
        <f t="shared" ca="1" si="152"/>
        <v>482480563.57030499</v>
      </c>
      <c r="M351" s="138">
        <f t="shared" ca="1" si="152"/>
        <v>0</v>
      </c>
      <c r="N351" s="138">
        <f t="shared" ca="1" si="152"/>
        <v>0</v>
      </c>
      <c r="O351" s="138">
        <f t="shared" ca="1" si="152"/>
        <v>0</v>
      </c>
      <c r="P351" s="138">
        <f t="shared" ca="1" si="152"/>
        <v>0</v>
      </c>
      <c r="Q351" s="138">
        <f t="shared" ca="1" si="152"/>
        <v>0</v>
      </c>
      <c r="R351" s="138">
        <f t="shared" ca="1" si="152"/>
        <v>0</v>
      </c>
      <c r="S351" s="138">
        <f t="shared" ca="1" si="152"/>
        <v>0</v>
      </c>
      <c r="T351" s="138">
        <f t="shared" ca="1" si="152"/>
        <v>0</v>
      </c>
      <c r="U351" s="138">
        <f t="shared" ca="1" si="152"/>
        <v>0</v>
      </c>
      <c r="V351" s="138">
        <f t="shared" ca="1" si="152"/>
        <v>0</v>
      </c>
      <c r="W351" s="138">
        <f t="shared" ca="1" si="152"/>
        <v>0</v>
      </c>
      <c r="X351" s="138">
        <f t="shared" ca="1" si="152"/>
        <v>0</v>
      </c>
      <c r="Y351" s="138">
        <f t="shared" ca="1" si="152"/>
        <v>0</v>
      </c>
      <c r="Z351" s="138">
        <f t="shared" ca="1" si="152"/>
        <v>0</v>
      </c>
    </row>
    <row r="353" spans="2:26" x14ac:dyDescent="0.2">
      <c r="B353" s="188" t="s">
        <v>393</v>
      </c>
      <c r="C353" s="188"/>
      <c r="D353" s="189">
        <f ca="1">+IRR(F351:Z351)</f>
        <v>0.14509319275795374</v>
      </c>
    </row>
    <row r="354" spans="2:26" x14ac:dyDescent="0.2">
      <c r="B354" s="140" t="s">
        <v>353</v>
      </c>
      <c r="C354" s="190"/>
      <c r="D354" s="141">
        <f ca="1">+SUM(F351:Z351)</f>
        <v>258085026.07391006</v>
      </c>
    </row>
    <row r="355" spans="2:26" x14ac:dyDescent="0.2">
      <c r="B355" s="192" t="s">
        <v>354</v>
      </c>
      <c r="C355" s="191"/>
      <c r="D355" s="193">
        <f ca="1">+D350/-D349</f>
        <v>1.892272166424638</v>
      </c>
    </row>
    <row r="357" spans="2:26" x14ac:dyDescent="0.2">
      <c r="B357" s="36" t="s">
        <v>411</v>
      </c>
      <c r="C357" s="37"/>
      <c r="D357" s="37"/>
      <c r="E357" s="37"/>
      <c r="F357" s="135">
        <f>+F338</f>
        <v>45657</v>
      </c>
      <c r="G357" s="135">
        <f t="shared" ref="G357:Z357" si="153">+G338</f>
        <v>46022</v>
      </c>
      <c r="H357" s="135">
        <f t="shared" si="153"/>
        <v>46387</v>
      </c>
      <c r="I357" s="135">
        <f t="shared" si="153"/>
        <v>46752</v>
      </c>
      <c r="J357" s="135">
        <f t="shared" si="153"/>
        <v>47118</v>
      </c>
      <c r="K357" s="135">
        <f t="shared" si="153"/>
        <v>47483</v>
      </c>
      <c r="L357" s="135">
        <f t="shared" si="153"/>
        <v>47848</v>
      </c>
      <c r="M357" s="135">
        <f t="shared" si="153"/>
        <v>48213</v>
      </c>
      <c r="N357" s="135">
        <f t="shared" si="153"/>
        <v>48579</v>
      </c>
      <c r="O357" s="135">
        <f t="shared" si="153"/>
        <v>48944</v>
      </c>
      <c r="P357" s="135">
        <f t="shared" si="153"/>
        <v>49309</v>
      </c>
      <c r="Q357" s="135">
        <f t="shared" si="153"/>
        <v>49674</v>
      </c>
      <c r="R357" s="135">
        <f t="shared" si="153"/>
        <v>50040</v>
      </c>
      <c r="S357" s="135">
        <f t="shared" si="153"/>
        <v>50405</v>
      </c>
      <c r="T357" s="135">
        <f t="shared" si="153"/>
        <v>50770</v>
      </c>
      <c r="U357" s="135">
        <f t="shared" si="153"/>
        <v>51135</v>
      </c>
      <c r="V357" s="135">
        <f t="shared" si="153"/>
        <v>51501</v>
      </c>
      <c r="W357" s="135">
        <f t="shared" si="153"/>
        <v>51866</v>
      </c>
      <c r="X357" s="135">
        <f t="shared" si="153"/>
        <v>52231</v>
      </c>
      <c r="Y357" s="135">
        <f t="shared" si="153"/>
        <v>52596</v>
      </c>
      <c r="Z357" s="135">
        <f t="shared" si="153"/>
        <v>52962</v>
      </c>
    </row>
    <row r="358" spans="2:26" x14ac:dyDescent="0.2">
      <c r="B358" s="118"/>
    </row>
    <row r="359" spans="2:26" x14ac:dyDescent="0.2">
      <c r="B359" s="147" t="s">
        <v>407</v>
      </c>
      <c r="F359" s="147">
        <v>0</v>
      </c>
      <c r="G359" s="147">
        <f>+F359+1</f>
        <v>1</v>
      </c>
      <c r="H359" s="147">
        <f t="shared" ref="H359:Z359" si="154">+G359+1</f>
        <v>2</v>
      </c>
      <c r="I359" s="147">
        <f t="shared" si="154"/>
        <v>3</v>
      </c>
      <c r="J359" s="147">
        <f t="shared" si="154"/>
        <v>4</v>
      </c>
      <c r="K359" s="147">
        <f t="shared" si="154"/>
        <v>5</v>
      </c>
      <c r="L359" s="147">
        <f t="shared" si="154"/>
        <v>6</v>
      </c>
      <c r="M359" s="147">
        <f t="shared" si="154"/>
        <v>7</v>
      </c>
      <c r="N359" s="147">
        <f t="shared" si="154"/>
        <v>8</v>
      </c>
      <c r="O359" s="147">
        <f t="shared" si="154"/>
        <v>9</v>
      </c>
      <c r="P359" s="147">
        <f t="shared" si="154"/>
        <v>10</v>
      </c>
      <c r="Q359" s="147">
        <f t="shared" si="154"/>
        <v>11</v>
      </c>
      <c r="R359" s="147">
        <f t="shared" si="154"/>
        <v>12</v>
      </c>
      <c r="S359" s="147">
        <f t="shared" si="154"/>
        <v>13</v>
      </c>
      <c r="T359" s="147">
        <f t="shared" si="154"/>
        <v>14</v>
      </c>
      <c r="U359" s="147">
        <f t="shared" si="154"/>
        <v>15</v>
      </c>
      <c r="V359" s="147">
        <f t="shared" si="154"/>
        <v>16</v>
      </c>
      <c r="W359" s="147">
        <f t="shared" si="154"/>
        <v>17</v>
      </c>
      <c r="X359" s="147">
        <f t="shared" si="154"/>
        <v>18</v>
      </c>
      <c r="Y359" s="147">
        <f t="shared" si="154"/>
        <v>19</v>
      </c>
      <c r="Z359" s="147">
        <f t="shared" si="154"/>
        <v>20</v>
      </c>
    </row>
    <row r="360" spans="2:26" x14ac:dyDescent="0.2">
      <c r="B360" s="32" t="s">
        <v>398</v>
      </c>
      <c r="D360" s="47"/>
      <c r="E360" s="47"/>
      <c r="F360" s="33">
        <f ca="1">+F$349</f>
        <v>-55765379.325386167</v>
      </c>
      <c r="G360" s="33">
        <f t="shared" ref="G360:Z360" ca="1" si="155">+G$349</f>
        <v>-154130353.24336112</v>
      </c>
      <c r="H360" s="33">
        <f t="shared" ca="1" si="155"/>
        <v>-79349002.14943248</v>
      </c>
      <c r="I360" s="33">
        <f t="shared" ca="1" si="155"/>
        <v>0</v>
      </c>
      <c r="J360" s="33">
        <f t="shared" ca="1" si="155"/>
        <v>0</v>
      </c>
      <c r="K360" s="33">
        <f t="shared" ca="1" si="155"/>
        <v>0</v>
      </c>
      <c r="L360" s="33">
        <f t="shared" ca="1" si="155"/>
        <v>0</v>
      </c>
      <c r="M360" s="33">
        <f t="shared" ca="1" si="155"/>
        <v>0</v>
      </c>
      <c r="N360" s="33">
        <f t="shared" ca="1" si="155"/>
        <v>0</v>
      </c>
      <c r="O360" s="33">
        <f t="shared" ca="1" si="155"/>
        <v>0</v>
      </c>
      <c r="P360" s="33">
        <f t="shared" ca="1" si="155"/>
        <v>0</v>
      </c>
      <c r="Q360" s="33">
        <f t="shared" ca="1" si="155"/>
        <v>0</v>
      </c>
      <c r="R360" s="33">
        <f t="shared" ca="1" si="155"/>
        <v>0</v>
      </c>
      <c r="S360" s="33">
        <f t="shared" ca="1" si="155"/>
        <v>0</v>
      </c>
      <c r="T360" s="33">
        <f t="shared" ca="1" si="155"/>
        <v>0</v>
      </c>
      <c r="U360" s="33">
        <f t="shared" ca="1" si="155"/>
        <v>0</v>
      </c>
      <c r="V360" s="33">
        <f t="shared" ca="1" si="155"/>
        <v>0</v>
      </c>
      <c r="W360" s="33">
        <f t="shared" ca="1" si="155"/>
        <v>0</v>
      </c>
      <c r="X360" s="33">
        <f t="shared" ca="1" si="155"/>
        <v>0</v>
      </c>
      <c r="Y360" s="33">
        <f t="shared" ca="1" si="155"/>
        <v>0</v>
      </c>
      <c r="Z360" s="33">
        <f t="shared" ca="1" si="155"/>
        <v>0</v>
      </c>
    </row>
    <row r="361" spans="2:26" x14ac:dyDescent="0.2">
      <c r="B361" s="32" t="s">
        <v>416</v>
      </c>
      <c r="D361" s="47"/>
      <c r="E361" s="47"/>
      <c r="F361" s="150">
        <v>0</v>
      </c>
      <c r="G361" s="150">
        <v>0</v>
      </c>
      <c r="H361" s="150">
        <v>0</v>
      </c>
      <c r="I361" s="150">
        <v>0</v>
      </c>
      <c r="J361" s="150">
        <v>0</v>
      </c>
      <c r="K361" s="150">
        <v>0</v>
      </c>
      <c r="L361" s="150">
        <v>0</v>
      </c>
      <c r="M361" s="150">
        <v>0</v>
      </c>
      <c r="N361" s="150">
        <v>0</v>
      </c>
      <c r="O361" s="150">
        <v>0</v>
      </c>
      <c r="P361" s="150">
        <v>0</v>
      </c>
      <c r="Q361" s="150">
        <v>0</v>
      </c>
      <c r="R361" s="150">
        <v>0</v>
      </c>
      <c r="S361" s="150">
        <v>0</v>
      </c>
      <c r="T361" s="150">
        <v>0</v>
      </c>
      <c r="U361" s="150">
        <v>0</v>
      </c>
      <c r="V361" s="150">
        <v>0</v>
      </c>
      <c r="W361" s="150">
        <v>0</v>
      </c>
      <c r="X361" s="150">
        <v>0</v>
      </c>
      <c r="Y361" s="150">
        <v>0</v>
      </c>
      <c r="Z361" s="150">
        <v>0</v>
      </c>
    </row>
    <row r="362" spans="2:26" x14ac:dyDescent="0.2">
      <c r="B362" s="32" t="s">
        <v>417</v>
      </c>
      <c r="D362" s="47"/>
      <c r="E362" s="47"/>
      <c r="F362" s="150">
        <v>0</v>
      </c>
      <c r="G362" s="150">
        <v>0</v>
      </c>
      <c r="H362" s="150">
        <v>0</v>
      </c>
      <c r="I362" s="150">
        <v>0</v>
      </c>
      <c r="J362" s="150">
        <v>0</v>
      </c>
      <c r="K362" s="150">
        <v>0</v>
      </c>
      <c r="L362" s="150">
        <v>0</v>
      </c>
      <c r="M362" s="150">
        <v>0</v>
      </c>
      <c r="N362" s="150">
        <v>0</v>
      </c>
      <c r="O362" s="150">
        <v>0</v>
      </c>
      <c r="P362" s="150">
        <v>0</v>
      </c>
      <c r="Q362" s="150">
        <v>0</v>
      </c>
      <c r="R362" s="150">
        <v>0</v>
      </c>
      <c r="S362" s="150">
        <v>0</v>
      </c>
      <c r="T362" s="150">
        <v>0</v>
      </c>
      <c r="U362" s="150">
        <v>0</v>
      </c>
      <c r="V362" s="150">
        <v>0</v>
      </c>
      <c r="W362" s="150">
        <v>0</v>
      </c>
      <c r="X362" s="150">
        <v>0</v>
      </c>
      <c r="Y362" s="150">
        <v>0</v>
      </c>
      <c r="Z362" s="150">
        <v>0</v>
      </c>
    </row>
    <row r="363" spans="2:26" x14ac:dyDescent="0.2">
      <c r="B363" s="32" t="s">
        <v>408</v>
      </c>
      <c r="D363" s="47"/>
      <c r="E363" s="47"/>
      <c r="F363" s="150">
        <f ca="1">-SUM(F390:F391)*'Assumptions and Sensis'!$M$227</f>
        <v>0</v>
      </c>
      <c r="G363" s="150">
        <f ca="1">-SUM(G390:G391)*'Assumptions and Sensis'!$M$227</f>
        <v>0</v>
      </c>
      <c r="H363" s="150">
        <f ca="1">-SUM(H390:H391)*'Assumptions and Sensis'!$M$227</f>
        <v>0</v>
      </c>
      <c r="I363" s="150">
        <f ca="1">-SUM(I390:I391)*'Assumptions and Sensis'!$M$227</f>
        <v>-2689824.3848630525</v>
      </c>
      <c r="J363" s="150">
        <f ca="1">-SUM(J390:J391)*'Assumptions and Sensis'!$M$227</f>
        <v>-4079856.9545800122</v>
      </c>
      <c r="K363" s="150">
        <f ca="1">-SUM(K390:K391)*'Assumptions and Sensis'!$M$227</f>
        <v>-4139239.5541875749</v>
      </c>
      <c r="L363" s="150">
        <f ca="1">-SUM(L390:L391)*'Assumptions and Sensis'!$M$227</f>
        <v>-4585792.4630334033</v>
      </c>
      <c r="M363" s="150">
        <f>-SUM(M390:M391)*'Assumptions and Sensis'!$M$227</f>
        <v>0</v>
      </c>
      <c r="N363" s="150">
        <f>-SUM(N390:N391)*'Assumptions and Sensis'!$M$227</f>
        <v>0</v>
      </c>
      <c r="O363" s="150">
        <f>-SUM(O390:O391)*'Assumptions and Sensis'!$M$227</f>
        <v>0</v>
      </c>
      <c r="P363" s="150">
        <f>-SUM(P390:P391)*'Assumptions and Sensis'!$M$227</f>
        <v>0</v>
      </c>
      <c r="Q363" s="150">
        <f>-SUM(Q390:Q391)*'Assumptions and Sensis'!$M$227</f>
        <v>0</v>
      </c>
      <c r="R363" s="150">
        <f>-SUM(R390:R391)*'Assumptions and Sensis'!$M$227</f>
        <v>0</v>
      </c>
      <c r="S363" s="150">
        <f>-SUM(S390:S391)*'Assumptions and Sensis'!$M$227</f>
        <v>0</v>
      </c>
      <c r="T363" s="150">
        <f>-SUM(T390:T391)*'Assumptions and Sensis'!$M$227</f>
        <v>0</v>
      </c>
      <c r="U363" s="150">
        <f>-SUM(U390:U391)*'Assumptions and Sensis'!$M$227</f>
        <v>0</v>
      </c>
      <c r="V363" s="150">
        <f>-SUM(V390:V391)*'Assumptions and Sensis'!$M$227</f>
        <v>0</v>
      </c>
      <c r="W363" s="150">
        <f>-SUM(W390:W391)*'Assumptions and Sensis'!$M$227</f>
        <v>0</v>
      </c>
      <c r="X363" s="150">
        <f>-SUM(X390:X391)*'Assumptions and Sensis'!$M$227</f>
        <v>0</v>
      </c>
      <c r="Y363" s="150">
        <f>-SUM(Y390:Y391)*'Assumptions and Sensis'!$M$227</f>
        <v>0</v>
      </c>
      <c r="Z363" s="150">
        <f>-SUM(Z390:Z391)*'Assumptions and Sensis'!$M$227</f>
        <v>0</v>
      </c>
    </row>
    <row r="364" spans="2:26" x14ac:dyDescent="0.2">
      <c r="B364" s="32" t="s">
        <v>409</v>
      </c>
      <c r="D364" s="47"/>
      <c r="E364" s="47"/>
      <c r="F364" s="150">
        <f ca="1">+IF(YEAR(F$140)&lt;=YEAR('Assumptions and Sensis'!$H$51),F321,0)</f>
        <v>0</v>
      </c>
      <c r="G364" s="150">
        <f ca="1">+IF(YEAR(G$140)&lt;=YEAR('Assumptions and Sensis'!$H$51),G321,0)</f>
        <v>0</v>
      </c>
      <c r="H364" s="150">
        <f ca="1">+IF(YEAR(H$140)&lt;=YEAR('Assumptions and Sensis'!$H$51),H321,0)</f>
        <v>0</v>
      </c>
      <c r="I364" s="150">
        <f ca="1">+IF(YEAR(I$140)&lt;=YEAR('Assumptions and Sensis'!$H$51),I321,0)</f>
        <v>12808687.546966918</v>
      </c>
      <c r="J364" s="150">
        <f ca="1">+IF(YEAR(J$140)&lt;=YEAR('Assumptions and Sensis'!$H$51),J321,0)</f>
        <v>25878867.695486184</v>
      </c>
      <c r="K364" s="150">
        <f ca="1">+IF(YEAR(K$140)&lt;=YEAR('Assumptions and Sensis'!$H$51),K321,0)</f>
        <v>26161641.979331724</v>
      </c>
      <c r="L364" s="150">
        <f ca="1">+IF(YEAR(L$140)&lt;=YEAR('Assumptions and Sensis'!$H$51),L321,0)</f>
        <v>28288084.402407091</v>
      </c>
      <c r="M364" s="150">
        <f>+IF(YEAR(M$140)&lt;=YEAR('Assumptions and Sensis'!$H$51),M321,0)</f>
        <v>0</v>
      </c>
      <c r="N364" s="150">
        <f>+IF(YEAR(N$140)&lt;=YEAR('Assumptions and Sensis'!$H$51),N321,0)</f>
        <v>0</v>
      </c>
      <c r="O364" s="150">
        <f>+IF(YEAR(O$140)&lt;=YEAR('Assumptions and Sensis'!$H$51),O321,0)</f>
        <v>0</v>
      </c>
      <c r="P364" s="150">
        <f>+IF(YEAR(P$140)&lt;=YEAR('Assumptions and Sensis'!$H$51),P321,0)</f>
        <v>0</v>
      </c>
      <c r="Q364" s="150">
        <f>+IF(YEAR(Q$140)&lt;=YEAR('Assumptions and Sensis'!$H$51),Q321,0)</f>
        <v>0</v>
      </c>
      <c r="R364" s="150">
        <f>+IF(YEAR(R$140)&lt;=YEAR('Assumptions and Sensis'!$H$51),R321,0)</f>
        <v>0</v>
      </c>
      <c r="S364" s="150">
        <f>+IF(YEAR(S$140)&lt;=YEAR('Assumptions and Sensis'!$H$51),S321,0)</f>
        <v>0</v>
      </c>
      <c r="T364" s="150">
        <f>+IF(YEAR(T$140)&lt;=YEAR('Assumptions and Sensis'!$H$51),T321,0)</f>
        <v>0</v>
      </c>
      <c r="U364" s="150">
        <f>+IF(YEAR(U$140)&lt;=YEAR('Assumptions and Sensis'!$H$51),U321,0)</f>
        <v>0</v>
      </c>
      <c r="V364" s="150">
        <f>+IF(YEAR(V$140)&lt;=YEAR('Assumptions and Sensis'!$H$51),V321,0)</f>
        <v>0</v>
      </c>
      <c r="W364" s="150">
        <f>+IF(YEAR(W$140)&lt;=YEAR('Assumptions and Sensis'!$H$51),W321,0)</f>
        <v>0</v>
      </c>
      <c r="X364" s="150">
        <f>+IF(YEAR(X$140)&lt;=YEAR('Assumptions and Sensis'!$H$51),X321,0)</f>
        <v>0</v>
      </c>
      <c r="Y364" s="150">
        <f>+IF(YEAR(Y$140)&lt;=YEAR('Assumptions and Sensis'!$H$51),Y321,0)</f>
        <v>0</v>
      </c>
      <c r="Z364" s="150">
        <f>+IF(YEAR(Z$140)&lt;=YEAR('Assumptions and Sensis'!$H$51),Z321,0)</f>
        <v>0</v>
      </c>
    </row>
    <row r="365" spans="2:26" x14ac:dyDescent="0.2">
      <c r="B365" s="32" t="s">
        <v>403</v>
      </c>
      <c r="D365" s="47"/>
      <c r="E365" s="47"/>
      <c r="F365" s="150">
        <f>+IF(YEAR(F$140)&lt;=YEAR('Assumptions and Sensis'!$H$51),F326,0)</f>
        <v>0</v>
      </c>
      <c r="G365" s="150">
        <f>+IF(YEAR(G$140)&lt;=YEAR('Assumptions and Sensis'!$H$51),G326,0)</f>
        <v>0</v>
      </c>
      <c r="H365" s="150">
        <f>+IF(YEAR(H$140)&lt;=YEAR('Assumptions and Sensis'!$H$51),H326,0)</f>
        <v>0</v>
      </c>
      <c r="I365" s="150">
        <f>+IF(YEAR(I$140)&lt;=YEAR('Assumptions and Sensis'!$H$51),I326,0)</f>
        <v>0</v>
      </c>
      <c r="J365" s="150">
        <f>+IF(YEAR(J$140)&lt;=YEAR('Assumptions and Sensis'!$H$51),J326,0)</f>
        <v>0</v>
      </c>
      <c r="K365" s="150">
        <f>+IF(YEAR(K$140)&lt;=YEAR('Assumptions and Sensis'!$H$51),K326,0)</f>
        <v>0</v>
      </c>
      <c r="L365" s="150">
        <f ca="1">+IF(YEAR(L$140)&lt;=YEAR('Assumptions and Sensis'!$H$51),L326,0)</f>
        <v>454192479.16789788</v>
      </c>
      <c r="M365" s="150">
        <f>+IF(YEAR(M$140)&lt;=YEAR('Assumptions and Sensis'!$H$51),M326,0)</f>
        <v>0</v>
      </c>
      <c r="N365" s="150">
        <f>+IF(YEAR(N$140)&lt;=YEAR('Assumptions and Sensis'!$H$51),N326,0)</f>
        <v>0</v>
      </c>
      <c r="O365" s="150">
        <f>+IF(YEAR(O$140)&lt;=YEAR('Assumptions and Sensis'!$H$51),O326,0)</f>
        <v>0</v>
      </c>
      <c r="P365" s="150">
        <f>+IF(YEAR(P$140)&lt;=YEAR('Assumptions and Sensis'!$H$51),P326,0)</f>
        <v>0</v>
      </c>
      <c r="Q365" s="150">
        <f>+IF(YEAR(Q$140)&lt;=YEAR('Assumptions and Sensis'!$H$51),Q326,0)</f>
        <v>0</v>
      </c>
      <c r="R365" s="150">
        <f>+IF(YEAR(R$140)&lt;=YEAR('Assumptions and Sensis'!$H$51),R326,0)</f>
        <v>0</v>
      </c>
      <c r="S365" s="150">
        <f>+IF(YEAR(S$140)&lt;=YEAR('Assumptions and Sensis'!$H$51),S326,0)</f>
        <v>0</v>
      </c>
      <c r="T365" s="150">
        <f>+IF(YEAR(T$140)&lt;=YEAR('Assumptions and Sensis'!$H$51),T326,0)</f>
        <v>0</v>
      </c>
      <c r="U365" s="150">
        <f>+IF(YEAR(U$140)&lt;=YEAR('Assumptions and Sensis'!$H$51),U326,0)</f>
        <v>0</v>
      </c>
      <c r="V365" s="150">
        <f>+IF(YEAR(V$140)&lt;=YEAR('Assumptions and Sensis'!$H$51),V326,0)</f>
        <v>0</v>
      </c>
      <c r="W365" s="150">
        <f>+IF(YEAR(W$140)&lt;=YEAR('Assumptions and Sensis'!$H$51),W326,0)</f>
        <v>0</v>
      </c>
      <c r="X365" s="150">
        <f>+IF(YEAR(X$140)&lt;=YEAR('Assumptions and Sensis'!$H$51),X326,0)</f>
        <v>0</v>
      </c>
      <c r="Y365" s="150">
        <f>+IF(YEAR(Y$140)&lt;=YEAR('Assumptions and Sensis'!$H$51),Y326,0)</f>
        <v>0</v>
      </c>
      <c r="Z365" s="150">
        <f>+IF(YEAR(Z$140)&lt;=YEAR('Assumptions and Sensis'!$H$51),Z326,0)</f>
        <v>0</v>
      </c>
    </row>
    <row r="366" spans="2:26" x14ac:dyDescent="0.2">
      <c r="B366" s="32" t="s">
        <v>415</v>
      </c>
      <c r="D366" s="47"/>
      <c r="E366" s="47"/>
      <c r="F366" s="150">
        <f>-F394*'Assumptions and Sensis'!$M$227</f>
        <v>0</v>
      </c>
      <c r="G366" s="150">
        <f>-G394*'Assumptions and Sensis'!$M$227</f>
        <v>0</v>
      </c>
      <c r="H366" s="150">
        <f>-H394*'Assumptions and Sensis'!$M$227</f>
        <v>0</v>
      </c>
      <c r="I366" s="150">
        <f>-I394*'Assumptions and Sensis'!$M$227</f>
        <v>0</v>
      </c>
      <c r="J366" s="150">
        <f>-J394*'Assumptions and Sensis'!$M$227</f>
        <v>0</v>
      </c>
      <c r="K366" s="150">
        <f>-K394*'Assumptions and Sensis'!$M$227</f>
        <v>0</v>
      </c>
      <c r="L366" s="150">
        <f ca="1">-L394*'Assumptions and Sensis'!$M$227</f>
        <v>-38703142.118857063</v>
      </c>
      <c r="M366" s="150">
        <f>-M394*'Assumptions and Sensis'!$M$227</f>
        <v>0</v>
      </c>
      <c r="N366" s="150">
        <f>-N394*'Assumptions and Sensis'!$M$227</f>
        <v>0</v>
      </c>
      <c r="O366" s="150">
        <f>-O394*'Assumptions and Sensis'!$M$227</f>
        <v>0</v>
      </c>
      <c r="P366" s="150">
        <f>-P394*'Assumptions and Sensis'!$M$227</f>
        <v>0</v>
      </c>
      <c r="Q366" s="150">
        <f>-Q394*'Assumptions and Sensis'!$M$227</f>
        <v>0</v>
      </c>
      <c r="R366" s="150">
        <f>-R394*'Assumptions and Sensis'!$M$227</f>
        <v>0</v>
      </c>
      <c r="S366" s="150">
        <f>-S394*'Assumptions and Sensis'!$M$227</f>
        <v>0</v>
      </c>
      <c r="T366" s="150">
        <f>-T394*'Assumptions and Sensis'!$M$227</f>
        <v>0</v>
      </c>
      <c r="U366" s="150">
        <f>-U394*'Assumptions and Sensis'!$M$227</f>
        <v>0</v>
      </c>
      <c r="V366" s="150">
        <f>-V394*'Assumptions and Sensis'!$M$227</f>
        <v>0</v>
      </c>
      <c r="W366" s="150">
        <f>-W394*'Assumptions and Sensis'!$M$227</f>
        <v>0</v>
      </c>
      <c r="X366" s="150">
        <f>-X394*'Assumptions and Sensis'!$M$227</f>
        <v>0</v>
      </c>
      <c r="Y366" s="150">
        <f>-Y394*'Assumptions and Sensis'!$M$227</f>
        <v>0</v>
      </c>
      <c r="Z366" s="150">
        <f>-Z394*'Assumptions and Sensis'!$M$227</f>
        <v>0</v>
      </c>
    </row>
    <row r="367" spans="2:26" x14ac:dyDescent="0.2">
      <c r="B367" s="137" t="s">
        <v>407</v>
      </c>
      <c r="C367" s="137"/>
      <c r="D367" s="138">
        <f t="shared" ref="D367" ca="1" si="156">+SUM(F367:Z367)</f>
        <v>203887170.59838885</v>
      </c>
      <c r="E367" s="138"/>
      <c r="F367" s="138">
        <f t="shared" ref="F367:Z367" ca="1" si="157">+SUM(F360:F366)</f>
        <v>-55765379.325386167</v>
      </c>
      <c r="G367" s="138">
        <f t="shared" ca="1" si="157"/>
        <v>-154130353.24336112</v>
      </c>
      <c r="H367" s="138">
        <f t="shared" ca="1" si="157"/>
        <v>-79349002.14943248</v>
      </c>
      <c r="I367" s="138">
        <f t="shared" ca="1" si="157"/>
        <v>10118863.162103865</v>
      </c>
      <c r="J367" s="138">
        <f t="shared" ca="1" si="157"/>
        <v>21799010.740906172</v>
      </c>
      <c r="K367" s="138">
        <f t="shared" ca="1" si="157"/>
        <v>22022402.425144151</v>
      </c>
      <c r="L367" s="138">
        <f t="shared" ca="1" si="157"/>
        <v>439191628.98841447</v>
      </c>
      <c r="M367" s="138">
        <f t="shared" ca="1" si="157"/>
        <v>0</v>
      </c>
      <c r="N367" s="138">
        <f t="shared" ca="1" si="157"/>
        <v>0</v>
      </c>
      <c r="O367" s="138">
        <f t="shared" ca="1" si="157"/>
        <v>0</v>
      </c>
      <c r="P367" s="138">
        <f t="shared" ca="1" si="157"/>
        <v>0</v>
      </c>
      <c r="Q367" s="138">
        <f t="shared" ca="1" si="157"/>
        <v>0</v>
      </c>
      <c r="R367" s="138">
        <f t="shared" ca="1" si="157"/>
        <v>0</v>
      </c>
      <c r="S367" s="138">
        <f t="shared" ca="1" si="157"/>
        <v>0</v>
      </c>
      <c r="T367" s="138">
        <f t="shared" ca="1" si="157"/>
        <v>0</v>
      </c>
      <c r="U367" s="138">
        <f t="shared" ca="1" si="157"/>
        <v>0</v>
      </c>
      <c r="V367" s="138">
        <f t="shared" ca="1" si="157"/>
        <v>0</v>
      </c>
      <c r="W367" s="138">
        <f t="shared" ca="1" si="157"/>
        <v>0</v>
      </c>
      <c r="X367" s="138">
        <f t="shared" ca="1" si="157"/>
        <v>0</v>
      </c>
      <c r="Y367" s="138">
        <f t="shared" ca="1" si="157"/>
        <v>0</v>
      </c>
      <c r="Z367" s="138">
        <f t="shared" ca="1" si="157"/>
        <v>0</v>
      </c>
    </row>
    <row r="368" spans="2:26" x14ac:dyDescent="0.2">
      <c r="B368" s="118"/>
    </row>
    <row r="369" spans="2:26" x14ac:dyDescent="0.2">
      <c r="B369" s="223" t="s">
        <v>420</v>
      </c>
      <c r="C369" s="223"/>
      <c r="D369" s="224">
        <f ca="1">+IRR(F367:Z367)</f>
        <v>0.11946618658999242</v>
      </c>
    </row>
    <row r="370" spans="2:26" x14ac:dyDescent="0.2">
      <c r="B370" s="118"/>
    </row>
    <row r="371" spans="2:26" x14ac:dyDescent="0.2">
      <c r="B371" s="147" t="s">
        <v>406</v>
      </c>
      <c r="F371" s="147">
        <f>+F359</f>
        <v>0</v>
      </c>
      <c r="G371" s="147">
        <f t="shared" ref="G371:Z372" si="158">+G359</f>
        <v>1</v>
      </c>
      <c r="H371" s="147">
        <f t="shared" si="158"/>
        <v>2</v>
      </c>
      <c r="I371" s="147">
        <f t="shared" si="158"/>
        <v>3</v>
      </c>
      <c r="J371" s="147">
        <f t="shared" si="158"/>
        <v>4</v>
      </c>
      <c r="K371" s="147">
        <f t="shared" si="158"/>
        <v>5</v>
      </c>
      <c r="L371" s="147">
        <f t="shared" si="158"/>
        <v>6</v>
      </c>
      <c r="M371" s="147">
        <f t="shared" si="158"/>
        <v>7</v>
      </c>
      <c r="N371" s="147">
        <f t="shared" si="158"/>
        <v>8</v>
      </c>
      <c r="O371" s="147">
        <f t="shared" si="158"/>
        <v>9</v>
      </c>
      <c r="P371" s="147">
        <f t="shared" si="158"/>
        <v>10</v>
      </c>
      <c r="Q371" s="147">
        <f t="shared" si="158"/>
        <v>11</v>
      </c>
      <c r="R371" s="147">
        <f t="shared" si="158"/>
        <v>12</v>
      </c>
      <c r="S371" s="147">
        <f t="shared" si="158"/>
        <v>13</v>
      </c>
      <c r="T371" s="147">
        <f t="shared" si="158"/>
        <v>14</v>
      </c>
      <c r="U371" s="147">
        <f t="shared" si="158"/>
        <v>15</v>
      </c>
      <c r="V371" s="147">
        <f t="shared" si="158"/>
        <v>16</v>
      </c>
      <c r="W371" s="147">
        <f t="shared" si="158"/>
        <v>17</v>
      </c>
      <c r="X371" s="147">
        <f t="shared" si="158"/>
        <v>18</v>
      </c>
      <c r="Y371" s="147">
        <f t="shared" si="158"/>
        <v>19</v>
      </c>
      <c r="Z371" s="147">
        <f t="shared" si="158"/>
        <v>20</v>
      </c>
    </row>
    <row r="372" spans="2:26" x14ac:dyDescent="0.2">
      <c r="B372" s="32" t="s">
        <v>398</v>
      </c>
      <c r="D372" s="47"/>
      <c r="E372" s="47"/>
      <c r="F372" s="33">
        <f ca="1">+F360</f>
        <v>-55765379.325386167</v>
      </c>
      <c r="G372" s="33">
        <f t="shared" ca="1" si="158"/>
        <v>-154130353.24336112</v>
      </c>
      <c r="H372" s="33">
        <f t="shared" ca="1" si="158"/>
        <v>-79349002.14943248</v>
      </c>
      <c r="I372" s="33">
        <f t="shared" ca="1" si="158"/>
        <v>0</v>
      </c>
      <c r="J372" s="33">
        <f t="shared" ca="1" si="158"/>
        <v>0</v>
      </c>
      <c r="K372" s="33">
        <f t="shared" ca="1" si="158"/>
        <v>0</v>
      </c>
      <c r="L372" s="33">
        <f t="shared" ca="1" si="158"/>
        <v>0</v>
      </c>
      <c r="M372" s="33">
        <f t="shared" ca="1" si="158"/>
        <v>0</v>
      </c>
      <c r="N372" s="33">
        <f t="shared" ca="1" si="158"/>
        <v>0</v>
      </c>
      <c r="O372" s="33">
        <f t="shared" ca="1" si="158"/>
        <v>0</v>
      </c>
      <c r="P372" s="33">
        <f t="shared" ca="1" si="158"/>
        <v>0</v>
      </c>
      <c r="Q372" s="33">
        <f t="shared" ca="1" si="158"/>
        <v>0</v>
      </c>
      <c r="R372" s="33">
        <f t="shared" ca="1" si="158"/>
        <v>0</v>
      </c>
      <c r="S372" s="33">
        <f t="shared" ca="1" si="158"/>
        <v>0</v>
      </c>
      <c r="T372" s="33">
        <f t="shared" ca="1" si="158"/>
        <v>0</v>
      </c>
      <c r="U372" s="33">
        <f t="shared" ca="1" si="158"/>
        <v>0</v>
      </c>
      <c r="V372" s="33">
        <f t="shared" ca="1" si="158"/>
        <v>0</v>
      </c>
      <c r="W372" s="33">
        <f t="shared" ca="1" si="158"/>
        <v>0</v>
      </c>
      <c r="X372" s="33">
        <f t="shared" ca="1" si="158"/>
        <v>0</v>
      </c>
      <c r="Y372" s="33">
        <f t="shared" ca="1" si="158"/>
        <v>0</v>
      </c>
      <c r="Z372" s="33">
        <f t="shared" ca="1" si="158"/>
        <v>0</v>
      </c>
    </row>
    <row r="373" spans="2:26" x14ac:dyDescent="0.2">
      <c r="B373" s="32" t="s">
        <v>416</v>
      </c>
      <c r="D373" s="47"/>
      <c r="E373" s="47"/>
      <c r="F373" s="150">
        <f ca="1">-F372*'Assumptions and Sensis'!$M$227</f>
        <v>11710729.658331094</v>
      </c>
      <c r="G373" s="150">
        <f ca="1">-G372*'Assumptions and Sensis'!$M$227</f>
        <v>32367374.181105834</v>
      </c>
      <c r="H373" s="150">
        <f ca="1">-H372*'Assumptions and Sensis'!$M$227</f>
        <v>16663290.451380821</v>
      </c>
      <c r="I373" s="150">
        <f ca="1">-I372*'Assumptions and Sensis'!$M$227</f>
        <v>0</v>
      </c>
      <c r="J373" s="150">
        <f ca="1">-J372*'Assumptions and Sensis'!$M$227</f>
        <v>0</v>
      </c>
      <c r="K373" s="150">
        <f ca="1">-K372*'Assumptions and Sensis'!$M$227</f>
        <v>0</v>
      </c>
      <c r="L373" s="150">
        <f ca="1">-L372*'Assumptions and Sensis'!$M$227</f>
        <v>0</v>
      </c>
      <c r="M373" s="150">
        <f ca="1">-M372*'Assumptions and Sensis'!$M$227</f>
        <v>0</v>
      </c>
      <c r="N373" s="150">
        <f ca="1">-N372*'Assumptions and Sensis'!$M$227</f>
        <v>0</v>
      </c>
      <c r="O373" s="150">
        <f ca="1">-O372*'Assumptions and Sensis'!$M$227</f>
        <v>0</v>
      </c>
      <c r="P373" s="150">
        <f ca="1">-P372*'Assumptions and Sensis'!$M$227</f>
        <v>0</v>
      </c>
      <c r="Q373" s="150">
        <f ca="1">-Q372*'Assumptions and Sensis'!$M$227</f>
        <v>0</v>
      </c>
      <c r="R373" s="150">
        <f ca="1">-R372*'Assumptions and Sensis'!$M$227</f>
        <v>0</v>
      </c>
      <c r="S373" s="150">
        <f ca="1">-S372*'Assumptions and Sensis'!$M$227</f>
        <v>0</v>
      </c>
      <c r="T373" s="150">
        <f ca="1">-T372*'Assumptions and Sensis'!$M$227</f>
        <v>0</v>
      </c>
      <c r="U373" s="150">
        <f ca="1">-U372*'Assumptions and Sensis'!$M$227</f>
        <v>0</v>
      </c>
      <c r="V373" s="150">
        <f ca="1">-V372*'Assumptions and Sensis'!$M$227</f>
        <v>0</v>
      </c>
      <c r="W373" s="150">
        <f ca="1">-W372*'Assumptions and Sensis'!$M$227</f>
        <v>0</v>
      </c>
      <c r="X373" s="150">
        <f ca="1">-X372*'Assumptions and Sensis'!$M$227</f>
        <v>0</v>
      </c>
      <c r="Y373" s="150">
        <f ca="1">-Y372*'Assumptions and Sensis'!$M$227</f>
        <v>0</v>
      </c>
      <c r="Z373" s="150">
        <f ca="1">-Z372*'Assumptions and Sensis'!$M$227</f>
        <v>0</v>
      </c>
    </row>
    <row r="374" spans="2:26" x14ac:dyDescent="0.2">
      <c r="B374" s="32" t="s">
        <v>417</v>
      </c>
      <c r="D374" s="47"/>
      <c r="E374" s="47"/>
      <c r="F374" s="150">
        <f ca="1">IFERROR(-IF(YEAR(F357)&lt;MIN(YEAR('Assumptions and Sensis'!$H$51),2026),(OFFSET(F373,0,-10)),IF(YEAR(F357)=MIN(YEAR('Assumptions and Sensis'!$H$51),2026),SUM($E$373:F$373)-SUM($E$374:E$374),0)),0)</f>
        <v>0</v>
      </c>
      <c r="G374" s="150">
        <f ca="1">IFERROR(-IF(YEAR(G357)&lt;MIN(YEAR('Assumptions and Sensis'!$H$51),2026),(OFFSET(G373,0,-10)),IF(YEAR(G357)=MIN(YEAR('Assumptions and Sensis'!$H$51),2026),SUM($E$373:G$373)-SUM($E$374:F$374),0)),0)</f>
        <v>0</v>
      </c>
      <c r="H374" s="150">
        <f ca="1">IFERROR(-IF(YEAR(H357)&lt;MIN(YEAR('Assumptions and Sensis'!$H$51),2026),(OFFSET(H373,0,-10)),IF(YEAR(H357)=MIN(YEAR('Assumptions and Sensis'!$H$51),2026),SUM($E$373:H$373)-SUM($E$374:G$374),0)),0)</f>
        <v>-60741394.290817745</v>
      </c>
      <c r="I374" s="150">
        <f ca="1">IFERROR(-IF(YEAR(I357)&lt;MIN(YEAR('Assumptions and Sensis'!$H$51),2026),(OFFSET(I373,0,-10)),IF(YEAR(I357)=MIN(YEAR('Assumptions and Sensis'!$H$51),2026),SUM($E$373:I$373)-SUM($E$374:H$374),0)),0)</f>
        <v>0</v>
      </c>
      <c r="J374" s="150">
        <f ca="1">IFERROR(-IF(YEAR(J357)&lt;MIN(YEAR('Assumptions and Sensis'!$H$51),2026),(OFFSET(J373,0,-10)),IF(YEAR(J357)=MIN(YEAR('Assumptions and Sensis'!$H$51),2026),SUM($E$373:J$373)-SUM($E$374:I$374),0)),0)</f>
        <v>0</v>
      </c>
      <c r="K374" s="150">
        <f ca="1">IFERROR(-IF(YEAR(K357)&lt;MIN(YEAR('Assumptions and Sensis'!$H$51),2026),(OFFSET(K373,0,-10)),IF(YEAR(K357)=MIN(YEAR('Assumptions and Sensis'!$H$51),2026),SUM($E$373:K$373)-SUM($E$374:J$374),0)),0)</f>
        <v>0</v>
      </c>
      <c r="L374" s="150">
        <f ca="1">IFERROR(-IF(YEAR(L357)&lt;MIN(YEAR('Assumptions and Sensis'!$H$51),2026),(OFFSET(L373,0,-10)),IF(YEAR(L357)=MIN(YEAR('Assumptions and Sensis'!$H$51),2026),SUM($E$373:L$373)-SUM($E$374:K$374),0)),0)</f>
        <v>0</v>
      </c>
      <c r="M374" s="150">
        <f ca="1">IFERROR(-IF(YEAR(M357)&lt;MIN(YEAR('Assumptions and Sensis'!$H$51),2026),(OFFSET(M373,0,-10)),IF(YEAR(M357)=MIN(YEAR('Assumptions and Sensis'!$H$51),2026),SUM($E$373:M$373)-SUM($E$374:L$374),0)),0)</f>
        <v>0</v>
      </c>
      <c r="N374" s="150">
        <f ca="1">IFERROR(-IF(YEAR(N357)&lt;MIN(YEAR('Assumptions and Sensis'!$H$51),2026),(OFFSET(N373,0,-10)),IF(YEAR(N357)=MIN(YEAR('Assumptions and Sensis'!$H$51),2026),SUM($E$373:N$373)-SUM($E$374:M$374),0)),0)</f>
        <v>0</v>
      </c>
      <c r="O374" s="150">
        <f ca="1">IFERROR(-IF(YEAR(O357)&lt;MIN(YEAR('Assumptions and Sensis'!$H$51),2026),(OFFSET(O373,0,-10)),IF(YEAR(O357)=MIN(YEAR('Assumptions and Sensis'!$H$51),2026),SUM($E$373:O$373)-SUM($E$374:N$374),0)),0)</f>
        <v>0</v>
      </c>
      <c r="P374" s="150">
        <f ca="1">IFERROR(-IF(YEAR(P357)&lt;MIN(YEAR('Assumptions and Sensis'!$H$51),2026),(OFFSET(P373,0,-10)),IF(YEAR(P357)=MIN(YEAR('Assumptions and Sensis'!$H$51),2026),SUM($E$373:P$373)-SUM($E$374:O$374),0)),0)</f>
        <v>0</v>
      </c>
      <c r="Q374" s="150">
        <f ca="1">IFERROR(-IF(YEAR(Q357)&lt;MIN(YEAR('Assumptions and Sensis'!$H$51),2026),(OFFSET(Q373,0,-10)),IF(YEAR(Q357)=MIN(YEAR('Assumptions and Sensis'!$H$51),2026),SUM($E$373:Q$373)-SUM($E$374:P$374),0)),0)</f>
        <v>0</v>
      </c>
      <c r="R374" s="150">
        <f ca="1">IFERROR(-IF(YEAR(R357)&lt;MIN(YEAR('Assumptions and Sensis'!$H$51),2026),(OFFSET(R373,0,-10)),IF(YEAR(R357)=MIN(YEAR('Assumptions and Sensis'!$H$51),2026),SUM($E$373:R$373)-SUM($E$374:Q$374),0)),0)</f>
        <v>0</v>
      </c>
      <c r="S374" s="150">
        <f ca="1">IFERROR(-IF(YEAR(S357)&lt;MIN(YEAR('Assumptions and Sensis'!$H$51),2026),(OFFSET(S373,0,-10)),IF(YEAR(S357)=MIN(YEAR('Assumptions and Sensis'!$H$51),2026),SUM($E$373:S$373)-SUM($E$374:R$374),0)),0)</f>
        <v>0</v>
      </c>
      <c r="T374" s="150">
        <f ca="1">IFERROR(-IF(YEAR(T357)&lt;MIN(YEAR('Assumptions and Sensis'!$H$51),2026),(OFFSET(T373,0,-10)),IF(YEAR(T357)=MIN(YEAR('Assumptions and Sensis'!$H$51),2026),SUM($E$373:T$373)-SUM($E$374:S$374),0)),0)</f>
        <v>0</v>
      </c>
      <c r="U374" s="150">
        <f ca="1">IFERROR(-IF(YEAR(U357)&lt;MIN(YEAR('Assumptions and Sensis'!$H$51),2026),(OFFSET(U373,0,-10)),IF(YEAR(U357)=MIN(YEAR('Assumptions and Sensis'!$H$51),2026),SUM($E$373:U$373)-SUM($E$374:T$374),0)),0)</f>
        <v>0</v>
      </c>
      <c r="V374" s="150">
        <f ca="1">IFERROR(-IF(YEAR(V357)&lt;MIN(YEAR('Assumptions and Sensis'!$H$51),2026),(OFFSET(V373,0,-10)),IF(YEAR(V357)=MIN(YEAR('Assumptions and Sensis'!$H$51),2026),SUM($E$373:V$373)-SUM($E$374:U$374),0)),0)</f>
        <v>0</v>
      </c>
      <c r="W374" s="150">
        <f ca="1">IFERROR(-IF(YEAR(W357)&lt;MIN(YEAR('Assumptions and Sensis'!$H$51),2026),(OFFSET(W373,0,-10)),IF(YEAR(W357)=MIN(YEAR('Assumptions and Sensis'!$H$51),2026),SUM($E$373:W$373)-SUM($E$374:V$374),0)),0)</f>
        <v>0</v>
      </c>
      <c r="X374" s="150">
        <f ca="1">IFERROR(-IF(YEAR(X357)&lt;MIN(YEAR('Assumptions and Sensis'!$H$51),2026),(OFFSET(X373,0,-10)),IF(YEAR(X357)=MIN(YEAR('Assumptions and Sensis'!$H$51),2026),SUM($E$373:X$373)-SUM($E$374:W$374),0)),0)</f>
        <v>0</v>
      </c>
      <c r="Y374" s="150">
        <f ca="1">IFERROR(-IF(YEAR(Y357)&lt;MIN(YEAR('Assumptions and Sensis'!$H$51),2026),(OFFSET(Y373,0,-10)),IF(YEAR(Y357)=MIN(YEAR('Assumptions and Sensis'!$H$51),2026),SUM($E$373:Y$373)-SUM($E$374:X$374),0)),0)</f>
        <v>0</v>
      </c>
      <c r="Z374" s="150">
        <f ca="1">IFERROR(-IF(YEAR(Z357)&lt;MIN(YEAR('Assumptions and Sensis'!$H$51),2026),(OFFSET(Z373,0,-10)),IF(YEAR(Z357)=MIN(YEAR('Assumptions and Sensis'!$H$51),2026),SUM($E$373:Z$373)-SUM($E$374:Y$374),0)),0)</f>
        <v>0</v>
      </c>
    </row>
    <row r="375" spans="2:26" x14ac:dyDescent="0.2">
      <c r="B375" s="32" t="s">
        <v>418</v>
      </c>
      <c r="D375" s="47"/>
      <c r="E375" s="47"/>
      <c r="F375" s="150">
        <f>+IF(YEAR(F357)=MIN(YEAR('Assumptions and Sensis'!$H$51),2026),SUM($F$385:$Z$385),0)</f>
        <v>0</v>
      </c>
      <c r="G375" s="150">
        <f>+IF(YEAR(G357)=MIN(YEAR('Assumptions and Sensis'!$H$51),2026),SUM($F$385:$Z$385),0)</f>
        <v>0</v>
      </c>
      <c r="H375" s="150">
        <f ca="1">+IF(YEAR(H357)=MIN(YEAR('Assumptions and Sensis'!$H$51),2026),SUM($F$385:$Z$385),0)</f>
        <v>4407810.3839436928</v>
      </c>
      <c r="I375" s="150">
        <f>+IF(YEAR(I357)=MIN(YEAR('Assumptions and Sensis'!$H$51),2026),SUM($F$385:$Z$385),0)</f>
        <v>0</v>
      </c>
      <c r="J375" s="150">
        <f>+IF(YEAR(J357)=MIN(YEAR('Assumptions and Sensis'!$H$51),2026),SUM($F$385:$Z$385),0)</f>
        <v>0</v>
      </c>
      <c r="K375" s="150">
        <f>+IF(YEAR(K357)=MIN(YEAR('Assumptions and Sensis'!$H$51),2026),SUM($F$385:$Z$385),0)</f>
        <v>0</v>
      </c>
      <c r="L375" s="150">
        <f>+IF(YEAR(L357)=MIN(YEAR('Assumptions and Sensis'!$H$51),2026),SUM($F$385:$Z$385),0)</f>
        <v>0</v>
      </c>
      <c r="M375" s="150">
        <f>+IF(YEAR(M357)=MIN(YEAR('Assumptions and Sensis'!$H$51),2026),SUM($F$385:$Z$385),0)</f>
        <v>0</v>
      </c>
      <c r="N375" s="150">
        <f>+IF(YEAR(N357)=MIN(YEAR('Assumptions and Sensis'!$H$51),2026),SUM($F$385:$Z$385),0)</f>
        <v>0</v>
      </c>
      <c r="O375" s="150">
        <f>+IF(YEAR(O357)=MIN(YEAR('Assumptions and Sensis'!$H$51),2026),SUM($F$385:$Z$385),0)</f>
        <v>0</v>
      </c>
      <c r="P375" s="150">
        <f>+IF(YEAR(P357)=MIN(YEAR('Assumptions and Sensis'!$H$51),2026),SUM($F$385:$Z$385),0)</f>
        <v>0</v>
      </c>
      <c r="Q375" s="150">
        <f>+IF(YEAR(Q357)=MIN(YEAR('Assumptions and Sensis'!$H$51),2026),SUM($F$385:$Z$385),0)</f>
        <v>0</v>
      </c>
      <c r="R375" s="150">
        <f>+IF(YEAR(R357)=MIN(YEAR('Assumptions and Sensis'!$H$51),2026),SUM($F$385:$Z$385),0)</f>
        <v>0</v>
      </c>
      <c r="S375" s="150">
        <f>+IF(YEAR(S357)=MIN(YEAR('Assumptions and Sensis'!$H$51),2026),SUM($F$385:$Z$385),0)</f>
        <v>0</v>
      </c>
      <c r="T375" s="150">
        <f>+IF(YEAR(T357)=MIN(YEAR('Assumptions and Sensis'!$H$51),2026),SUM($F$385:$Z$385),0)</f>
        <v>0</v>
      </c>
      <c r="U375" s="150">
        <f>+IF(YEAR(U357)=MIN(YEAR('Assumptions and Sensis'!$H$51),2026),SUM($F$385:$Z$385),0)</f>
        <v>0</v>
      </c>
      <c r="V375" s="150">
        <f>+IF(YEAR(V357)=MIN(YEAR('Assumptions and Sensis'!$H$51),2026),SUM($F$385:$Z$385),0)</f>
        <v>0</v>
      </c>
      <c r="W375" s="150">
        <f>+IF(YEAR(W357)=MIN(YEAR('Assumptions and Sensis'!$H$51),2026),SUM($F$385:$Z$385),0)</f>
        <v>0</v>
      </c>
      <c r="X375" s="150">
        <f>+IF(YEAR(X357)=MIN(YEAR('Assumptions and Sensis'!$H$51),2026),SUM($F$385:$Z$385),0)</f>
        <v>0</v>
      </c>
      <c r="Y375" s="150">
        <f>+IF(YEAR(Y357)=MIN(YEAR('Assumptions and Sensis'!$H$51),2026),SUM($F$385:$Z$385),0)</f>
        <v>0</v>
      </c>
      <c r="Z375" s="150">
        <f>+IF(YEAR(Z357)=MIN(YEAR('Assumptions and Sensis'!$H$51),2026),SUM($F$385:$Z$385),0)</f>
        <v>0</v>
      </c>
    </row>
    <row r="376" spans="2:26" x14ac:dyDescent="0.2">
      <c r="B376" s="32" t="s">
        <v>408</v>
      </c>
      <c r="D376" s="47"/>
      <c r="E376" s="47"/>
      <c r="F376" s="150">
        <f ca="1">+F363</f>
        <v>0</v>
      </c>
      <c r="G376" s="150">
        <f t="shared" ref="G376:Z378" ca="1" si="159">+G363</f>
        <v>0</v>
      </c>
      <c r="H376" s="150">
        <f t="shared" ca="1" si="159"/>
        <v>0</v>
      </c>
      <c r="I376" s="150">
        <f t="shared" ca="1" si="159"/>
        <v>-2689824.3848630525</v>
      </c>
      <c r="J376" s="150">
        <f t="shared" ca="1" si="159"/>
        <v>-4079856.9545800122</v>
      </c>
      <c r="K376" s="150">
        <f t="shared" ca="1" si="159"/>
        <v>-4139239.5541875749</v>
      </c>
      <c r="L376" s="150">
        <f t="shared" ca="1" si="159"/>
        <v>-4585792.4630334033</v>
      </c>
      <c r="M376" s="150">
        <f t="shared" si="159"/>
        <v>0</v>
      </c>
      <c r="N376" s="150">
        <f t="shared" si="159"/>
        <v>0</v>
      </c>
      <c r="O376" s="150">
        <f t="shared" si="159"/>
        <v>0</v>
      </c>
      <c r="P376" s="150">
        <f t="shared" si="159"/>
        <v>0</v>
      </c>
      <c r="Q376" s="150">
        <f t="shared" si="159"/>
        <v>0</v>
      </c>
      <c r="R376" s="150">
        <f t="shared" si="159"/>
        <v>0</v>
      </c>
      <c r="S376" s="150">
        <f t="shared" si="159"/>
        <v>0</v>
      </c>
      <c r="T376" s="150">
        <f t="shared" si="159"/>
        <v>0</v>
      </c>
      <c r="U376" s="150">
        <f t="shared" si="159"/>
        <v>0</v>
      </c>
      <c r="V376" s="150">
        <f t="shared" si="159"/>
        <v>0</v>
      </c>
      <c r="W376" s="150">
        <f t="shared" si="159"/>
        <v>0</v>
      </c>
      <c r="X376" s="150">
        <f t="shared" si="159"/>
        <v>0</v>
      </c>
      <c r="Y376" s="150">
        <f t="shared" si="159"/>
        <v>0</v>
      </c>
      <c r="Z376" s="150">
        <f t="shared" si="159"/>
        <v>0</v>
      </c>
    </row>
    <row r="377" spans="2:26" x14ac:dyDescent="0.2">
      <c r="B377" s="32" t="s">
        <v>409</v>
      </c>
      <c r="D377" s="47"/>
      <c r="E377" s="47"/>
      <c r="F377" s="150">
        <f ca="1">+F364</f>
        <v>0</v>
      </c>
      <c r="G377" s="150">
        <f t="shared" ca="1" si="159"/>
        <v>0</v>
      </c>
      <c r="H377" s="150">
        <f t="shared" ca="1" si="159"/>
        <v>0</v>
      </c>
      <c r="I377" s="150">
        <f t="shared" ca="1" si="159"/>
        <v>12808687.546966918</v>
      </c>
      <c r="J377" s="150">
        <f t="shared" ca="1" si="159"/>
        <v>25878867.695486184</v>
      </c>
      <c r="K377" s="150">
        <f t="shared" ca="1" si="159"/>
        <v>26161641.979331724</v>
      </c>
      <c r="L377" s="150">
        <f t="shared" ca="1" si="159"/>
        <v>28288084.402407091</v>
      </c>
      <c r="M377" s="150">
        <f t="shared" si="159"/>
        <v>0</v>
      </c>
      <c r="N377" s="150">
        <f t="shared" si="159"/>
        <v>0</v>
      </c>
      <c r="O377" s="150">
        <f t="shared" si="159"/>
        <v>0</v>
      </c>
      <c r="P377" s="150">
        <f t="shared" si="159"/>
        <v>0</v>
      </c>
      <c r="Q377" s="150">
        <f t="shared" si="159"/>
        <v>0</v>
      </c>
      <c r="R377" s="150">
        <f t="shared" si="159"/>
        <v>0</v>
      </c>
      <c r="S377" s="150">
        <f t="shared" si="159"/>
        <v>0</v>
      </c>
      <c r="T377" s="150">
        <f t="shared" si="159"/>
        <v>0</v>
      </c>
      <c r="U377" s="150">
        <f t="shared" si="159"/>
        <v>0</v>
      </c>
      <c r="V377" s="150">
        <f t="shared" si="159"/>
        <v>0</v>
      </c>
      <c r="W377" s="150">
        <f t="shared" si="159"/>
        <v>0</v>
      </c>
      <c r="X377" s="150">
        <f t="shared" si="159"/>
        <v>0</v>
      </c>
      <c r="Y377" s="150">
        <f t="shared" si="159"/>
        <v>0</v>
      </c>
      <c r="Z377" s="150">
        <f t="shared" si="159"/>
        <v>0</v>
      </c>
    </row>
    <row r="378" spans="2:26" x14ac:dyDescent="0.2">
      <c r="B378" s="32" t="s">
        <v>403</v>
      </c>
      <c r="D378" s="47"/>
      <c r="E378" s="47"/>
      <c r="F378" s="150">
        <f>+F365</f>
        <v>0</v>
      </c>
      <c r="G378" s="150">
        <f t="shared" si="159"/>
        <v>0</v>
      </c>
      <c r="H378" s="150">
        <f t="shared" si="159"/>
        <v>0</v>
      </c>
      <c r="I378" s="150">
        <f t="shared" si="159"/>
        <v>0</v>
      </c>
      <c r="J378" s="150">
        <f t="shared" si="159"/>
        <v>0</v>
      </c>
      <c r="K378" s="150">
        <f t="shared" si="159"/>
        <v>0</v>
      </c>
      <c r="L378" s="150">
        <f t="shared" ca="1" si="159"/>
        <v>454192479.16789788</v>
      </c>
      <c r="M378" s="150">
        <f t="shared" si="159"/>
        <v>0</v>
      </c>
      <c r="N378" s="150">
        <f t="shared" si="159"/>
        <v>0</v>
      </c>
      <c r="O378" s="150">
        <f t="shared" si="159"/>
        <v>0</v>
      </c>
      <c r="P378" s="150">
        <f t="shared" si="159"/>
        <v>0</v>
      </c>
      <c r="Q378" s="150">
        <f t="shared" si="159"/>
        <v>0</v>
      </c>
      <c r="R378" s="150">
        <f t="shared" si="159"/>
        <v>0</v>
      </c>
      <c r="S378" s="150">
        <f t="shared" si="159"/>
        <v>0</v>
      </c>
      <c r="T378" s="150">
        <f t="shared" si="159"/>
        <v>0</v>
      </c>
      <c r="U378" s="150">
        <f t="shared" si="159"/>
        <v>0</v>
      </c>
      <c r="V378" s="150">
        <f t="shared" si="159"/>
        <v>0</v>
      </c>
      <c r="W378" s="150">
        <f t="shared" si="159"/>
        <v>0</v>
      </c>
      <c r="X378" s="150">
        <f t="shared" si="159"/>
        <v>0</v>
      </c>
      <c r="Y378" s="150">
        <f t="shared" si="159"/>
        <v>0</v>
      </c>
      <c r="Z378" s="150">
        <f t="shared" si="159"/>
        <v>0</v>
      </c>
    </row>
    <row r="379" spans="2:26" x14ac:dyDescent="0.2">
      <c r="B379" s="32" t="s">
        <v>415</v>
      </c>
      <c r="D379" s="47"/>
      <c r="E379" s="47"/>
      <c r="F379" s="150">
        <f>+IF(F359&gt;=10,0,F366)</f>
        <v>0</v>
      </c>
      <c r="G379" s="150">
        <f t="shared" ref="G379:Z379" si="160">+IF(G359&gt;=10,0,G366)</f>
        <v>0</v>
      </c>
      <c r="H379" s="150">
        <f t="shared" si="160"/>
        <v>0</v>
      </c>
      <c r="I379" s="150">
        <f t="shared" si="160"/>
        <v>0</v>
      </c>
      <c r="J379" s="150">
        <f t="shared" si="160"/>
        <v>0</v>
      </c>
      <c r="K379" s="150">
        <f t="shared" si="160"/>
        <v>0</v>
      </c>
      <c r="L379" s="150">
        <f t="shared" ca="1" si="160"/>
        <v>-38703142.118857063</v>
      </c>
      <c r="M379" s="150">
        <f t="shared" si="160"/>
        <v>0</v>
      </c>
      <c r="N379" s="150">
        <f t="shared" si="160"/>
        <v>0</v>
      </c>
      <c r="O379" s="150">
        <f t="shared" si="160"/>
        <v>0</v>
      </c>
      <c r="P379" s="150">
        <f t="shared" si="160"/>
        <v>0</v>
      </c>
      <c r="Q379" s="150">
        <f t="shared" si="160"/>
        <v>0</v>
      </c>
      <c r="R379" s="150">
        <f t="shared" si="160"/>
        <v>0</v>
      </c>
      <c r="S379" s="150">
        <f t="shared" si="160"/>
        <v>0</v>
      </c>
      <c r="T379" s="150">
        <f t="shared" si="160"/>
        <v>0</v>
      </c>
      <c r="U379" s="150">
        <f t="shared" si="160"/>
        <v>0</v>
      </c>
      <c r="V379" s="150">
        <f t="shared" si="160"/>
        <v>0</v>
      </c>
      <c r="W379" s="150">
        <f t="shared" si="160"/>
        <v>0</v>
      </c>
      <c r="X379" s="150">
        <f t="shared" si="160"/>
        <v>0</v>
      </c>
      <c r="Y379" s="150">
        <f t="shared" si="160"/>
        <v>0</v>
      </c>
      <c r="Z379" s="150">
        <f t="shared" si="160"/>
        <v>0</v>
      </c>
    </row>
    <row r="380" spans="2:26" x14ac:dyDescent="0.2">
      <c r="B380" s="137" t="s">
        <v>406</v>
      </c>
      <c r="C380" s="137"/>
      <c r="D380" s="138">
        <f t="shared" ref="D380" ca="1" si="161">+SUM(F380:Z380)</f>
        <v>208294980.98233259</v>
      </c>
      <c r="E380" s="138"/>
      <c r="F380" s="138">
        <f t="shared" ref="F380:Z380" ca="1" si="162">+SUM(F372:F379)</f>
        <v>-44054649.66705507</v>
      </c>
      <c r="G380" s="138">
        <f t="shared" ca="1" si="162"/>
        <v>-121762979.06225528</v>
      </c>
      <c r="H380" s="138">
        <f t="shared" ca="1" si="162"/>
        <v>-119019295.60492571</v>
      </c>
      <c r="I380" s="138">
        <f t="shared" ca="1" si="162"/>
        <v>10118863.162103865</v>
      </c>
      <c r="J380" s="138">
        <f t="shared" ca="1" si="162"/>
        <v>21799010.740906172</v>
      </c>
      <c r="K380" s="138">
        <f t="shared" ca="1" si="162"/>
        <v>22022402.425144151</v>
      </c>
      <c r="L380" s="138">
        <f t="shared" ca="1" si="162"/>
        <v>439191628.98841447</v>
      </c>
      <c r="M380" s="138">
        <f t="shared" ca="1" si="162"/>
        <v>0</v>
      </c>
      <c r="N380" s="138">
        <f t="shared" ca="1" si="162"/>
        <v>0</v>
      </c>
      <c r="O380" s="138">
        <f t="shared" ca="1" si="162"/>
        <v>0</v>
      </c>
      <c r="P380" s="138">
        <f t="shared" ca="1" si="162"/>
        <v>0</v>
      </c>
      <c r="Q380" s="138">
        <f t="shared" ca="1" si="162"/>
        <v>0</v>
      </c>
      <c r="R380" s="138">
        <f t="shared" ca="1" si="162"/>
        <v>0</v>
      </c>
      <c r="S380" s="138">
        <f t="shared" ca="1" si="162"/>
        <v>0</v>
      </c>
      <c r="T380" s="138">
        <f t="shared" ca="1" si="162"/>
        <v>0</v>
      </c>
      <c r="U380" s="138">
        <f t="shared" ca="1" si="162"/>
        <v>0</v>
      </c>
      <c r="V380" s="138">
        <f t="shared" ca="1" si="162"/>
        <v>0</v>
      </c>
      <c r="W380" s="138">
        <f t="shared" ca="1" si="162"/>
        <v>0</v>
      </c>
      <c r="X380" s="138">
        <f t="shared" ca="1" si="162"/>
        <v>0</v>
      </c>
      <c r="Y380" s="138">
        <f t="shared" ca="1" si="162"/>
        <v>0</v>
      </c>
      <c r="Z380" s="138">
        <f t="shared" ca="1" si="162"/>
        <v>0</v>
      </c>
    </row>
    <row r="382" spans="2:26" x14ac:dyDescent="0.2">
      <c r="B382" s="188" t="s">
        <v>421</v>
      </c>
      <c r="C382" s="188"/>
      <c r="D382" s="189">
        <f ca="1">+IRR(F380:Z380)</f>
        <v>0.12824137519032797</v>
      </c>
    </row>
    <row r="383" spans="2:26" x14ac:dyDescent="0.2">
      <c r="B383" s="192" t="s">
        <v>422</v>
      </c>
      <c r="C383" s="191"/>
      <c r="D383" s="225">
        <f ca="1">+D382/(1-'Assumptions and Sensis'!$M$227)</f>
        <v>0.16233085467130121</v>
      </c>
    </row>
    <row r="385" spans="2:26" x14ac:dyDescent="0.2">
      <c r="B385" s="40" t="s">
        <v>419</v>
      </c>
      <c r="F385" s="150">
        <f ca="1">IFERROR(IF(YEAR(F357)&lt;=YEAR('Assumptions and Sensis'!$H$51),10%*(OFFSET(F373,0,-5))+5%*(OFFSET(F373,0,-7)),0),0)</f>
        <v>0</v>
      </c>
      <c r="G385" s="150">
        <f ca="1">IFERROR(IF(YEAR(G357)&lt;=YEAR('Assumptions and Sensis'!$H$51),10%*(OFFSET(G373,0,-5))+5%*(OFFSET(G373,0,-7)),0),0)</f>
        <v>0</v>
      </c>
      <c r="H385" s="150">
        <f ca="1">IFERROR(IF(YEAR(H357)&lt;=YEAR('Assumptions and Sensis'!$H$51),10%*(OFFSET(H373,0,-5))+5%*(OFFSET(H373,0,-7)),0),0)</f>
        <v>0</v>
      </c>
      <c r="I385" s="150">
        <f ca="1">IFERROR(IF(YEAR(I357)&lt;=YEAR('Assumptions and Sensis'!$H$51),10%*(OFFSET(I373,0,-5))+5%*(OFFSET(I373,0,-7)),0),0)</f>
        <v>0</v>
      </c>
      <c r="J385" s="150">
        <f ca="1">IFERROR(IF(YEAR(J357)&lt;=YEAR('Assumptions and Sensis'!$H$51),10%*(OFFSET(J373,0,-5))+5%*(OFFSET(J373,0,-7)),0),0)</f>
        <v>0</v>
      </c>
      <c r="K385" s="150">
        <f ca="1">IFERROR(IF(YEAR(K357)&lt;=YEAR('Assumptions and Sensis'!$H$51),10%*(OFFSET(K373,0,-5))+5%*(OFFSET(K373,0,-7)),0),0)</f>
        <v>1171072.9658331096</v>
      </c>
      <c r="L385" s="150">
        <f ca="1">IFERROR(IF(YEAR(L357)&lt;=YEAR('Assumptions and Sensis'!$H$51),10%*(OFFSET(L373,0,-5))+5%*(OFFSET(L373,0,-7)),0),0)</f>
        <v>3236737.4181105834</v>
      </c>
      <c r="M385" s="150">
        <f ca="1">IFERROR(IF(YEAR(M357)&lt;=YEAR('Assumptions and Sensis'!$H$51),10%*(OFFSET(M373,0,-5))+5%*(OFFSET(M373,0,-7)),0),0)</f>
        <v>0</v>
      </c>
      <c r="N385" s="150">
        <f ca="1">IFERROR(IF(YEAR(N357)&lt;=YEAR('Assumptions and Sensis'!$H$51),10%*(OFFSET(N373,0,-5))+5%*(OFFSET(N373,0,-7)),0),0)</f>
        <v>0</v>
      </c>
      <c r="O385" s="150">
        <f ca="1">IFERROR(IF(YEAR(O357)&lt;=YEAR('Assumptions and Sensis'!$H$51),10%*(OFFSET(O373,0,-5))+5%*(OFFSET(O373,0,-7)),0),0)</f>
        <v>0</v>
      </c>
      <c r="P385" s="150">
        <f ca="1">IFERROR(IF(YEAR(P357)&lt;=YEAR('Assumptions and Sensis'!$H$51),10%*(OFFSET(P373,0,-5))+5%*(OFFSET(P373,0,-7)),0),0)</f>
        <v>0</v>
      </c>
      <c r="Q385" s="150">
        <f ca="1">IFERROR(IF(YEAR(Q357)&lt;=YEAR('Assumptions and Sensis'!$H$51),10%*(OFFSET(Q373,0,-5))+5%*(OFFSET(Q373,0,-7)),0),0)</f>
        <v>0</v>
      </c>
      <c r="R385" s="150">
        <f ca="1">IFERROR(IF(YEAR(R357)&lt;=YEAR('Assumptions and Sensis'!$H$51),10%*(OFFSET(R373,0,-5))+5%*(OFFSET(R373,0,-7)),0),0)</f>
        <v>0</v>
      </c>
      <c r="S385" s="150">
        <f ca="1">IFERROR(IF(YEAR(S357)&lt;=YEAR('Assumptions and Sensis'!$H$51),10%*(OFFSET(S373,0,-5))+5%*(OFFSET(S373,0,-7)),0),0)</f>
        <v>0</v>
      </c>
      <c r="T385" s="150">
        <f ca="1">IFERROR(IF(YEAR(T357)&lt;=YEAR('Assumptions and Sensis'!$H$51),10%*(OFFSET(T373,0,-5))+5%*(OFFSET(T373,0,-7)),0),0)</f>
        <v>0</v>
      </c>
      <c r="U385" s="150">
        <f ca="1">IFERROR(IF(YEAR(U357)&lt;=YEAR('Assumptions and Sensis'!$H$51),10%*(OFFSET(U373,0,-5))+5%*(OFFSET(U373,0,-7)),0),0)</f>
        <v>0</v>
      </c>
      <c r="V385" s="150">
        <f ca="1">IFERROR(IF(YEAR(V357)&lt;=YEAR('Assumptions and Sensis'!$H$51),10%*(OFFSET(V373,0,-5))+5%*(OFFSET(V373,0,-7)),0),0)</f>
        <v>0</v>
      </c>
      <c r="W385" s="150">
        <f ca="1">IFERROR(IF(YEAR(W357)&lt;=YEAR('Assumptions and Sensis'!$H$51),10%*(OFFSET(W373,0,-5))+5%*(OFFSET(W373,0,-7)),0),0)</f>
        <v>0</v>
      </c>
      <c r="X385" s="150">
        <f ca="1">IFERROR(IF(YEAR(X357)&lt;=YEAR('Assumptions and Sensis'!$H$51),10%*(OFFSET(X373,0,-5))+5%*(OFFSET(X373,0,-7)),0),0)</f>
        <v>0</v>
      </c>
      <c r="Y385" s="150">
        <f ca="1">IFERROR(IF(YEAR(Y357)&lt;=YEAR('Assumptions and Sensis'!$H$51),10%*(OFFSET(Y373,0,-5))+5%*(OFFSET(Y373,0,-7)),0),0)</f>
        <v>0</v>
      </c>
      <c r="Z385" s="150">
        <f ca="1">IFERROR(IF(YEAR(Z357)&lt;=YEAR('Assumptions and Sensis'!$H$51),10%*(OFFSET(Z373,0,-5))+5%*(OFFSET(Z373,0,-7)),0),0)</f>
        <v>0</v>
      </c>
    </row>
    <row r="387" spans="2:26" x14ac:dyDescent="0.2">
      <c r="B387" s="147" t="s">
        <v>399</v>
      </c>
    </row>
    <row r="388" spans="2:26" x14ac:dyDescent="0.2">
      <c r="B388" s="32" t="s">
        <v>400</v>
      </c>
      <c r="D388" s="47">
        <f ca="1">+SUM(F388:Z388)</f>
        <v>1403287118.4601085</v>
      </c>
      <c r="E388" s="47"/>
      <c r="F388" s="33">
        <v>0</v>
      </c>
      <c r="G388" s="33">
        <f ca="1">+F395</f>
        <v>55765379.325386167</v>
      </c>
      <c r="H388" s="33">
        <f t="shared" ref="H388:Z388" ca="1" si="163">+G395</f>
        <v>209895732.56874728</v>
      </c>
      <c r="I388" s="33">
        <f t="shared" ca="1" si="163"/>
        <v>289244734.71817982</v>
      </c>
      <c r="J388" s="33">
        <f t="shared" ca="1" si="163"/>
        <v>289244734.71817976</v>
      </c>
      <c r="K388" s="33">
        <f t="shared" ca="1" si="163"/>
        <v>282793757.28259844</v>
      </c>
      <c r="L388" s="33">
        <f t="shared" ca="1" si="163"/>
        <v>276342779.84701699</v>
      </c>
      <c r="M388" s="33">
        <f t="shared" ca="1" si="163"/>
        <v>0</v>
      </c>
      <c r="N388" s="33">
        <f t="shared" ca="1" si="163"/>
        <v>0</v>
      </c>
      <c r="O388" s="33">
        <f t="shared" ca="1" si="163"/>
        <v>0</v>
      </c>
      <c r="P388" s="33">
        <f t="shared" ca="1" si="163"/>
        <v>0</v>
      </c>
      <c r="Q388" s="33">
        <f t="shared" ca="1" si="163"/>
        <v>0</v>
      </c>
      <c r="R388" s="33">
        <f t="shared" ca="1" si="163"/>
        <v>0</v>
      </c>
      <c r="S388" s="33">
        <f t="shared" ca="1" si="163"/>
        <v>0</v>
      </c>
      <c r="T388" s="33">
        <f t="shared" ca="1" si="163"/>
        <v>0</v>
      </c>
      <c r="U388" s="33">
        <f t="shared" ca="1" si="163"/>
        <v>0</v>
      </c>
      <c r="V388" s="33">
        <f t="shared" ca="1" si="163"/>
        <v>0</v>
      </c>
      <c r="W388" s="33">
        <f t="shared" ca="1" si="163"/>
        <v>0</v>
      </c>
      <c r="X388" s="33">
        <f t="shared" ca="1" si="163"/>
        <v>0</v>
      </c>
      <c r="Y388" s="33">
        <f t="shared" ca="1" si="163"/>
        <v>0</v>
      </c>
      <c r="Z388" s="33">
        <f t="shared" ca="1" si="163"/>
        <v>0</v>
      </c>
    </row>
    <row r="389" spans="2:26" x14ac:dyDescent="0.2">
      <c r="B389" s="32" t="s">
        <v>398</v>
      </c>
      <c r="D389" s="47">
        <f t="shared" ref="D389:D394" ca="1" si="164">+SUM(F389:Z389)</f>
        <v>289244734.71817982</v>
      </c>
      <c r="E389" s="47"/>
      <c r="F389" s="150">
        <f ca="1">-F360</f>
        <v>55765379.325386167</v>
      </c>
      <c r="G389" s="150">
        <f t="shared" ref="G389:Z389" ca="1" si="165">-G360</f>
        <v>154130353.24336112</v>
      </c>
      <c r="H389" s="150">
        <f t="shared" ca="1" si="165"/>
        <v>79349002.14943248</v>
      </c>
      <c r="I389" s="150">
        <f t="shared" ca="1" si="165"/>
        <v>0</v>
      </c>
      <c r="J389" s="150">
        <f t="shared" ca="1" si="165"/>
        <v>0</v>
      </c>
      <c r="K389" s="150">
        <f t="shared" ca="1" si="165"/>
        <v>0</v>
      </c>
      <c r="L389" s="150">
        <f t="shared" ca="1" si="165"/>
        <v>0</v>
      </c>
      <c r="M389" s="150">
        <f t="shared" ca="1" si="165"/>
        <v>0</v>
      </c>
      <c r="N389" s="150">
        <f t="shared" ca="1" si="165"/>
        <v>0</v>
      </c>
      <c r="O389" s="150">
        <f t="shared" ca="1" si="165"/>
        <v>0</v>
      </c>
      <c r="P389" s="150">
        <f t="shared" ca="1" si="165"/>
        <v>0</v>
      </c>
      <c r="Q389" s="150">
        <f t="shared" ca="1" si="165"/>
        <v>0</v>
      </c>
      <c r="R389" s="150">
        <f t="shared" ca="1" si="165"/>
        <v>0</v>
      </c>
      <c r="S389" s="150">
        <f t="shared" ca="1" si="165"/>
        <v>0</v>
      </c>
      <c r="T389" s="150">
        <f t="shared" ca="1" si="165"/>
        <v>0</v>
      </c>
      <c r="U389" s="150">
        <f t="shared" ca="1" si="165"/>
        <v>0</v>
      </c>
      <c r="V389" s="150">
        <f t="shared" ca="1" si="165"/>
        <v>0</v>
      </c>
      <c r="W389" s="150">
        <f t="shared" ca="1" si="165"/>
        <v>0</v>
      </c>
      <c r="X389" s="150">
        <f t="shared" ca="1" si="165"/>
        <v>0</v>
      </c>
      <c r="Y389" s="150">
        <f t="shared" ca="1" si="165"/>
        <v>0</v>
      </c>
      <c r="Z389" s="150">
        <f t="shared" ca="1" si="165"/>
        <v>0</v>
      </c>
    </row>
    <row r="390" spans="2:26" x14ac:dyDescent="0.2">
      <c r="B390" s="32" t="s">
        <v>248</v>
      </c>
      <c r="D390" s="47">
        <f t="shared" ca="1" si="164"/>
        <v>93137281.62419191</v>
      </c>
      <c r="E390" s="47"/>
      <c r="F390" s="150">
        <f ca="1">IF(F357&lt;='Assumptions and Sensis'!$H$51,F321,0)</f>
        <v>0</v>
      </c>
      <c r="G390" s="150">
        <f ca="1">IF(G357&lt;='Assumptions and Sensis'!$H$51,G321,0)</f>
        <v>0</v>
      </c>
      <c r="H390" s="150">
        <f ca="1">IF(H357&lt;='Assumptions and Sensis'!$H$51,H321,0)</f>
        <v>0</v>
      </c>
      <c r="I390" s="150">
        <f ca="1">IF(I357&lt;='Assumptions and Sensis'!$H$51,I321,0)</f>
        <v>12808687.546966918</v>
      </c>
      <c r="J390" s="150">
        <f ca="1">IF(J357&lt;='Assumptions and Sensis'!$H$51,J321,0)</f>
        <v>25878867.695486184</v>
      </c>
      <c r="K390" s="150">
        <f ca="1">IF(K357&lt;='Assumptions and Sensis'!$H$51,K321,0)</f>
        <v>26161641.979331724</v>
      </c>
      <c r="L390" s="150">
        <f ca="1">IF(L357&lt;='Assumptions and Sensis'!$H$51,L321,0)</f>
        <v>28288084.402407091</v>
      </c>
      <c r="M390" s="150">
        <f>IF(M357&lt;='Assumptions and Sensis'!$H$51,M321,0)</f>
        <v>0</v>
      </c>
      <c r="N390" s="150">
        <f>IF(N357&lt;='Assumptions and Sensis'!$H$51,N321,0)</f>
        <v>0</v>
      </c>
      <c r="O390" s="150">
        <f>IF(O357&lt;='Assumptions and Sensis'!$H$51,O321,0)</f>
        <v>0</v>
      </c>
      <c r="P390" s="150">
        <f>IF(P357&lt;='Assumptions and Sensis'!$H$51,P321,0)</f>
        <v>0</v>
      </c>
      <c r="Q390" s="150">
        <f>IF(Q357&lt;='Assumptions and Sensis'!$H$51,Q321,0)</f>
        <v>0</v>
      </c>
      <c r="R390" s="150">
        <f>IF(R357&lt;='Assumptions and Sensis'!$H$51,R321,0)</f>
        <v>0</v>
      </c>
      <c r="S390" s="150">
        <f>IF(S357&lt;='Assumptions and Sensis'!$H$51,S321,0)</f>
        <v>0</v>
      </c>
      <c r="T390" s="150">
        <f>IF(T357&lt;='Assumptions and Sensis'!$H$51,T321,0)</f>
        <v>0</v>
      </c>
      <c r="U390" s="150">
        <f>IF(U357&lt;='Assumptions and Sensis'!$H$51,U321,0)</f>
        <v>0</v>
      </c>
      <c r="V390" s="150">
        <f>IF(V357&lt;='Assumptions and Sensis'!$H$51,V321,0)</f>
        <v>0</v>
      </c>
      <c r="W390" s="150">
        <f>IF(W357&lt;='Assumptions and Sensis'!$H$51,W321,0)</f>
        <v>0</v>
      </c>
      <c r="X390" s="150">
        <f>IF(X357&lt;='Assumptions and Sensis'!$H$51,X321,0)</f>
        <v>0</v>
      </c>
      <c r="Y390" s="150">
        <f>IF(Y357&lt;='Assumptions and Sensis'!$H$51,Y321,0)</f>
        <v>0</v>
      </c>
      <c r="Z390" s="150">
        <f>IF(Z357&lt;='Assumptions and Sensis'!$H$51,Z321,0)</f>
        <v>0</v>
      </c>
    </row>
    <row r="391" spans="2:26" x14ac:dyDescent="0.2">
      <c r="B391" s="32" t="s">
        <v>410</v>
      </c>
      <c r="D391" s="47">
        <f t="shared" ca="1" si="164"/>
        <v>-19352932.306744076</v>
      </c>
      <c r="E391" s="47"/>
      <c r="F391" s="150">
        <f>-IF(AND(F357&gt;'Assumptions and Sensis'!$H$47,F357&lt;='Assumptions and Sensis'!$H$51),Budget!$I$82*'Assumptions and Sensis'!$M$229/'Assumptions and Sensis'!$M$228,0)</f>
        <v>0</v>
      </c>
      <c r="G391" s="150">
        <f>-IF(AND(G357&gt;'Assumptions and Sensis'!$H$47,G357&lt;='Assumptions and Sensis'!$H$51),Budget!$I$82*'Assumptions and Sensis'!$M$229/'Assumptions and Sensis'!$M$228,0)</f>
        <v>0</v>
      </c>
      <c r="H391" s="150">
        <f>-IF(AND(H357&gt;'Assumptions and Sensis'!$H$47,H357&lt;='Assumptions and Sensis'!$H$51),Budget!$I$82*'Assumptions and Sensis'!$M$229/'Assumptions and Sensis'!$M$228,0)</f>
        <v>0</v>
      </c>
      <c r="I391" s="150">
        <f>-IF(AND(I357&gt;'Assumptions and Sensis'!$H$47,I357&lt;='Assumptions and Sensis'!$H$51),Budget!$I$82*'Assumptions and Sensis'!$M$229/'Assumptions and Sensis'!$M$228,0)</f>
        <v>0</v>
      </c>
      <c r="J391" s="150">
        <f ca="1">-IF(AND(J357&gt;'Assumptions and Sensis'!$H$47,J357&lt;='Assumptions and Sensis'!$H$51),Budget!$I$82*'Assumptions and Sensis'!$M$229/'Assumptions and Sensis'!$M$228,0)</f>
        <v>-6450977.4355813591</v>
      </c>
      <c r="K391" s="150">
        <f ca="1">-IF(AND(K357&gt;'Assumptions and Sensis'!$H$47,K357&lt;='Assumptions and Sensis'!$H$51),Budget!$I$82*'Assumptions and Sensis'!$M$229/'Assumptions and Sensis'!$M$228,0)</f>
        <v>-6450977.4355813591</v>
      </c>
      <c r="L391" s="150">
        <f ca="1">-IF(AND(L357&gt;'Assumptions and Sensis'!$H$47,L357&lt;='Assumptions and Sensis'!$H$51),Budget!$I$82*'Assumptions and Sensis'!$M$229/'Assumptions and Sensis'!$M$228,0)</f>
        <v>-6450977.4355813591</v>
      </c>
      <c r="M391" s="150">
        <f>-IF(AND(M357&gt;'Assumptions and Sensis'!$H$47,M357&lt;='Assumptions and Sensis'!$H$51),Budget!$I$82*'Assumptions and Sensis'!$M$229/'Assumptions and Sensis'!$M$228,0)</f>
        <v>0</v>
      </c>
      <c r="N391" s="150">
        <f>-IF(AND(N357&gt;'Assumptions and Sensis'!$H$47,N357&lt;='Assumptions and Sensis'!$H$51),Budget!$I$82*'Assumptions and Sensis'!$M$229/'Assumptions and Sensis'!$M$228,0)</f>
        <v>0</v>
      </c>
      <c r="O391" s="150">
        <f>-IF(AND(O357&gt;'Assumptions and Sensis'!$H$47,O357&lt;='Assumptions and Sensis'!$H$51),Budget!$I$82*'Assumptions and Sensis'!$M$229/'Assumptions and Sensis'!$M$228,0)</f>
        <v>0</v>
      </c>
      <c r="P391" s="150">
        <f>-IF(AND(P357&gt;'Assumptions and Sensis'!$H$47,P357&lt;='Assumptions and Sensis'!$H$51),Budget!$I$82*'Assumptions and Sensis'!$M$229/'Assumptions and Sensis'!$M$228,0)</f>
        <v>0</v>
      </c>
      <c r="Q391" s="150">
        <f>-IF(AND(Q357&gt;'Assumptions and Sensis'!$H$47,Q357&lt;='Assumptions and Sensis'!$H$51),Budget!$I$82*'Assumptions and Sensis'!$M$229/'Assumptions and Sensis'!$M$228,0)</f>
        <v>0</v>
      </c>
      <c r="R391" s="150">
        <f>-IF(AND(R357&gt;'Assumptions and Sensis'!$H$47,R357&lt;='Assumptions and Sensis'!$H$51),Budget!$I$82*'Assumptions and Sensis'!$M$229/'Assumptions and Sensis'!$M$228,0)</f>
        <v>0</v>
      </c>
      <c r="S391" s="150">
        <f>-IF(AND(S357&gt;'Assumptions and Sensis'!$H$47,S357&lt;='Assumptions and Sensis'!$H$51),Budget!$I$82*'Assumptions and Sensis'!$M$229/'Assumptions and Sensis'!$M$228,0)</f>
        <v>0</v>
      </c>
      <c r="T391" s="150">
        <f>-IF(AND(T357&gt;'Assumptions and Sensis'!$H$47,T357&lt;='Assumptions and Sensis'!$H$51),Budget!$I$82*'Assumptions and Sensis'!$M$229/'Assumptions and Sensis'!$M$228,0)</f>
        <v>0</v>
      </c>
      <c r="U391" s="150">
        <f>-IF(AND(U357&gt;'Assumptions and Sensis'!$H$47,U357&lt;='Assumptions and Sensis'!$H$51),Budget!$I$82*'Assumptions and Sensis'!$M$229/'Assumptions and Sensis'!$M$228,0)</f>
        <v>0</v>
      </c>
      <c r="V391" s="150">
        <f>-IF(AND(V357&gt;'Assumptions and Sensis'!$H$47,V357&lt;='Assumptions and Sensis'!$H$51),Budget!$I$82*'Assumptions and Sensis'!$M$229/'Assumptions and Sensis'!$M$228,0)</f>
        <v>0</v>
      </c>
      <c r="W391" s="150">
        <f>-IF(AND(W357&gt;'Assumptions and Sensis'!$H$47,W357&lt;='Assumptions and Sensis'!$H$51),Budget!$I$82*'Assumptions and Sensis'!$M$229/'Assumptions and Sensis'!$M$228,0)</f>
        <v>0</v>
      </c>
      <c r="X391" s="150">
        <f>-IF(AND(X357&gt;'Assumptions and Sensis'!$H$47,X357&lt;='Assumptions and Sensis'!$H$51),Budget!$I$82*'Assumptions and Sensis'!$M$229/'Assumptions and Sensis'!$M$228,0)</f>
        <v>0</v>
      </c>
      <c r="Y391" s="150">
        <f>-IF(AND(Y357&gt;'Assumptions and Sensis'!$H$47,Y357&lt;='Assumptions and Sensis'!$H$51),Budget!$I$82*'Assumptions and Sensis'!$M$229/'Assumptions and Sensis'!$M$228,0)</f>
        <v>0</v>
      </c>
      <c r="Z391" s="150">
        <f>-IF(AND(Z357&gt;'Assumptions and Sensis'!$H$47,Z357&lt;='Assumptions and Sensis'!$H$51),Budget!$I$82*'Assumptions and Sensis'!$M$229/'Assumptions and Sensis'!$M$228,0)</f>
        <v>0</v>
      </c>
    </row>
    <row r="392" spans="2:26" x14ac:dyDescent="0.2">
      <c r="B392" s="32" t="s">
        <v>401</v>
      </c>
      <c r="D392" s="47">
        <f t="shared" ca="1" si="164"/>
        <v>-93137281.62419191</v>
      </c>
      <c r="E392" s="47"/>
      <c r="F392" s="150">
        <f ca="1">-F364</f>
        <v>0</v>
      </c>
      <c r="G392" s="150">
        <f t="shared" ref="G392:Z393" ca="1" si="166">-G364</f>
        <v>0</v>
      </c>
      <c r="H392" s="150">
        <f t="shared" ca="1" si="166"/>
        <v>0</v>
      </c>
      <c r="I392" s="150">
        <f t="shared" ca="1" si="166"/>
        <v>-12808687.546966918</v>
      </c>
      <c r="J392" s="150">
        <f t="shared" ca="1" si="166"/>
        <v>-25878867.695486184</v>
      </c>
      <c r="K392" s="150">
        <f t="shared" ca="1" si="166"/>
        <v>-26161641.979331724</v>
      </c>
      <c r="L392" s="150">
        <f t="shared" ca="1" si="166"/>
        <v>-28288084.402407091</v>
      </c>
      <c r="M392" s="150">
        <f t="shared" si="166"/>
        <v>0</v>
      </c>
      <c r="N392" s="150">
        <f t="shared" si="166"/>
        <v>0</v>
      </c>
      <c r="O392" s="150">
        <f t="shared" si="166"/>
        <v>0</v>
      </c>
      <c r="P392" s="150">
        <f t="shared" si="166"/>
        <v>0</v>
      </c>
      <c r="Q392" s="150">
        <f t="shared" si="166"/>
        <v>0</v>
      </c>
      <c r="R392" s="150">
        <f t="shared" si="166"/>
        <v>0</v>
      </c>
      <c r="S392" s="150">
        <f t="shared" si="166"/>
        <v>0</v>
      </c>
      <c r="T392" s="150">
        <f t="shared" si="166"/>
        <v>0</v>
      </c>
      <c r="U392" s="150">
        <f t="shared" si="166"/>
        <v>0</v>
      </c>
      <c r="V392" s="150">
        <f t="shared" si="166"/>
        <v>0</v>
      </c>
      <c r="W392" s="150">
        <f t="shared" si="166"/>
        <v>0</v>
      </c>
      <c r="X392" s="150">
        <f t="shared" si="166"/>
        <v>0</v>
      </c>
      <c r="Y392" s="150">
        <f t="shared" si="166"/>
        <v>0</v>
      </c>
      <c r="Z392" s="150">
        <f t="shared" si="166"/>
        <v>0</v>
      </c>
    </row>
    <row r="393" spans="2:26" x14ac:dyDescent="0.2">
      <c r="B393" s="32" t="s">
        <v>403</v>
      </c>
      <c r="D393" s="47">
        <f t="shared" ca="1" si="164"/>
        <v>-454192479.16789788</v>
      </c>
      <c r="E393" s="47"/>
      <c r="F393" s="150">
        <f>-F365</f>
        <v>0</v>
      </c>
      <c r="G393" s="150">
        <f t="shared" si="166"/>
        <v>0</v>
      </c>
      <c r="H393" s="150">
        <f t="shared" si="166"/>
        <v>0</v>
      </c>
      <c r="I393" s="150">
        <f t="shared" si="166"/>
        <v>0</v>
      </c>
      <c r="J393" s="150">
        <f t="shared" si="166"/>
        <v>0</v>
      </c>
      <c r="K393" s="150">
        <f t="shared" si="166"/>
        <v>0</v>
      </c>
      <c r="L393" s="150">
        <f t="shared" ca="1" si="166"/>
        <v>-454192479.16789788</v>
      </c>
      <c r="M393" s="150">
        <f t="shared" si="166"/>
        <v>0</v>
      </c>
      <c r="N393" s="150">
        <f t="shared" si="166"/>
        <v>0</v>
      </c>
      <c r="O393" s="150">
        <f t="shared" si="166"/>
        <v>0</v>
      </c>
      <c r="P393" s="150">
        <f t="shared" si="166"/>
        <v>0</v>
      </c>
      <c r="Q393" s="150">
        <f t="shared" si="166"/>
        <v>0</v>
      </c>
      <c r="R393" s="150">
        <f t="shared" si="166"/>
        <v>0</v>
      </c>
      <c r="S393" s="150">
        <f t="shared" si="166"/>
        <v>0</v>
      </c>
      <c r="T393" s="150">
        <f t="shared" si="166"/>
        <v>0</v>
      </c>
      <c r="U393" s="150">
        <f t="shared" si="166"/>
        <v>0</v>
      </c>
      <c r="V393" s="150">
        <f t="shared" si="166"/>
        <v>0</v>
      </c>
      <c r="W393" s="150">
        <f t="shared" si="166"/>
        <v>0</v>
      </c>
      <c r="X393" s="150">
        <f t="shared" si="166"/>
        <v>0</v>
      </c>
      <c r="Y393" s="150">
        <f t="shared" si="166"/>
        <v>0</v>
      </c>
      <c r="Z393" s="150">
        <f t="shared" si="166"/>
        <v>0</v>
      </c>
    </row>
    <row r="394" spans="2:26" x14ac:dyDescent="0.2">
      <c r="B394" s="32" t="s">
        <v>414</v>
      </c>
      <c r="D394" s="47">
        <f t="shared" ca="1" si="164"/>
        <v>184300676.75646222</v>
      </c>
      <c r="E394" s="47"/>
      <c r="F394" s="150">
        <f>-IF(YEAR(F357)=YEAR('Assumptions and Sensis'!$H$51),SUM(F388:F393),0)</f>
        <v>0</v>
      </c>
      <c r="G394" s="150">
        <f>-IF(YEAR(G357)=YEAR('Assumptions and Sensis'!$H$51),SUM(G388:G393),0)</f>
        <v>0</v>
      </c>
      <c r="H394" s="150">
        <f>-IF(YEAR(H357)=YEAR('Assumptions and Sensis'!$H$51),SUM(H388:H393),0)</f>
        <v>0</v>
      </c>
      <c r="I394" s="150">
        <f>-IF(YEAR(I357)=YEAR('Assumptions and Sensis'!$H$51),SUM(I388:I393),0)</f>
        <v>0</v>
      </c>
      <c r="J394" s="150">
        <f>-IF(YEAR(J357)=YEAR('Assumptions and Sensis'!$H$51),SUM(J388:J393),0)</f>
        <v>0</v>
      </c>
      <c r="K394" s="150">
        <f>-IF(YEAR(K357)=YEAR('Assumptions and Sensis'!$H$51),SUM(K388:K393),0)</f>
        <v>0</v>
      </c>
      <c r="L394" s="150">
        <f ca="1">-IF(YEAR(L357)=YEAR('Assumptions and Sensis'!$H$51),SUM(L388:L393),0)</f>
        <v>184300676.75646228</v>
      </c>
      <c r="M394" s="150">
        <f>-IF(YEAR(M357)=YEAR('Assumptions and Sensis'!$H$51),SUM(M388:M393),0)</f>
        <v>0</v>
      </c>
      <c r="N394" s="150">
        <f>-IF(YEAR(N357)=YEAR('Assumptions and Sensis'!$H$51),SUM(N388:N393),0)</f>
        <v>0</v>
      </c>
      <c r="O394" s="150">
        <f>-IF(YEAR(O357)=YEAR('Assumptions and Sensis'!$H$51),SUM(O388:O393),0)</f>
        <v>0</v>
      </c>
      <c r="P394" s="150">
        <f>-IF(YEAR(P357)=YEAR('Assumptions and Sensis'!$H$51),SUM(P388:P393),0)</f>
        <v>0</v>
      </c>
      <c r="Q394" s="150">
        <f>-IF(YEAR(Q357)=YEAR('Assumptions and Sensis'!$H$51),SUM(Q388:Q393),0)</f>
        <v>0</v>
      </c>
      <c r="R394" s="150">
        <f>-IF(YEAR(R357)=YEAR('Assumptions and Sensis'!$H$51),SUM(R388:R393),0)</f>
        <v>0</v>
      </c>
      <c r="S394" s="150">
        <f>-IF(YEAR(S357)=YEAR('Assumptions and Sensis'!$H$51),SUM(S388:S393),0)</f>
        <v>0</v>
      </c>
      <c r="T394" s="150">
        <f>-IF(YEAR(T357)=YEAR('Assumptions and Sensis'!$H$51),SUM(T388:T393),0)</f>
        <v>0</v>
      </c>
      <c r="U394" s="150">
        <f>-IF(YEAR(U357)=YEAR('Assumptions and Sensis'!$H$51),SUM(U388:U393),0)</f>
        <v>0</v>
      </c>
      <c r="V394" s="150">
        <f>-IF(YEAR(V357)=YEAR('Assumptions and Sensis'!$H$51),SUM(V388:V393),0)</f>
        <v>0</v>
      </c>
      <c r="W394" s="150">
        <f>-IF(YEAR(W357)=YEAR('Assumptions and Sensis'!$H$51),SUM(W388:W393),0)</f>
        <v>0</v>
      </c>
      <c r="X394" s="150">
        <f>-IF(YEAR(X357)=YEAR('Assumptions and Sensis'!$H$51),SUM(X388:X393),0)</f>
        <v>0</v>
      </c>
      <c r="Y394" s="150">
        <f>-IF(YEAR(Y357)=YEAR('Assumptions and Sensis'!$H$51),SUM(Y388:Y393),0)</f>
        <v>0</v>
      </c>
      <c r="Z394" s="150">
        <f>-IF(YEAR(Z357)=YEAR('Assumptions and Sensis'!$H$51),SUM(Z388:Z393),0)</f>
        <v>0</v>
      </c>
    </row>
    <row r="395" spans="2:26" x14ac:dyDescent="0.2">
      <c r="B395" s="136" t="s">
        <v>402</v>
      </c>
      <c r="C395" s="136"/>
      <c r="D395" s="35">
        <f t="shared" ref="D395" ca="1" si="167">+SUM(F395:Z395)</f>
        <v>1403287118.4601085</v>
      </c>
      <c r="E395" s="128"/>
      <c r="F395" s="128">
        <f ca="1">+SUM(F388:F394)</f>
        <v>55765379.325386167</v>
      </c>
      <c r="G395" s="128">
        <f t="shared" ref="G395:Z395" ca="1" si="168">+SUM(G388:G394)</f>
        <v>209895732.56874728</v>
      </c>
      <c r="H395" s="128">
        <f t="shared" ca="1" si="168"/>
        <v>289244734.71817976</v>
      </c>
      <c r="I395" s="128">
        <f t="shared" ca="1" si="168"/>
        <v>289244734.71817982</v>
      </c>
      <c r="J395" s="128">
        <f t="shared" ca="1" si="168"/>
        <v>282793757.28259838</v>
      </c>
      <c r="K395" s="128">
        <f t="shared" ca="1" si="168"/>
        <v>276342779.84701705</v>
      </c>
      <c r="L395" s="128">
        <f t="shared" ca="1" si="168"/>
        <v>0</v>
      </c>
      <c r="M395" s="128">
        <f t="shared" ca="1" si="168"/>
        <v>0</v>
      </c>
      <c r="N395" s="128">
        <f t="shared" ca="1" si="168"/>
        <v>0</v>
      </c>
      <c r="O395" s="128">
        <f t="shared" ca="1" si="168"/>
        <v>0</v>
      </c>
      <c r="P395" s="128">
        <f t="shared" ca="1" si="168"/>
        <v>0</v>
      </c>
      <c r="Q395" s="128">
        <f t="shared" ca="1" si="168"/>
        <v>0</v>
      </c>
      <c r="R395" s="128">
        <f t="shared" ca="1" si="168"/>
        <v>0</v>
      </c>
      <c r="S395" s="128">
        <f t="shared" ca="1" si="168"/>
        <v>0</v>
      </c>
      <c r="T395" s="128">
        <f t="shared" ca="1" si="168"/>
        <v>0</v>
      </c>
      <c r="U395" s="128">
        <f t="shared" ca="1" si="168"/>
        <v>0</v>
      </c>
      <c r="V395" s="128">
        <f t="shared" ca="1" si="168"/>
        <v>0</v>
      </c>
      <c r="W395" s="128">
        <f t="shared" ca="1" si="168"/>
        <v>0</v>
      </c>
      <c r="X395" s="128">
        <f t="shared" ca="1" si="168"/>
        <v>0</v>
      </c>
      <c r="Y395" s="128">
        <f t="shared" ca="1" si="168"/>
        <v>0</v>
      </c>
      <c r="Z395" s="128">
        <f t="shared" ca="1" si="168"/>
        <v>0</v>
      </c>
    </row>
    <row r="397" spans="2:26" x14ac:dyDescent="0.2">
      <c r="B397" s="36" t="s">
        <v>636</v>
      </c>
      <c r="C397" s="37"/>
      <c r="D397" s="37"/>
      <c r="E397" s="37"/>
      <c r="F397" s="135">
        <f>+F357</f>
        <v>45657</v>
      </c>
      <c r="G397" s="135">
        <f t="shared" ref="G397:Z397" si="169">+G357</f>
        <v>46022</v>
      </c>
      <c r="H397" s="135">
        <f t="shared" si="169"/>
        <v>46387</v>
      </c>
      <c r="I397" s="135">
        <f t="shared" si="169"/>
        <v>46752</v>
      </c>
      <c r="J397" s="135">
        <f t="shared" si="169"/>
        <v>47118</v>
      </c>
      <c r="K397" s="135">
        <f t="shared" si="169"/>
        <v>47483</v>
      </c>
      <c r="L397" s="135">
        <f t="shared" si="169"/>
        <v>47848</v>
      </c>
      <c r="M397" s="135">
        <f t="shared" si="169"/>
        <v>48213</v>
      </c>
      <c r="N397" s="135">
        <f t="shared" si="169"/>
        <v>48579</v>
      </c>
      <c r="O397" s="135">
        <f t="shared" si="169"/>
        <v>48944</v>
      </c>
      <c r="P397" s="135">
        <f t="shared" si="169"/>
        <v>49309</v>
      </c>
      <c r="Q397" s="135">
        <f t="shared" si="169"/>
        <v>49674</v>
      </c>
      <c r="R397" s="135">
        <f t="shared" si="169"/>
        <v>50040</v>
      </c>
      <c r="S397" s="135">
        <f t="shared" si="169"/>
        <v>50405</v>
      </c>
      <c r="T397" s="135">
        <f t="shared" si="169"/>
        <v>50770</v>
      </c>
      <c r="U397" s="135">
        <f t="shared" si="169"/>
        <v>51135</v>
      </c>
      <c r="V397" s="135">
        <f t="shared" si="169"/>
        <v>51501</v>
      </c>
      <c r="W397" s="135">
        <f t="shared" si="169"/>
        <v>51866</v>
      </c>
      <c r="X397" s="135">
        <f t="shared" si="169"/>
        <v>52231</v>
      </c>
      <c r="Y397" s="135">
        <f t="shared" si="169"/>
        <v>52596</v>
      </c>
      <c r="Z397" s="135">
        <f t="shared" si="169"/>
        <v>52962</v>
      </c>
    </row>
    <row r="398" spans="2:26" x14ac:dyDescent="0.2">
      <c r="B398" s="118"/>
    </row>
    <row r="399" spans="2:26" x14ac:dyDescent="0.2">
      <c r="B399" s="147" t="s">
        <v>646</v>
      </c>
      <c r="F399" s="147">
        <v>0</v>
      </c>
      <c r="G399" s="147">
        <f>+F399+1</f>
        <v>1</v>
      </c>
      <c r="H399" s="147">
        <f t="shared" ref="H399:Z399" si="170">+G399+1</f>
        <v>2</v>
      </c>
      <c r="I399" s="147">
        <f t="shared" si="170"/>
        <v>3</v>
      </c>
      <c r="J399" s="147">
        <f t="shared" si="170"/>
        <v>4</v>
      </c>
      <c r="K399" s="147">
        <f t="shared" si="170"/>
        <v>5</v>
      </c>
      <c r="L399" s="147">
        <f t="shared" si="170"/>
        <v>6</v>
      </c>
      <c r="M399" s="147">
        <f t="shared" si="170"/>
        <v>7</v>
      </c>
      <c r="N399" s="147">
        <f t="shared" si="170"/>
        <v>8</v>
      </c>
      <c r="O399" s="147">
        <f t="shared" si="170"/>
        <v>9</v>
      </c>
      <c r="P399" s="147">
        <f t="shared" si="170"/>
        <v>10</v>
      </c>
      <c r="Q399" s="147">
        <f t="shared" si="170"/>
        <v>11</v>
      </c>
      <c r="R399" s="147">
        <f t="shared" si="170"/>
        <v>12</v>
      </c>
      <c r="S399" s="147">
        <f t="shared" si="170"/>
        <v>13</v>
      </c>
      <c r="T399" s="147">
        <f t="shared" si="170"/>
        <v>14</v>
      </c>
      <c r="U399" s="147">
        <f t="shared" si="170"/>
        <v>15</v>
      </c>
      <c r="V399" s="147">
        <f t="shared" si="170"/>
        <v>16</v>
      </c>
      <c r="W399" s="147">
        <f t="shared" si="170"/>
        <v>17</v>
      </c>
      <c r="X399" s="147">
        <f t="shared" si="170"/>
        <v>18</v>
      </c>
      <c r="Y399" s="147">
        <f t="shared" si="170"/>
        <v>19</v>
      </c>
      <c r="Z399" s="147">
        <f t="shared" si="170"/>
        <v>20</v>
      </c>
    </row>
    <row r="400" spans="2:26" x14ac:dyDescent="0.2">
      <c r="B400" s="32" t="s">
        <v>398</v>
      </c>
      <c r="D400" s="47"/>
      <c r="E400" s="47"/>
      <c r="F400" s="33">
        <f ca="1">+F$307</f>
        <v>-55765379.325386167</v>
      </c>
      <c r="G400" s="33">
        <f t="shared" ref="G400:Z400" ca="1" si="171">+G$307</f>
        <v>-22795049.819411576</v>
      </c>
      <c r="H400" s="33">
        <f t="shared" ca="1" si="171"/>
        <v>0</v>
      </c>
      <c r="I400" s="33">
        <f t="shared" ca="1" si="171"/>
        <v>0</v>
      </c>
      <c r="J400" s="33">
        <f t="shared" ca="1" si="171"/>
        <v>0</v>
      </c>
      <c r="K400" s="33">
        <f t="shared" ca="1" si="171"/>
        <v>0</v>
      </c>
      <c r="L400" s="33">
        <f t="shared" ca="1" si="171"/>
        <v>0</v>
      </c>
      <c r="M400" s="33">
        <f t="shared" ca="1" si="171"/>
        <v>0</v>
      </c>
      <c r="N400" s="33">
        <f t="shared" ca="1" si="171"/>
        <v>0</v>
      </c>
      <c r="O400" s="33">
        <f t="shared" ca="1" si="171"/>
        <v>0</v>
      </c>
      <c r="P400" s="33">
        <f t="shared" ca="1" si="171"/>
        <v>0</v>
      </c>
      <c r="Q400" s="33">
        <f t="shared" ca="1" si="171"/>
        <v>0</v>
      </c>
      <c r="R400" s="33">
        <f t="shared" ca="1" si="171"/>
        <v>0</v>
      </c>
      <c r="S400" s="33">
        <f t="shared" ca="1" si="171"/>
        <v>0</v>
      </c>
      <c r="T400" s="33">
        <f t="shared" ca="1" si="171"/>
        <v>0</v>
      </c>
      <c r="U400" s="33">
        <f t="shared" ca="1" si="171"/>
        <v>0</v>
      </c>
      <c r="V400" s="33">
        <f t="shared" ca="1" si="171"/>
        <v>0</v>
      </c>
      <c r="W400" s="33">
        <f t="shared" ca="1" si="171"/>
        <v>0</v>
      </c>
      <c r="X400" s="33">
        <f t="shared" ca="1" si="171"/>
        <v>0</v>
      </c>
      <c r="Y400" s="33">
        <f t="shared" ca="1" si="171"/>
        <v>0</v>
      </c>
      <c r="Z400" s="33">
        <f t="shared" ca="1" si="171"/>
        <v>0</v>
      </c>
    </row>
    <row r="401" spans="2:26" x14ac:dyDescent="0.2">
      <c r="B401" s="32" t="s">
        <v>416</v>
      </c>
      <c r="D401" s="47"/>
      <c r="E401" s="47"/>
      <c r="F401" s="150">
        <v>0</v>
      </c>
      <c r="G401" s="150">
        <v>0</v>
      </c>
      <c r="H401" s="150">
        <v>0</v>
      </c>
      <c r="I401" s="150">
        <v>0</v>
      </c>
      <c r="J401" s="150">
        <v>0</v>
      </c>
      <c r="K401" s="150">
        <v>0</v>
      </c>
      <c r="L401" s="150">
        <v>0</v>
      </c>
      <c r="M401" s="150">
        <v>0</v>
      </c>
      <c r="N401" s="150">
        <v>0</v>
      </c>
      <c r="O401" s="150">
        <v>0</v>
      </c>
      <c r="P401" s="150">
        <v>0</v>
      </c>
      <c r="Q401" s="150">
        <v>0</v>
      </c>
      <c r="R401" s="150">
        <v>0</v>
      </c>
      <c r="S401" s="150">
        <v>0</v>
      </c>
      <c r="T401" s="150">
        <v>0</v>
      </c>
      <c r="U401" s="150">
        <v>0</v>
      </c>
      <c r="V401" s="150">
        <v>0</v>
      </c>
      <c r="W401" s="150">
        <v>0</v>
      </c>
      <c r="X401" s="150">
        <v>0</v>
      </c>
      <c r="Y401" s="150">
        <v>0</v>
      </c>
      <c r="Z401" s="150">
        <v>0</v>
      </c>
    </row>
    <row r="402" spans="2:26" x14ac:dyDescent="0.2">
      <c r="B402" s="32" t="s">
        <v>417</v>
      </c>
      <c r="D402" s="47"/>
      <c r="E402" s="47"/>
      <c r="F402" s="150">
        <v>0</v>
      </c>
      <c r="G402" s="150">
        <v>0</v>
      </c>
      <c r="H402" s="150">
        <v>0</v>
      </c>
      <c r="I402" s="150">
        <v>0</v>
      </c>
      <c r="J402" s="150">
        <v>0</v>
      </c>
      <c r="K402" s="150">
        <v>0</v>
      </c>
      <c r="L402" s="150">
        <v>0</v>
      </c>
      <c r="M402" s="150">
        <v>0</v>
      </c>
      <c r="N402" s="150">
        <v>0</v>
      </c>
      <c r="O402" s="150">
        <v>0</v>
      </c>
      <c r="P402" s="150">
        <v>0</v>
      </c>
      <c r="Q402" s="150">
        <v>0</v>
      </c>
      <c r="R402" s="150">
        <v>0</v>
      </c>
      <c r="S402" s="150">
        <v>0</v>
      </c>
      <c r="T402" s="150">
        <v>0</v>
      </c>
      <c r="U402" s="150">
        <v>0</v>
      </c>
      <c r="V402" s="150">
        <v>0</v>
      </c>
      <c r="W402" s="150">
        <v>0</v>
      </c>
      <c r="X402" s="150">
        <v>0</v>
      </c>
      <c r="Y402" s="150">
        <v>0</v>
      </c>
      <c r="Z402" s="150">
        <v>0</v>
      </c>
    </row>
    <row r="403" spans="2:26" x14ac:dyDescent="0.2">
      <c r="B403" s="32" t="s">
        <v>641</v>
      </c>
      <c r="D403" s="47"/>
      <c r="E403" s="47"/>
      <c r="F403" s="150">
        <f ca="1">-SUM(F430:F431)*'Assumptions and Sensis'!$M$227</f>
        <v>0</v>
      </c>
      <c r="G403" s="150">
        <f ca="1">-SUM(G430:G431)*'Assumptions and Sensis'!$M$227</f>
        <v>0</v>
      </c>
      <c r="H403" s="150">
        <f ca="1">-SUM(H430:H431)*'Assumptions and Sensis'!$M$227</f>
        <v>0</v>
      </c>
      <c r="I403" s="150">
        <f ca="1">-SUM(I430:I431)*'Assumptions and Sensis'!$M$227</f>
        <v>1082453.1731693491</v>
      </c>
      <c r="J403" s="150">
        <f ca="1">-SUM(J430:J431)*'Assumptions and Sensis'!$M$227</f>
        <v>-345143.29754667211</v>
      </c>
      <c r="K403" s="150">
        <f ca="1">-SUM(K430:K431)*'Assumptions and Sensis'!$M$227</f>
        <v>-444531.45171823521</v>
      </c>
      <c r="L403" s="150">
        <f ca="1">-SUM(L430:L431)*'Assumptions and Sensis'!$M$227</f>
        <v>-933690.2761747248</v>
      </c>
      <c r="M403" s="150">
        <f>-SUM(M430:M431)*'Assumptions and Sensis'!$M$227</f>
        <v>0</v>
      </c>
      <c r="N403" s="150">
        <f>-SUM(N430:N431)*'Assumptions and Sensis'!$M$227</f>
        <v>0</v>
      </c>
      <c r="O403" s="150">
        <f>-SUM(O430:O431)*'Assumptions and Sensis'!$M$227</f>
        <v>0</v>
      </c>
      <c r="P403" s="150">
        <f>-SUM(P430:P431)*'Assumptions and Sensis'!$M$227</f>
        <v>0</v>
      </c>
      <c r="Q403" s="150">
        <f>-SUM(Q430:Q431)*'Assumptions and Sensis'!$M$227</f>
        <v>0</v>
      </c>
      <c r="R403" s="150">
        <f>-SUM(R430:R431)*'Assumptions and Sensis'!$M$227</f>
        <v>0</v>
      </c>
      <c r="S403" s="150">
        <f>-SUM(S430:S431)*'Assumptions and Sensis'!$M$227</f>
        <v>0</v>
      </c>
      <c r="T403" s="150">
        <f>-SUM(T430:T431)*'Assumptions and Sensis'!$M$227</f>
        <v>0</v>
      </c>
      <c r="U403" s="150">
        <f>-SUM(U430:U431)*'Assumptions and Sensis'!$M$227</f>
        <v>0</v>
      </c>
      <c r="V403" s="150">
        <f>-SUM(V430:V431)*'Assumptions and Sensis'!$M$227</f>
        <v>0</v>
      </c>
      <c r="W403" s="150">
        <f>-SUM(W430:W431)*'Assumptions and Sensis'!$M$227</f>
        <v>0</v>
      </c>
      <c r="X403" s="150">
        <f>-SUM(X430:X431)*'Assumptions and Sensis'!$M$227</f>
        <v>0</v>
      </c>
      <c r="Y403" s="150">
        <f>-SUM(Y430:Y431)*'Assumptions and Sensis'!$M$227</f>
        <v>0</v>
      </c>
      <c r="Z403" s="150">
        <f>-SUM(Z430:Z431)*'Assumptions and Sensis'!$M$227</f>
        <v>0</v>
      </c>
    </row>
    <row r="404" spans="2:26" x14ac:dyDescent="0.2">
      <c r="B404" s="32" t="s">
        <v>643</v>
      </c>
      <c r="D404" s="47"/>
      <c r="E404" s="47"/>
      <c r="F404" s="150">
        <f ca="1">+IF(YEAR(F$140)&lt;=YEAR('Assumptions and Sensis'!$H$51),F267+F222+F152,0)</f>
        <v>0</v>
      </c>
      <c r="G404" s="150">
        <f ca="1">+IF(YEAR(G$140)&lt;=YEAR('Assumptions and Sensis'!$H$51),G267+G222+G152,0)</f>
        <v>0</v>
      </c>
      <c r="H404" s="150">
        <f ca="1">+IF(YEAR(H$140)&lt;=YEAR('Assumptions and Sensis'!$H$51),H267+H222+H152,0)</f>
        <v>0</v>
      </c>
      <c r="I404" s="150">
        <f ca="1">+IF(YEAR(I$140)&lt;=YEAR('Assumptions and Sensis'!$H$51),I267+I222+I152,0)</f>
        <v>-10042908.735790785</v>
      </c>
      <c r="J404" s="150">
        <f ca="1">+IF(YEAR(J$140)&lt;=YEAR('Assumptions and Sensis'!$H$51),J267+J222+J152,0)</f>
        <v>5163707.0895398315</v>
      </c>
      <c r="K404" s="150">
        <f ca="1">+IF(YEAR(K$140)&lt;=YEAR('Assumptions and Sensis'!$H$51),K267+K222+K152,0)</f>
        <v>5446481.3733853698</v>
      </c>
      <c r="L404" s="150">
        <f ca="1">+IF(YEAR(L$140)&lt;=YEAR('Assumptions and Sensis'!$H$51),L267+L222+L152,0)</f>
        <v>7572923.7964607403</v>
      </c>
      <c r="M404" s="150">
        <f>+IF(YEAR(M$140)&lt;=YEAR('Assumptions and Sensis'!$H$51),M267+M222+M152,0)</f>
        <v>0</v>
      </c>
      <c r="N404" s="150">
        <f>+IF(YEAR(N$140)&lt;=YEAR('Assumptions and Sensis'!$H$51),N267+N222+N152,0)</f>
        <v>0</v>
      </c>
      <c r="O404" s="150">
        <f>+IF(YEAR(O$140)&lt;=YEAR('Assumptions and Sensis'!$H$51),O267+O222+O152,0)</f>
        <v>0</v>
      </c>
      <c r="P404" s="150">
        <f>+IF(YEAR(P$140)&lt;=YEAR('Assumptions and Sensis'!$H$51),P267+P222+P152,0)</f>
        <v>0</v>
      </c>
      <c r="Q404" s="150">
        <f>+IF(YEAR(Q$140)&lt;=YEAR('Assumptions and Sensis'!$H$51),Q267+Q222+Q152,0)</f>
        <v>0</v>
      </c>
      <c r="R404" s="150">
        <f>+IF(YEAR(R$140)&lt;=YEAR('Assumptions and Sensis'!$H$51),R267+R222+R152,0)</f>
        <v>0</v>
      </c>
      <c r="S404" s="150">
        <f>+IF(YEAR(S$140)&lt;=YEAR('Assumptions and Sensis'!$H$51),S267+S222+S152,0)</f>
        <v>0</v>
      </c>
      <c r="T404" s="150">
        <f>+IF(YEAR(T$140)&lt;=YEAR('Assumptions and Sensis'!$H$51),T267+T222+T152,0)</f>
        <v>0</v>
      </c>
      <c r="U404" s="150">
        <f>+IF(YEAR(U$140)&lt;=YEAR('Assumptions and Sensis'!$H$51),U267+U222+U152,0)</f>
        <v>0</v>
      </c>
      <c r="V404" s="150">
        <f>+IF(YEAR(V$140)&lt;=YEAR('Assumptions and Sensis'!$H$51),V267+V222+V152,0)</f>
        <v>0</v>
      </c>
      <c r="W404" s="150">
        <f>+IF(YEAR(W$140)&lt;=YEAR('Assumptions and Sensis'!$H$51),W267+W222+W152,0)</f>
        <v>0</v>
      </c>
      <c r="X404" s="150">
        <f>+IF(YEAR(X$140)&lt;=YEAR('Assumptions and Sensis'!$H$51),X267+X222+X152,0)</f>
        <v>0</v>
      </c>
      <c r="Y404" s="150">
        <f>+IF(YEAR(Y$140)&lt;=YEAR('Assumptions and Sensis'!$H$51),Y267+Y222+Y152,0)</f>
        <v>0</v>
      </c>
      <c r="Z404" s="150">
        <f>+IF(YEAR(Z$140)&lt;=YEAR('Assumptions and Sensis'!$H$51),Z267+Z222+Z152,0)</f>
        <v>0</v>
      </c>
    </row>
    <row r="405" spans="2:26" x14ac:dyDescent="0.2">
      <c r="B405" s="32" t="s">
        <v>642</v>
      </c>
      <c r="D405" s="47"/>
      <c r="E405" s="47"/>
      <c r="F405" s="150">
        <f>-IF(YEAR(F$140)&lt;=YEAR('Assumptions and Sensis'!$H$51),F433,0)</f>
        <v>0</v>
      </c>
      <c r="G405" s="150">
        <f>-IF(YEAR(G$140)&lt;=YEAR('Assumptions and Sensis'!$H$51),G433,0)</f>
        <v>0</v>
      </c>
      <c r="H405" s="150">
        <f>-IF(YEAR(H$140)&lt;=YEAR('Assumptions and Sensis'!$H$51),H433,0)</f>
        <v>0</v>
      </c>
      <c r="I405" s="150">
        <f ca="1">-IF(YEAR(I$140)&lt;=YEAR('Assumptions and Sensis'!$H$51),I433,0)</f>
        <v>44337854.74444294</v>
      </c>
      <c r="J405" s="150">
        <f>-IF(YEAR(J$140)&lt;=YEAR('Assumptions and Sensis'!$H$51),J433,0)</f>
        <v>0</v>
      </c>
      <c r="K405" s="150">
        <f>-IF(YEAR(K$140)&lt;=YEAR('Assumptions and Sensis'!$H$51),K433,0)</f>
        <v>0</v>
      </c>
      <c r="L405" s="150">
        <f ca="1">-IF(YEAR(L$140)&lt;=YEAR('Assumptions and Sensis'!$H$51),L433,0)</f>
        <v>183486339.92872947</v>
      </c>
      <c r="M405" s="150">
        <f>-IF(YEAR(M$140)&lt;=YEAR('Assumptions and Sensis'!$H$51),M433,0)</f>
        <v>0</v>
      </c>
      <c r="N405" s="150">
        <f>-IF(YEAR(N$140)&lt;=YEAR('Assumptions and Sensis'!$H$51),N433,0)</f>
        <v>0</v>
      </c>
      <c r="O405" s="150">
        <f>-IF(YEAR(O$140)&lt;=YEAR('Assumptions and Sensis'!$H$51),O433,0)</f>
        <v>0</v>
      </c>
      <c r="P405" s="150">
        <f>-IF(YEAR(P$140)&lt;=YEAR('Assumptions and Sensis'!$H$51),P433,0)</f>
        <v>0</v>
      </c>
      <c r="Q405" s="150">
        <f>-IF(YEAR(Q$140)&lt;=YEAR('Assumptions and Sensis'!$H$51),Q433,0)</f>
        <v>0</v>
      </c>
      <c r="R405" s="150">
        <f>-IF(YEAR(R$140)&lt;=YEAR('Assumptions and Sensis'!$H$51),R433,0)</f>
        <v>0</v>
      </c>
      <c r="S405" s="150">
        <f>-IF(YEAR(S$140)&lt;=YEAR('Assumptions and Sensis'!$H$51),S433,0)</f>
        <v>0</v>
      </c>
      <c r="T405" s="150">
        <f>-IF(YEAR(T$140)&lt;=YEAR('Assumptions and Sensis'!$H$51),T433,0)</f>
        <v>0</v>
      </c>
      <c r="U405" s="150">
        <f>-IF(YEAR(U$140)&lt;=YEAR('Assumptions and Sensis'!$H$51),U433,0)</f>
        <v>0</v>
      </c>
      <c r="V405" s="150">
        <f>-IF(YEAR(V$140)&lt;=YEAR('Assumptions and Sensis'!$H$51),V433,0)</f>
        <v>0</v>
      </c>
      <c r="W405" s="150">
        <f>-IF(YEAR(W$140)&lt;=YEAR('Assumptions and Sensis'!$H$51),W433,0)</f>
        <v>0</v>
      </c>
      <c r="X405" s="150">
        <f>-IF(YEAR(X$140)&lt;=YEAR('Assumptions and Sensis'!$H$51),X433,0)</f>
        <v>0</v>
      </c>
      <c r="Y405" s="150">
        <f>-IF(YEAR(Y$140)&lt;=YEAR('Assumptions and Sensis'!$H$51),Y433,0)</f>
        <v>0</v>
      </c>
      <c r="Z405" s="150">
        <f>-IF(YEAR(Z$140)&lt;=YEAR('Assumptions and Sensis'!$H$51),Z433,0)</f>
        <v>0</v>
      </c>
    </row>
    <row r="406" spans="2:26" x14ac:dyDescent="0.2">
      <c r="B406" s="32" t="s">
        <v>415</v>
      </c>
      <c r="D406" s="47"/>
      <c r="E406" s="47"/>
      <c r="F406" s="150">
        <f>-F434*'Assumptions and Sensis'!$M$227</f>
        <v>0</v>
      </c>
      <c r="G406" s="150">
        <f>-G434*'Assumptions and Sensis'!$M$227</f>
        <v>0</v>
      </c>
      <c r="H406" s="150">
        <f>-H434*'Assumptions and Sensis'!$M$227</f>
        <v>0</v>
      </c>
      <c r="I406" s="150">
        <f>-I434*'Assumptions and Sensis'!$M$227</f>
        <v>0</v>
      </c>
      <c r="J406" s="150">
        <f>-J434*'Assumptions and Sensis'!$M$227</f>
        <v>0</v>
      </c>
      <c r="K406" s="150">
        <f>-K434*'Assumptions and Sensis'!$M$227</f>
        <v>0</v>
      </c>
      <c r="L406" s="150">
        <f ca="1">-L434*'Assumptions and Sensis'!$M$227</f>
        <v>-32413921.648643404</v>
      </c>
      <c r="M406" s="150">
        <f>-M434*'Assumptions and Sensis'!$M$227</f>
        <v>0</v>
      </c>
      <c r="N406" s="150">
        <f>-N434*'Assumptions and Sensis'!$M$227</f>
        <v>0</v>
      </c>
      <c r="O406" s="150">
        <f>-O434*'Assumptions and Sensis'!$M$227</f>
        <v>0</v>
      </c>
      <c r="P406" s="150">
        <f>-P434*'Assumptions and Sensis'!$M$227</f>
        <v>0</v>
      </c>
      <c r="Q406" s="150">
        <f>-Q434*'Assumptions and Sensis'!$M$227</f>
        <v>0</v>
      </c>
      <c r="R406" s="150">
        <f>-R434*'Assumptions and Sensis'!$M$227</f>
        <v>0</v>
      </c>
      <c r="S406" s="150">
        <f>-S434*'Assumptions and Sensis'!$M$227</f>
        <v>0</v>
      </c>
      <c r="T406" s="150">
        <f>-T434*'Assumptions and Sensis'!$M$227</f>
        <v>0</v>
      </c>
      <c r="U406" s="150">
        <f>-U434*'Assumptions and Sensis'!$M$227</f>
        <v>0</v>
      </c>
      <c r="V406" s="150">
        <f>-V434*'Assumptions and Sensis'!$M$227</f>
        <v>0</v>
      </c>
      <c r="W406" s="150">
        <f>-W434*'Assumptions and Sensis'!$M$227</f>
        <v>0</v>
      </c>
      <c r="X406" s="150">
        <f>-X434*'Assumptions and Sensis'!$M$227</f>
        <v>0</v>
      </c>
      <c r="Y406" s="150">
        <f>-Y434*'Assumptions and Sensis'!$M$227</f>
        <v>0</v>
      </c>
      <c r="Z406" s="150">
        <f>-Z434*'Assumptions and Sensis'!$M$227</f>
        <v>0</v>
      </c>
    </row>
    <row r="407" spans="2:26" x14ac:dyDescent="0.2">
      <c r="B407" s="137" t="s">
        <v>407</v>
      </c>
      <c r="C407" s="137"/>
      <c r="D407" s="138">
        <f t="shared" ref="D407" ca="1" si="172">+SUM(F407:Z407)</f>
        <v>124349135.55105636</v>
      </c>
      <c r="E407" s="138"/>
      <c r="F407" s="138">
        <f t="shared" ref="F407:Z407" ca="1" si="173">+SUM(F400:F406)</f>
        <v>-55765379.325386167</v>
      </c>
      <c r="G407" s="138">
        <f t="shared" ca="1" si="173"/>
        <v>-22795049.819411576</v>
      </c>
      <c r="H407" s="138">
        <f t="shared" ca="1" si="173"/>
        <v>0</v>
      </c>
      <c r="I407" s="138">
        <f t="shared" ca="1" si="173"/>
        <v>35377399.181821503</v>
      </c>
      <c r="J407" s="138">
        <f t="shared" ca="1" si="173"/>
        <v>4818563.7919931598</v>
      </c>
      <c r="K407" s="138">
        <f t="shared" ca="1" si="173"/>
        <v>5001949.9216671344</v>
      </c>
      <c r="L407" s="138">
        <f t="shared" ca="1" si="173"/>
        <v>157711651.80037209</v>
      </c>
      <c r="M407" s="138">
        <f t="shared" ca="1" si="173"/>
        <v>0</v>
      </c>
      <c r="N407" s="138">
        <f t="shared" ca="1" si="173"/>
        <v>0</v>
      </c>
      <c r="O407" s="138">
        <f t="shared" ca="1" si="173"/>
        <v>0</v>
      </c>
      <c r="P407" s="138">
        <f t="shared" ca="1" si="173"/>
        <v>0</v>
      </c>
      <c r="Q407" s="138">
        <f t="shared" ca="1" si="173"/>
        <v>0</v>
      </c>
      <c r="R407" s="138">
        <f t="shared" ca="1" si="173"/>
        <v>0</v>
      </c>
      <c r="S407" s="138">
        <f t="shared" ca="1" si="173"/>
        <v>0</v>
      </c>
      <c r="T407" s="138">
        <f t="shared" ca="1" si="173"/>
        <v>0</v>
      </c>
      <c r="U407" s="138">
        <f t="shared" ca="1" si="173"/>
        <v>0</v>
      </c>
      <c r="V407" s="138">
        <f t="shared" ca="1" si="173"/>
        <v>0</v>
      </c>
      <c r="W407" s="138">
        <f t="shared" ca="1" si="173"/>
        <v>0</v>
      </c>
      <c r="X407" s="138">
        <f t="shared" ca="1" si="173"/>
        <v>0</v>
      </c>
      <c r="Y407" s="138">
        <f t="shared" ca="1" si="173"/>
        <v>0</v>
      </c>
      <c r="Z407" s="138">
        <f t="shared" ca="1" si="173"/>
        <v>0</v>
      </c>
    </row>
    <row r="408" spans="2:26" x14ac:dyDescent="0.2">
      <c r="B408" s="118"/>
    </row>
    <row r="409" spans="2:26" x14ac:dyDescent="0.2">
      <c r="B409" s="223" t="s">
        <v>644</v>
      </c>
      <c r="C409" s="223"/>
      <c r="D409" s="224">
        <f ca="1">+IRR(F407:Z407)</f>
        <v>0.20930962508694351</v>
      </c>
      <c r="F409" s="550"/>
      <c r="G409" s="33"/>
    </row>
    <row r="410" spans="2:26" x14ac:dyDescent="0.2">
      <c r="B410" s="118"/>
      <c r="D410" s="107"/>
    </row>
    <row r="411" spans="2:26" x14ac:dyDescent="0.2">
      <c r="B411" s="147" t="s">
        <v>645</v>
      </c>
      <c r="F411" s="147">
        <f>+F399</f>
        <v>0</v>
      </c>
      <c r="G411" s="147">
        <f t="shared" ref="G411:Z412" si="174">+G399</f>
        <v>1</v>
      </c>
      <c r="H411" s="147">
        <f t="shared" si="174"/>
        <v>2</v>
      </c>
      <c r="I411" s="147">
        <f t="shared" si="174"/>
        <v>3</v>
      </c>
      <c r="J411" s="147">
        <f t="shared" si="174"/>
        <v>4</v>
      </c>
      <c r="K411" s="147">
        <f t="shared" si="174"/>
        <v>5</v>
      </c>
      <c r="L411" s="147">
        <f t="shared" si="174"/>
        <v>6</v>
      </c>
      <c r="M411" s="147">
        <f t="shared" si="174"/>
        <v>7</v>
      </c>
      <c r="N411" s="147">
        <f t="shared" si="174"/>
        <v>8</v>
      </c>
      <c r="O411" s="147">
        <f t="shared" si="174"/>
        <v>9</v>
      </c>
      <c r="P411" s="147">
        <f t="shared" si="174"/>
        <v>10</v>
      </c>
      <c r="Q411" s="147">
        <f t="shared" si="174"/>
        <v>11</v>
      </c>
      <c r="R411" s="147">
        <f t="shared" si="174"/>
        <v>12</v>
      </c>
      <c r="S411" s="147">
        <f t="shared" si="174"/>
        <v>13</v>
      </c>
      <c r="T411" s="147">
        <f t="shared" si="174"/>
        <v>14</v>
      </c>
      <c r="U411" s="147">
        <f t="shared" si="174"/>
        <v>15</v>
      </c>
      <c r="V411" s="147">
        <f t="shared" si="174"/>
        <v>16</v>
      </c>
      <c r="W411" s="147">
        <f t="shared" si="174"/>
        <v>17</v>
      </c>
      <c r="X411" s="147">
        <f t="shared" si="174"/>
        <v>18</v>
      </c>
      <c r="Y411" s="147">
        <f t="shared" si="174"/>
        <v>19</v>
      </c>
      <c r="Z411" s="147">
        <f t="shared" si="174"/>
        <v>20</v>
      </c>
    </row>
    <row r="412" spans="2:26" x14ac:dyDescent="0.2">
      <c r="B412" s="32" t="s">
        <v>398</v>
      </c>
      <c r="D412" s="47"/>
      <c r="E412" s="47"/>
      <c r="F412" s="33">
        <f ca="1">+F400</f>
        <v>-55765379.325386167</v>
      </c>
      <c r="G412" s="33">
        <f t="shared" ca="1" si="174"/>
        <v>-22795049.819411576</v>
      </c>
      <c r="H412" s="33">
        <f t="shared" ca="1" si="174"/>
        <v>0</v>
      </c>
      <c r="I412" s="33">
        <f t="shared" ca="1" si="174"/>
        <v>0</v>
      </c>
      <c r="J412" s="33">
        <f t="shared" ca="1" si="174"/>
        <v>0</v>
      </c>
      <c r="K412" s="33">
        <f t="shared" ca="1" si="174"/>
        <v>0</v>
      </c>
      <c r="L412" s="33">
        <f t="shared" ca="1" si="174"/>
        <v>0</v>
      </c>
      <c r="M412" s="33">
        <f t="shared" ca="1" si="174"/>
        <v>0</v>
      </c>
      <c r="N412" s="33">
        <f t="shared" ca="1" si="174"/>
        <v>0</v>
      </c>
      <c r="O412" s="33">
        <f t="shared" ca="1" si="174"/>
        <v>0</v>
      </c>
      <c r="P412" s="33">
        <f t="shared" ca="1" si="174"/>
        <v>0</v>
      </c>
      <c r="Q412" s="33">
        <f t="shared" ca="1" si="174"/>
        <v>0</v>
      </c>
      <c r="R412" s="33">
        <f t="shared" ca="1" si="174"/>
        <v>0</v>
      </c>
      <c r="S412" s="33">
        <f t="shared" ca="1" si="174"/>
        <v>0</v>
      </c>
      <c r="T412" s="33">
        <f t="shared" ca="1" si="174"/>
        <v>0</v>
      </c>
      <c r="U412" s="33">
        <f t="shared" ca="1" si="174"/>
        <v>0</v>
      </c>
      <c r="V412" s="33">
        <f t="shared" ca="1" si="174"/>
        <v>0</v>
      </c>
      <c r="W412" s="33">
        <f t="shared" ca="1" si="174"/>
        <v>0</v>
      </c>
      <c r="X412" s="33">
        <f t="shared" ca="1" si="174"/>
        <v>0</v>
      </c>
      <c r="Y412" s="33">
        <f t="shared" ca="1" si="174"/>
        <v>0</v>
      </c>
      <c r="Z412" s="33">
        <f t="shared" ca="1" si="174"/>
        <v>0</v>
      </c>
    </row>
    <row r="413" spans="2:26" x14ac:dyDescent="0.2">
      <c r="B413" s="32" t="s">
        <v>416</v>
      </c>
      <c r="D413" s="47"/>
      <c r="E413" s="47"/>
      <c r="F413" s="150">
        <f ca="1">-F412*'Assumptions and Sensis'!$M$227</f>
        <v>11710729.658331094</v>
      </c>
      <c r="G413" s="150">
        <f ca="1">-G412*'Assumptions and Sensis'!$M$227</f>
        <v>4786960.4620764311</v>
      </c>
      <c r="H413" s="150">
        <f ca="1">-H412*'Assumptions and Sensis'!$M$227</f>
        <v>0</v>
      </c>
      <c r="I413" s="150">
        <f ca="1">-I412*'Assumptions and Sensis'!$M$227</f>
        <v>0</v>
      </c>
      <c r="J413" s="150">
        <f ca="1">-J412*'Assumptions and Sensis'!$M$227</f>
        <v>0</v>
      </c>
      <c r="K413" s="150">
        <f ca="1">-K412*'Assumptions and Sensis'!$M$227</f>
        <v>0</v>
      </c>
      <c r="L413" s="150">
        <f ca="1">-L412*'Assumptions and Sensis'!$M$227</f>
        <v>0</v>
      </c>
      <c r="M413" s="150">
        <f ca="1">-M412*'Assumptions and Sensis'!$M$227</f>
        <v>0</v>
      </c>
      <c r="N413" s="150">
        <f ca="1">-N412*'Assumptions and Sensis'!$M$227</f>
        <v>0</v>
      </c>
      <c r="O413" s="150">
        <f ca="1">-O412*'Assumptions and Sensis'!$M$227</f>
        <v>0</v>
      </c>
      <c r="P413" s="150">
        <f ca="1">-P412*'Assumptions and Sensis'!$M$227</f>
        <v>0</v>
      </c>
      <c r="Q413" s="150">
        <f ca="1">-Q412*'Assumptions and Sensis'!$M$227</f>
        <v>0</v>
      </c>
      <c r="R413" s="150">
        <f ca="1">-R412*'Assumptions and Sensis'!$M$227</f>
        <v>0</v>
      </c>
      <c r="S413" s="150">
        <f ca="1">-S412*'Assumptions and Sensis'!$M$227</f>
        <v>0</v>
      </c>
      <c r="T413" s="150">
        <f ca="1">-T412*'Assumptions and Sensis'!$M$227</f>
        <v>0</v>
      </c>
      <c r="U413" s="150">
        <f ca="1">-U412*'Assumptions and Sensis'!$M$227</f>
        <v>0</v>
      </c>
      <c r="V413" s="150">
        <f ca="1">-V412*'Assumptions and Sensis'!$M$227</f>
        <v>0</v>
      </c>
      <c r="W413" s="150">
        <f ca="1">-W412*'Assumptions and Sensis'!$M$227</f>
        <v>0</v>
      </c>
      <c r="X413" s="150">
        <f ca="1">-X412*'Assumptions and Sensis'!$M$227</f>
        <v>0</v>
      </c>
      <c r="Y413" s="150">
        <f ca="1">-Y412*'Assumptions and Sensis'!$M$227</f>
        <v>0</v>
      </c>
      <c r="Z413" s="150">
        <f ca="1">-Z412*'Assumptions and Sensis'!$M$227</f>
        <v>0</v>
      </c>
    </row>
    <row r="414" spans="2:26" x14ac:dyDescent="0.2">
      <c r="B414" s="32" t="s">
        <v>417</v>
      </c>
      <c r="D414" s="47"/>
      <c r="E414" s="47"/>
      <c r="F414" s="150">
        <f ca="1">IFERROR(-IF(YEAR(F397)&lt;MIN(YEAR('Assumptions and Sensis'!$H$51),2026),(OFFSET(F413,0,-10)),IF(YEAR(F397)=MIN(YEAR('Assumptions and Sensis'!$H$51),2026),SUM($E$413:F$413)-SUM($E$414:E$414),0)),0)</f>
        <v>0</v>
      </c>
      <c r="G414" s="150">
        <f ca="1">IFERROR(-IF(YEAR(G397)&lt;MIN(YEAR('Assumptions and Sensis'!$H$51),2026),(OFFSET(G413,0,-10)),IF(YEAR(G397)=MIN(YEAR('Assumptions and Sensis'!$H$51),2026),SUM($E$413:G$413)-SUM($E$414:F$414),0)),0)</f>
        <v>0</v>
      </c>
      <c r="H414" s="150">
        <f ca="1">IFERROR(-IF(YEAR(H397)&lt;MIN(YEAR('Assumptions and Sensis'!$H$51),2026),(OFFSET(H413,0,-10)),IF(YEAR(H397)=MIN(YEAR('Assumptions and Sensis'!$H$51),2026),SUM($E$413:H$413)-SUM($E$414:G$414),0)),0)</f>
        <v>-16497690.120407525</v>
      </c>
      <c r="I414" s="150">
        <f ca="1">IFERROR(-IF(YEAR(I397)&lt;MIN(YEAR('Assumptions and Sensis'!$H$51),2026),(OFFSET(I413,0,-10)),IF(YEAR(I397)=MIN(YEAR('Assumptions and Sensis'!$H$51),2026),SUM($E$413:I$413)-SUM($E$414:H$414),0)),0)</f>
        <v>0</v>
      </c>
      <c r="J414" s="150">
        <f ca="1">IFERROR(-IF(YEAR(J397)&lt;MIN(YEAR('Assumptions and Sensis'!$H$51),2026),(OFFSET(J413,0,-10)),IF(YEAR(J397)=MIN(YEAR('Assumptions and Sensis'!$H$51),2026),SUM($E$413:J$413)-SUM($E$414:I$414),0)),0)</f>
        <v>0</v>
      </c>
      <c r="K414" s="150">
        <f ca="1">IFERROR(-IF(YEAR(K397)&lt;MIN(YEAR('Assumptions and Sensis'!$H$51),2026),(OFFSET(K413,0,-10)),IF(YEAR(K397)=MIN(YEAR('Assumptions and Sensis'!$H$51),2026),SUM($E$413:K$413)-SUM($E$414:J$414),0)),0)</f>
        <v>0</v>
      </c>
      <c r="L414" s="150">
        <f ca="1">IFERROR(-IF(YEAR(L397)&lt;MIN(YEAR('Assumptions and Sensis'!$H$51),2026),(OFFSET(L413,0,-10)),IF(YEAR(L397)=MIN(YEAR('Assumptions and Sensis'!$H$51),2026),SUM($E$413:L$413)-SUM($E$414:K$414),0)),0)</f>
        <v>0</v>
      </c>
      <c r="M414" s="150">
        <f ca="1">IFERROR(-IF(YEAR(M397)&lt;MIN(YEAR('Assumptions and Sensis'!$H$51),2026),(OFFSET(M413,0,-10)),IF(YEAR(M397)=MIN(YEAR('Assumptions and Sensis'!$H$51),2026),SUM($E$413:M$413)-SUM($E$414:L$414),0)),0)</f>
        <v>0</v>
      </c>
      <c r="N414" s="150">
        <f ca="1">IFERROR(-IF(YEAR(N397)&lt;MIN(YEAR('Assumptions and Sensis'!$H$51),2026),(OFFSET(N413,0,-10)),IF(YEAR(N397)=MIN(YEAR('Assumptions and Sensis'!$H$51),2026),SUM($E$413:N$413)-SUM($E$414:M$414),0)),0)</f>
        <v>0</v>
      </c>
      <c r="O414" s="150">
        <f ca="1">IFERROR(-IF(YEAR(O397)&lt;MIN(YEAR('Assumptions and Sensis'!$H$51),2026),(OFFSET(O413,0,-10)),IF(YEAR(O397)=MIN(YEAR('Assumptions and Sensis'!$H$51),2026),SUM($E$413:O$413)-SUM($E$414:N$414),0)),0)</f>
        <v>0</v>
      </c>
      <c r="P414" s="150">
        <f ca="1">IFERROR(-IF(YEAR(P397)&lt;MIN(YEAR('Assumptions and Sensis'!$H$51),2026),(OFFSET(P413,0,-10)),IF(YEAR(P397)=MIN(YEAR('Assumptions and Sensis'!$H$51),2026),SUM($E$413:P$413)-SUM($E$414:O$414),0)),0)</f>
        <v>0</v>
      </c>
      <c r="Q414" s="150">
        <f ca="1">IFERROR(-IF(YEAR(Q397)&lt;MIN(YEAR('Assumptions and Sensis'!$H$51),2026),(OFFSET(Q413,0,-10)),IF(YEAR(Q397)=MIN(YEAR('Assumptions and Sensis'!$H$51),2026),SUM($E$413:Q$413)-SUM($E$414:P$414),0)),0)</f>
        <v>0</v>
      </c>
      <c r="R414" s="150">
        <f ca="1">IFERROR(-IF(YEAR(R397)&lt;MIN(YEAR('Assumptions and Sensis'!$H$51),2026),(OFFSET(R413,0,-10)),IF(YEAR(R397)=MIN(YEAR('Assumptions and Sensis'!$H$51),2026),SUM($E$413:R$413)-SUM($E$414:Q$414),0)),0)</f>
        <v>0</v>
      </c>
      <c r="S414" s="150">
        <f ca="1">IFERROR(-IF(YEAR(S397)&lt;MIN(YEAR('Assumptions and Sensis'!$H$51),2026),(OFFSET(S413,0,-10)),IF(YEAR(S397)=MIN(YEAR('Assumptions and Sensis'!$H$51),2026),SUM($E$413:S$413)-SUM($E$414:R$414),0)),0)</f>
        <v>0</v>
      </c>
      <c r="T414" s="150">
        <f ca="1">IFERROR(-IF(YEAR(T397)&lt;MIN(YEAR('Assumptions and Sensis'!$H$51),2026),(OFFSET(T413,0,-10)),IF(YEAR(T397)=MIN(YEAR('Assumptions and Sensis'!$H$51),2026),SUM($E$413:T$413)-SUM($E$414:S$414),0)),0)</f>
        <v>0</v>
      </c>
      <c r="U414" s="150">
        <f ca="1">IFERROR(-IF(YEAR(U397)&lt;MIN(YEAR('Assumptions and Sensis'!$H$51),2026),(OFFSET(U413,0,-10)),IF(YEAR(U397)=MIN(YEAR('Assumptions and Sensis'!$H$51),2026),SUM($E$413:U$413)-SUM($E$414:T$414),0)),0)</f>
        <v>0</v>
      </c>
      <c r="V414" s="150">
        <f ca="1">IFERROR(-IF(YEAR(V397)&lt;MIN(YEAR('Assumptions and Sensis'!$H$51),2026),(OFFSET(V413,0,-10)),IF(YEAR(V397)=MIN(YEAR('Assumptions and Sensis'!$H$51),2026),SUM($E$413:V$413)-SUM($E$414:U$414),0)),0)</f>
        <v>0</v>
      </c>
      <c r="W414" s="150">
        <f ca="1">IFERROR(-IF(YEAR(W397)&lt;MIN(YEAR('Assumptions and Sensis'!$H$51),2026),(OFFSET(W413,0,-10)),IF(YEAR(W397)=MIN(YEAR('Assumptions and Sensis'!$H$51),2026),SUM($E$413:W$413)-SUM($E$414:V$414),0)),0)</f>
        <v>0</v>
      </c>
      <c r="X414" s="150">
        <f ca="1">IFERROR(-IF(YEAR(X397)&lt;MIN(YEAR('Assumptions and Sensis'!$H$51),2026),(OFFSET(X413,0,-10)),IF(YEAR(X397)=MIN(YEAR('Assumptions and Sensis'!$H$51),2026),SUM($E$413:X$413)-SUM($E$414:W$414),0)),0)</f>
        <v>0</v>
      </c>
      <c r="Y414" s="150">
        <f ca="1">IFERROR(-IF(YEAR(Y397)&lt;MIN(YEAR('Assumptions and Sensis'!$H$51),2026),(OFFSET(Y413,0,-10)),IF(YEAR(Y397)=MIN(YEAR('Assumptions and Sensis'!$H$51),2026),SUM($E$413:Y$413)-SUM($E$414:X$414),0)),0)</f>
        <v>0</v>
      </c>
      <c r="Z414" s="150">
        <f ca="1">IFERROR(-IF(YEAR(Z397)&lt;MIN(YEAR('Assumptions and Sensis'!$H$51),2026),(OFFSET(Z413,0,-10)),IF(YEAR(Z397)=MIN(YEAR('Assumptions and Sensis'!$H$51),2026),SUM($E$413:Z$413)-SUM($E$414:Y$414),0)),0)</f>
        <v>0</v>
      </c>
    </row>
    <row r="415" spans="2:26" x14ac:dyDescent="0.2">
      <c r="B415" s="32" t="s">
        <v>418</v>
      </c>
      <c r="D415" s="47"/>
      <c r="E415" s="47"/>
      <c r="F415" s="150">
        <f>+IF(YEAR(F397)=MIN(YEAR('Assumptions and Sensis'!$H$51),2026),SUM($F$425:$Z$425),0)</f>
        <v>0</v>
      </c>
      <c r="G415" s="150">
        <f>+IF(YEAR(G397)=MIN(YEAR('Assumptions and Sensis'!$H$51),2026),SUM($F$425:$Z$425),0)</f>
        <v>0</v>
      </c>
      <c r="H415" s="150">
        <f ca="1">+IF(YEAR(H397)=MIN(YEAR('Assumptions and Sensis'!$H$51),2026),SUM($F$425:$Z$425),0)</f>
        <v>1649769.0120407527</v>
      </c>
      <c r="I415" s="150">
        <f>+IF(YEAR(I397)=MIN(YEAR('Assumptions and Sensis'!$H$51),2026),SUM($F$425:$Z$425),0)</f>
        <v>0</v>
      </c>
      <c r="J415" s="150">
        <f>+IF(YEAR(J397)=MIN(YEAR('Assumptions and Sensis'!$H$51),2026),SUM($F$425:$Z$425),0)</f>
        <v>0</v>
      </c>
      <c r="K415" s="150">
        <f>+IF(YEAR(K397)=MIN(YEAR('Assumptions and Sensis'!$H$51),2026),SUM($F$425:$Z$425),0)</f>
        <v>0</v>
      </c>
      <c r="L415" s="150">
        <f>+IF(YEAR(L397)=MIN(YEAR('Assumptions and Sensis'!$H$51),2026),SUM($F$425:$Z$425),0)</f>
        <v>0</v>
      </c>
      <c r="M415" s="150">
        <f>+IF(YEAR(M397)=MIN(YEAR('Assumptions and Sensis'!$H$51),2026),SUM($F$425:$Z$425),0)</f>
        <v>0</v>
      </c>
      <c r="N415" s="150">
        <f>+IF(YEAR(N397)=MIN(YEAR('Assumptions and Sensis'!$H$51),2026),SUM($F$425:$Z$425),0)</f>
        <v>0</v>
      </c>
      <c r="O415" s="150">
        <f>+IF(YEAR(O397)=MIN(YEAR('Assumptions and Sensis'!$H$51),2026),SUM($F$425:$Z$425),0)</f>
        <v>0</v>
      </c>
      <c r="P415" s="150">
        <f>+IF(YEAR(P397)=MIN(YEAR('Assumptions and Sensis'!$H$51),2026),SUM($F$425:$Z$425),0)</f>
        <v>0</v>
      </c>
      <c r="Q415" s="150">
        <f>+IF(YEAR(Q397)=MIN(YEAR('Assumptions and Sensis'!$H$51),2026),SUM($F$425:$Z$425),0)</f>
        <v>0</v>
      </c>
      <c r="R415" s="150">
        <f>+IF(YEAR(R397)=MIN(YEAR('Assumptions and Sensis'!$H$51),2026),SUM($F$425:$Z$425),0)</f>
        <v>0</v>
      </c>
      <c r="S415" s="150">
        <f>+IF(YEAR(S397)=MIN(YEAR('Assumptions and Sensis'!$H$51),2026),SUM($F$425:$Z$425),0)</f>
        <v>0</v>
      </c>
      <c r="T415" s="150">
        <f>+IF(YEAR(T397)=MIN(YEAR('Assumptions and Sensis'!$H$51),2026),SUM($F$425:$Z$425),0)</f>
        <v>0</v>
      </c>
      <c r="U415" s="150">
        <f>+IF(YEAR(U397)=MIN(YEAR('Assumptions and Sensis'!$H$51),2026),SUM($F$425:$Z$425),0)</f>
        <v>0</v>
      </c>
      <c r="V415" s="150">
        <f>+IF(YEAR(V397)=MIN(YEAR('Assumptions and Sensis'!$H$51),2026),SUM($F$425:$Z$425),0)</f>
        <v>0</v>
      </c>
      <c r="W415" s="150">
        <f>+IF(YEAR(W397)=MIN(YEAR('Assumptions and Sensis'!$H$51),2026),SUM($F$425:$Z$425),0)</f>
        <v>0</v>
      </c>
      <c r="X415" s="150">
        <f>+IF(YEAR(X397)=MIN(YEAR('Assumptions and Sensis'!$H$51),2026),SUM($F$425:$Z$425),0)</f>
        <v>0</v>
      </c>
      <c r="Y415" s="150">
        <f>+IF(YEAR(Y397)=MIN(YEAR('Assumptions and Sensis'!$H$51),2026),SUM($F$425:$Z$425),0)</f>
        <v>0</v>
      </c>
      <c r="Z415" s="150">
        <f>+IF(YEAR(Z397)=MIN(YEAR('Assumptions and Sensis'!$H$51),2026),SUM($F$425:$Z$425),0)</f>
        <v>0</v>
      </c>
    </row>
    <row r="416" spans="2:26" x14ac:dyDescent="0.2">
      <c r="B416" s="32" t="s">
        <v>641</v>
      </c>
      <c r="D416" s="47"/>
      <c r="E416" s="47"/>
      <c r="F416" s="150">
        <f ca="1">+F403</f>
        <v>0</v>
      </c>
      <c r="G416" s="150">
        <f t="shared" ref="G416:Z418" ca="1" si="175">+G403</f>
        <v>0</v>
      </c>
      <c r="H416" s="150">
        <f t="shared" ca="1" si="175"/>
        <v>0</v>
      </c>
      <c r="I416" s="150">
        <f t="shared" ca="1" si="175"/>
        <v>1082453.1731693491</v>
      </c>
      <c r="J416" s="150">
        <f t="shared" ca="1" si="175"/>
        <v>-345143.29754667211</v>
      </c>
      <c r="K416" s="150">
        <f t="shared" ca="1" si="175"/>
        <v>-444531.45171823521</v>
      </c>
      <c r="L416" s="150">
        <f t="shared" ca="1" si="175"/>
        <v>-933690.2761747248</v>
      </c>
      <c r="M416" s="150">
        <f t="shared" si="175"/>
        <v>0</v>
      </c>
      <c r="N416" s="150">
        <f t="shared" si="175"/>
        <v>0</v>
      </c>
      <c r="O416" s="150">
        <f t="shared" si="175"/>
        <v>0</v>
      </c>
      <c r="P416" s="150">
        <f t="shared" si="175"/>
        <v>0</v>
      </c>
      <c r="Q416" s="150">
        <f t="shared" si="175"/>
        <v>0</v>
      </c>
      <c r="R416" s="150">
        <f t="shared" si="175"/>
        <v>0</v>
      </c>
      <c r="S416" s="150">
        <f t="shared" si="175"/>
        <v>0</v>
      </c>
      <c r="T416" s="150">
        <f t="shared" si="175"/>
        <v>0</v>
      </c>
      <c r="U416" s="150">
        <f t="shared" si="175"/>
        <v>0</v>
      </c>
      <c r="V416" s="150">
        <f t="shared" si="175"/>
        <v>0</v>
      </c>
      <c r="W416" s="150">
        <f t="shared" si="175"/>
        <v>0</v>
      </c>
      <c r="X416" s="150">
        <f t="shared" si="175"/>
        <v>0</v>
      </c>
      <c r="Y416" s="150">
        <f t="shared" si="175"/>
        <v>0</v>
      </c>
      <c r="Z416" s="150">
        <f t="shared" si="175"/>
        <v>0</v>
      </c>
    </row>
    <row r="417" spans="2:26" x14ac:dyDescent="0.2">
      <c r="B417" s="32" t="s">
        <v>643</v>
      </c>
      <c r="D417" s="47"/>
      <c r="E417" s="47"/>
      <c r="F417" s="150">
        <f ca="1">+F404</f>
        <v>0</v>
      </c>
      <c r="G417" s="150">
        <f t="shared" ca="1" si="175"/>
        <v>0</v>
      </c>
      <c r="H417" s="150">
        <f t="shared" ca="1" si="175"/>
        <v>0</v>
      </c>
      <c r="I417" s="150">
        <f t="shared" ca="1" si="175"/>
        <v>-10042908.735790785</v>
      </c>
      <c r="J417" s="150">
        <f t="shared" ca="1" si="175"/>
        <v>5163707.0895398315</v>
      </c>
      <c r="K417" s="150">
        <f t="shared" ca="1" si="175"/>
        <v>5446481.3733853698</v>
      </c>
      <c r="L417" s="150">
        <f t="shared" ca="1" si="175"/>
        <v>7572923.7964607403</v>
      </c>
      <c r="M417" s="150">
        <f t="shared" si="175"/>
        <v>0</v>
      </c>
      <c r="N417" s="150">
        <f t="shared" si="175"/>
        <v>0</v>
      </c>
      <c r="O417" s="150">
        <f t="shared" si="175"/>
        <v>0</v>
      </c>
      <c r="P417" s="150">
        <f t="shared" si="175"/>
        <v>0</v>
      </c>
      <c r="Q417" s="150">
        <f t="shared" si="175"/>
        <v>0</v>
      </c>
      <c r="R417" s="150">
        <f t="shared" si="175"/>
        <v>0</v>
      </c>
      <c r="S417" s="150">
        <f t="shared" si="175"/>
        <v>0</v>
      </c>
      <c r="T417" s="150">
        <f t="shared" si="175"/>
        <v>0</v>
      </c>
      <c r="U417" s="150">
        <f t="shared" si="175"/>
        <v>0</v>
      </c>
      <c r="V417" s="150">
        <f t="shared" si="175"/>
        <v>0</v>
      </c>
      <c r="W417" s="150">
        <f t="shared" si="175"/>
        <v>0</v>
      </c>
      <c r="X417" s="150">
        <f t="shared" si="175"/>
        <v>0</v>
      </c>
      <c r="Y417" s="150">
        <f t="shared" si="175"/>
        <v>0</v>
      </c>
      <c r="Z417" s="150">
        <f t="shared" si="175"/>
        <v>0</v>
      </c>
    </row>
    <row r="418" spans="2:26" x14ac:dyDescent="0.2">
      <c r="B418" s="32" t="s">
        <v>642</v>
      </c>
      <c r="D418" s="47"/>
      <c r="E418" s="47"/>
      <c r="F418" s="150">
        <f>-F273-F228-F159</f>
        <v>0</v>
      </c>
      <c r="G418" s="150">
        <f t="shared" si="175"/>
        <v>0</v>
      </c>
      <c r="H418" s="150">
        <f t="shared" si="175"/>
        <v>0</v>
      </c>
      <c r="I418" s="150">
        <f t="shared" ca="1" si="175"/>
        <v>44337854.74444294</v>
      </c>
      <c r="J418" s="150">
        <f t="shared" si="175"/>
        <v>0</v>
      </c>
      <c r="K418" s="150">
        <f t="shared" si="175"/>
        <v>0</v>
      </c>
      <c r="L418" s="150">
        <f t="shared" ca="1" si="175"/>
        <v>183486339.92872947</v>
      </c>
      <c r="M418" s="150">
        <f t="shared" si="175"/>
        <v>0</v>
      </c>
      <c r="N418" s="150">
        <f t="shared" si="175"/>
        <v>0</v>
      </c>
      <c r="O418" s="150">
        <f t="shared" si="175"/>
        <v>0</v>
      </c>
      <c r="P418" s="150">
        <f t="shared" si="175"/>
        <v>0</v>
      </c>
      <c r="Q418" s="150">
        <f t="shared" si="175"/>
        <v>0</v>
      </c>
      <c r="R418" s="150">
        <f t="shared" si="175"/>
        <v>0</v>
      </c>
      <c r="S418" s="150">
        <f t="shared" si="175"/>
        <v>0</v>
      </c>
      <c r="T418" s="150">
        <f t="shared" si="175"/>
        <v>0</v>
      </c>
      <c r="U418" s="150">
        <f t="shared" si="175"/>
        <v>0</v>
      </c>
      <c r="V418" s="150">
        <f t="shared" si="175"/>
        <v>0</v>
      </c>
      <c r="W418" s="150">
        <f t="shared" si="175"/>
        <v>0</v>
      </c>
      <c r="X418" s="150">
        <f t="shared" si="175"/>
        <v>0</v>
      </c>
      <c r="Y418" s="150">
        <f t="shared" si="175"/>
        <v>0</v>
      </c>
      <c r="Z418" s="150">
        <f t="shared" si="175"/>
        <v>0</v>
      </c>
    </row>
    <row r="419" spans="2:26" x14ac:dyDescent="0.2">
      <c r="B419" s="32" t="s">
        <v>415</v>
      </c>
      <c r="D419" s="47"/>
      <c r="E419" s="47"/>
      <c r="F419" s="150">
        <f>+IF(F399&gt;=10,0,F406)</f>
        <v>0</v>
      </c>
      <c r="G419" s="150">
        <f t="shared" ref="G419:Z419" si="176">+IF(G399&gt;=10,0,G406)</f>
        <v>0</v>
      </c>
      <c r="H419" s="150">
        <f t="shared" si="176"/>
        <v>0</v>
      </c>
      <c r="I419" s="150">
        <f t="shared" si="176"/>
        <v>0</v>
      </c>
      <c r="J419" s="150">
        <f t="shared" si="176"/>
        <v>0</v>
      </c>
      <c r="K419" s="150">
        <f t="shared" si="176"/>
        <v>0</v>
      </c>
      <c r="L419" s="150">
        <f t="shared" ca="1" si="176"/>
        <v>-32413921.648643404</v>
      </c>
      <c r="M419" s="150">
        <f t="shared" si="176"/>
        <v>0</v>
      </c>
      <c r="N419" s="150">
        <f t="shared" si="176"/>
        <v>0</v>
      </c>
      <c r="O419" s="150">
        <f t="shared" si="176"/>
        <v>0</v>
      </c>
      <c r="P419" s="150">
        <f t="shared" si="176"/>
        <v>0</v>
      </c>
      <c r="Q419" s="150">
        <f t="shared" si="176"/>
        <v>0</v>
      </c>
      <c r="R419" s="150">
        <f t="shared" si="176"/>
        <v>0</v>
      </c>
      <c r="S419" s="150">
        <f t="shared" si="176"/>
        <v>0</v>
      </c>
      <c r="T419" s="150">
        <f t="shared" si="176"/>
        <v>0</v>
      </c>
      <c r="U419" s="150">
        <f t="shared" si="176"/>
        <v>0</v>
      </c>
      <c r="V419" s="150">
        <f t="shared" si="176"/>
        <v>0</v>
      </c>
      <c r="W419" s="150">
        <f t="shared" si="176"/>
        <v>0</v>
      </c>
      <c r="X419" s="150">
        <f t="shared" si="176"/>
        <v>0</v>
      </c>
      <c r="Y419" s="150">
        <f t="shared" si="176"/>
        <v>0</v>
      </c>
      <c r="Z419" s="150">
        <f t="shared" si="176"/>
        <v>0</v>
      </c>
    </row>
    <row r="420" spans="2:26" x14ac:dyDescent="0.2">
      <c r="B420" s="137" t="s">
        <v>406</v>
      </c>
      <c r="C420" s="137"/>
      <c r="D420" s="138">
        <f t="shared" ref="D420" ca="1" si="177">+SUM(F420:Z420)</f>
        <v>125998904.56309712</v>
      </c>
      <c r="E420" s="138"/>
      <c r="F420" s="138">
        <f t="shared" ref="F420:Z420" ca="1" si="178">+SUM(F412:F419)</f>
        <v>-44054649.66705507</v>
      </c>
      <c r="G420" s="138">
        <f t="shared" ca="1" si="178"/>
        <v>-18008089.357335143</v>
      </c>
      <c r="H420" s="138">
        <f t="shared" ca="1" si="178"/>
        <v>-14847921.108366773</v>
      </c>
      <c r="I420" s="138">
        <f t="shared" ca="1" si="178"/>
        <v>35377399.181821503</v>
      </c>
      <c r="J420" s="138">
        <f t="shared" ca="1" si="178"/>
        <v>4818563.7919931598</v>
      </c>
      <c r="K420" s="138">
        <f t="shared" ca="1" si="178"/>
        <v>5001949.9216671344</v>
      </c>
      <c r="L420" s="138">
        <f t="shared" ca="1" si="178"/>
        <v>157711651.80037209</v>
      </c>
      <c r="M420" s="138">
        <f t="shared" ca="1" si="178"/>
        <v>0</v>
      </c>
      <c r="N420" s="138">
        <f t="shared" ca="1" si="178"/>
        <v>0</v>
      </c>
      <c r="O420" s="138">
        <f t="shared" ca="1" si="178"/>
        <v>0</v>
      </c>
      <c r="P420" s="138">
        <f t="shared" ca="1" si="178"/>
        <v>0</v>
      </c>
      <c r="Q420" s="138">
        <f t="shared" ca="1" si="178"/>
        <v>0</v>
      </c>
      <c r="R420" s="138">
        <f t="shared" ca="1" si="178"/>
        <v>0</v>
      </c>
      <c r="S420" s="138">
        <f t="shared" ca="1" si="178"/>
        <v>0</v>
      </c>
      <c r="T420" s="138">
        <f t="shared" ca="1" si="178"/>
        <v>0</v>
      </c>
      <c r="U420" s="138">
        <f t="shared" ca="1" si="178"/>
        <v>0</v>
      </c>
      <c r="V420" s="138">
        <f t="shared" ca="1" si="178"/>
        <v>0</v>
      </c>
      <c r="W420" s="138">
        <f t="shared" ca="1" si="178"/>
        <v>0</v>
      </c>
      <c r="X420" s="138">
        <f t="shared" ca="1" si="178"/>
        <v>0</v>
      </c>
      <c r="Y420" s="138">
        <f t="shared" ca="1" si="178"/>
        <v>0</v>
      </c>
      <c r="Z420" s="138">
        <f t="shared" ca="1" si="178"/>
        <v>0</v>
      </c>
    </row>
    <row r="422" spans="2:26" x14ac:dyDescent="0.2">
      <c r="B422" s="188" t="s">
        <v>638</v>
      </c>
      <c r="C422" s="188"/>
      <c r="D422" s="189">
        <f ca="1">+IRR(F420:Z420)</f>
        <v>0.22971672852080349</v>
      </c>
    </row>
    <row r="423" spans="2:26" x14ac:dyDescent="0.2">
      <c r="B423" s="192" t="s">
        <v>639</v>
      </c>
      <c r="C423" s="191"/>
      <c r="D423" s="225">
        <f ca="1">+D422/(1-'Assumptions and Sensis'!$M$227)</f>
        <v>0.29078066901367527</v>
      </c>
    </row>
    <row r="425" spans="2:26" x14ac:dyDescent="0.2">
      <c r="B425" s="40" t="s">
        <v>419</v>
      </c>
      <c r="F425" s="150">
        <f ca="1">IFERROR(IF(YEAR(F397)&lt;=YEAR('Assumptions and Sensis'!$H$51),10%*(OFFSET(F413,0,-5))+5%*(OFFSET(F413,0,-7)),0),0)</f>
        <v>0</v>
      </c>
      <c r="G425" s="150">
        <f ca="1">IFERROR(IF(YEAR(G397)&lt;=YEAR('Assumptions and Sensis'!$H$51),10%*(OFFSET(G413,0,-5))+5%*(OFFSET(G413,0,-7)),0),0)</f>
        <v>0</v>
      </c>
      <c r="H425" s="150">
        <f ca="1">IFERROR(IF(YEAR(H397)&lt;=YEAR('Assumptions and Sensis'!$H$51),10%*(OFFSET(H413,0,-5))+5%*(OFFSET(H413,0,-7)),0),0)</f>
        <v>0</v>
      </c>
      <c r="I425" s="150">
        <f ca="1">IFERROR(IF(YEAR(I397)&lt;=YEAR('Assumptions and Sensis'!$H$51),10%*(OFFSET(I413,0,-5))+5%*(OFFSET(I413,0,-7)),0),0)</f>
        <v>0</v>
      </c>
      <c r="J425" s="150">
        <f ca="1">IFERROR(IF(YEAR(J397)&lt;=YEAR('Assumptions and Sensis'!$H$51),10%*(OFFSET(J413,0,-5))+5%*(OFFSET(J413,0,-7)),0),0)</f>
        <v>0</v>
      </c>
      <c r="K425" s="150">
        <f ca="1">IFERROR(IF(YEAR(K397)&lt;=YEAR('Assumptions and Sensis'!$H$51),10%*(OFFSET(K413,0,-5))+5%*(OFFSET(K413,0,-7)),0),0)</f>
        <v>1171072.9658331096</v>
      </c>
      <c r="L425" s="150">
        <f ca="1">IFERROR(IF(YEAR(L397)&lt;=YEAR('Assumptions and Sensis'!$H$51),10%*(OFFSET(L413,0,-5))+5%*(OFFSET(L413,0,-7)),0),0)</f>
        <v>478696.04620764311</v>
      </c>
      <c r="M425" s="150">
        <f ca="1">IFERROR(IF(YEAR(M397)&lt;=YEAR('Assumptions and Sensis'!$H$51),10%*(OFFSET(M413,0,-5))+5%*(OFFSET(M413,0,-7)),0),0)</f>
        <v>0</v>
      </c>
      <c r="N425" s="150">
        <f ca="1">IFERROR(IF(YEAR(N397)&lt;=YEAR('Assumptions and Sensis'!$H$51),10%*(OFFSET(N413,0,-5))+5%*(OFFSET(N413,0,-7)),0),0)</f>
        <v>0</v>
      </c>
      <c r="O425" s="150">
        <f ca="1">IFERROR(IF(YEAR(O397)&lt;=YEAR('Assumptions and Sensis'!$H$51),10%*(OFFSET(O413,0,-5))+5%*(OFFSET(O413,0,-7)),0),0)</f>
        <v>0</v>
      </c>
      <c r="P425" s="150">
        <f ca="1">IFERROR(IF(YEAR(P397)&lt;=YEAR('Assumptions and Sensis'!$H$51),10%*(OFFSET(P413,0,-5))+5%*(OFFSET(P413,0,-7)),0),0)</f>
        <v>0</v>
      </c>
      <c r="Q425" s="150">
        <f ca="1">IFERROR(IF(YEAR(Q397)&lt;=YEAR('Assumptions and Sensis'!$H$51),10%*(OFFSET(Q413,0,-5))+5%*(OFFSET(Q413,0,-7)),0),0)</f>
        <v>0</v>
      </c>
      <c r="R425" s="150">
        <f ca="1">IFERROR(IF(YEAR(R397)&lt;=YEAR('Assumptions and Sensis'!$H$51),10%*(OFFSET(R413,0,-5))+5%*(OFFSET(R413,0,-7)),0),0)</f>
        <v>0</v>
      </c>
      <c r="S425" s="150">
        <f ca="1">IFERROR(IF(YEAR(S397)&lt;=YEAR('Assumptions and Sensis'!$H$51),10%*(OFFSET(S413,0,-5))+5%*(OFFSET(S413,0,-7)),0),0)</f>
        <v>0</v>
      </c>
      <c r="T425" s="150">
        <f ca="1">IFERROR(IF(YEAR(T397)&lt;=YEAR('Assumptions and Sensis'!$H$51),10%*(OFFSET(T413,0,-5))+5%*(OFFSET(T413,0,-7)),0),0)</f>
        <v>0</v>
      </c>
      <c r="U425" s="150">
        <f ca="1">IFERROR(IF(YEAR(U397)&lt;=YEAR('Assumptions and Sensis'!$H$51),10%*(OFFSET(U413,0,-5))+5%*(OFFSET(U413,0,-7)),0),0)</f>
        <v>0</v>
      </c>
      <c r="V425" s="150">
        <f ca="1">IFERROR(IF(YEAR(V397)&lt;=YEAR('Assumptions and Sensis'!$H$51),10%*(OFFSET(V413,0,-5))+5%*(OFFSET(V413,0,-7)),0),0)</f>
        <v>0</v>
      </c>
      <c r="W425" s="150">
        <f ca="1">IFERROR(IF(YEAR(W397)&lt;=YEAR('Assumptions and Sensis'!$H$51),10%*(OFFSET(W413,0,-5))+5%*(OFFSET(W413,0,-7)),0),0)</f>
        <v>0</v>
      </c>
      <c r="X425" s="150">
        <f ca="1">IFERROR(IF(YEAR(X397)&lt;=YEAR('Assumptions and Sensis'!$H$51),10%*(OFFSET(X413,0,-5))+5%*(OFFSET(X413,0,-7)),0),0)</f>
        <v>0</v>
      </c>
      <c r="Y425" s="150">
        <f ca="1">IFERROR(IF(YEAR(Y397)&lt;=YEAR('Assumptions and Sensis'!$H$51),10%*(OFFSET(Y413,0,-5))+5%*(OFFSET(Y413,0,-7)),0),0)</f>
        <v>0</v>
      </c>
      <c r="Z425" s="150">
        <f ca="1">IFERROR(IF(YEAR(Z397)&lt;=YEAR('Assumptions and Sensis'!$H$51),10%*(OFFSET(Z413,0,-5))+5%*(OFFSET(Z413,0,-7)),0),0)</f>
        <v>0</v>
      </c>
    </row>
    <row r="427" spans="2:26" x14ac:dyDescent="0.2">
      <c r="B427" s="147" t="s">
        <v>399</v>
      </c>
    </row>
    <row r="428" spans="2:26" x14ac:dyDescent="0.2">
      <c r="B428" s="32" t="s">
        <v>400</v>
      </c>
      <c r="D428" s="47">
        <f ca="1">+SUM(F428:Z428)</f>
        <v>319849070.17239851</v>
      </c>
      <c r="E428" s="47"/>
      <c r="F428" s="33">
        <v>0</v>
      </c>
      <c r="G428" s="33">
        <f ca="1">+F435</f>
        <v>55765379.325386167</v>
      </c>
      <c r="H428" s="33">
        <f t="shared" ref="H428:Z428" ca="1" si="179">+G435</f>
        <v>78560429.144797742</v>
      </c>
      <c r="I428" s="33">
        <f t="shared" ca="1" si="179"/>
        <v>78560429.144797742</v>
      </c>
      <c r="J428" s="33">
        <f t="shared" ca="1" si="179"/>
        <v>39110944.216291532</v>
      </c>
      <c r="K428" s="33">
        <f t="shared" ca="1" si="179"/>
        <v>35590776.638878606</v>
      </c>
      <c r="L428" s="33">
        <f t="shared" ca="1" si="179"/>
        <v>32261111.702246845</v>
      </c>
      <c r="M428" s="33">
        <f t="shared" ca="1" si="179"/>
        <v>0</v>
      </c>
      <c r="N428" s="33">
        <f t="shared" ca="1" si="179"/>
        <v>0</v>
      </c>
      <c r="O428" s="33">
        <f t="shared" ca="1" si="179"/>
        <v>0</v>
      </c>
      <c r="P428" s="33">
        <f t="shared" ca="1" si="179"/>
        <v>0</v>
      </c>
      <c r="Q428" s="33">
        <f t="shared" ca="1" si="179"/>
        <v>0</v>
      </c>
      <c r="R428" s="33">
        <f t="shared" ca="1" si="179"/>
        <v>0</v>
      </c>
      <c r="S428" s="33">
        <f t="shared" ca="1" si="179"/>
        <v>0</v>
      </c>
      <c r="T428" s="33">
        <f t="shared" ca="1" si="179"/>
        <v>0</v>
      </c>
      <c r="U428" s="33">
        <f t="shared" ca="1" si="179"/>
        <v>0</v>
      </c>
      <c r="V428" s="33">
        <f t="shared" ca="1" si="179"/>
        <v>0</v>
      </c>
      <c r="W428" s="33">
        <f t="shared" ca="1" si="179"/>
        <v>0</v>
      </c>
      <c r="X428" s="33">
        <f t="shared" ca="1" si="179"/>
        <v>0</v>
      </c>
      <c r="Y428" s="33">
        <f t="shared" ca="1" si="179"/>
        <v>0</v>
      </c>
      <c r="Z428" s="33">
        <f t="shared" ca="1" si="179"/>
        <v>0</v>
      </c>
    </row>
    <row r="429" spans="2:26" x14ac:dyDescent="0.2">
      <c r="B429" s="32" t="s">
        <v>398</v>
      </c>
      <c r="D429" s="47">
        <f t="shared" ref="D429:D434" ca="1" si="180">+SUM(F429:Z429)</f>
        <v>78560429.144797742</v>
      </c>
      <c r="E429" s="47"/>
      <c r="F429" s="150">
        <f ca="1">-F400</f>
        <v>55765379.325386167</v>
      </c>
      <c r="G429" s="150">
        <f t="shared" ref="G429:Z429" ca="1" si="181">-G400</f>
        <v>22795049.819411576</v>
      </c>
      <c r="H429" s="150">
        <f t="shared" ca="1" si="181"/>
        <v>0</v>
      </c>
      <c r="I429" s="150">
        <f t="shared" ca="1" si="181"/>
        <v>0</v>
      </c>
      <c r="J429" s="150">
        <f t="shared" ca="1" si="181"/>
        <v>0</v>
      </c>
      <c r="K429" s="150">
        <f t="shared" ca="1" si="181"/>
        <v>0</v>
      </c>
      <c r="L429" s="150">
        <f t="shared" ca="1" si="181"/>
        <v>0</v>
      </c>
      <c r="M429" s="150">
        <f t="shared" ca="1" si="181"/>
        <v>0</v>
      </c>
      <c r="N429" s="150">
        <f t="shared" ca="1" si="181"/>
        <v>0</v>
      </c>
      <c r="O429" s="150">
        <f t="shared" ca="1" si="181"/>
        <v>0</v>
      </c>
      <c r="P429" s="150">
        <f t="shared" ca="1" si="181"/>
        <v>0</v>
      </c>
      <c r="Q429" s="150">
        <f t="shared" ca="1" si="181"/>
        <v>0</v>
      </c>
      <c r="R429" s="150">
        <f t="shared" ca="1" si="181"/>
        <v>0</v>
      </c>
      <c r="S429" s="150">
        <f t="shared" ca="1" si="181"/>
        <v>0</v>
      </c>
      <c r="T429" s="150">
        <f t="shared" ca="1" si="181"/>
        <v>0</v>
      </c>
      <c r="U429" s="150">
        <f t="shared" ca="1" si="181"/>
        <v>0</v>
      </c>
      <c r="V429" s="150">
        <f t="shared" ca="1" si="181"/>
        <v>0</v>
      </c>
      <c r="W429" s="150">
        <f t="shared" ca="1" si="181"/>
        <v>0</v>
      </c>
      <c r="X429" s="150">
        <f t="shared" ca="1" si="181"/>
        <v>0</v>
      </c>
      <c r="Y429" s="150">
        <f t="shared" ca="1" si="181"/>
        <v>0</v>
      </c>
      <c r="Z429" s="150">
        <f t="shared" ca="1" si="181"/>
        <v>0</v>
      </c>
    </row>
    <row r="430" spans="2:26" x14ac:dyDescent="0.2">
      <c r="B430" s="32" t="s">
        <v>637</v>
      </c>
      <c r="D430" s="47">
        <f t="shared" ca="1" si="180"/>
        <v>22404893.508031141</v>
      </c>
      <c r="E430" s="47"/>
      <c r="F430" s="150">
        <f ca="1">IF(F397&lt;='Assumptions and Sensis'!$H$51,F390-F146-F216-F261,0)</f>
        <v>0</v>
      </c>
      <c r="G430" s="150">
        <f ca="1">IF(G397&lt;='Assumptions and Sensis'!$H$51,G390-G146-G216-G261,0)</f>
        <v>0</v>
      </c>
      <c r="H430" s="150">
        <f ca="1">IF(H397&lt;='Assumptions and Sensis'!$H$51,H390-H146-H216-H261,0)</f>
        <v>0</v>
      </c>
      <c r="I430" s="150">
        <f ca="1">IF(I397&lt;='Assumptions and Sensis'!$H$51,I390-I146-I216-I261,0)</f>
        <v>-5154538.9198540449</v>
      </c>
      <c r="J430" s="150">
        <f ca="1">IF(J397&lt;='Assumptions and Sensis'!$H$51,J390-J146-J216-J261,0)</f>
        <v>8094516.9477083692</v>
      </c>
      <c r="K430" s="150">
        <f ca="1">IF(K397&lt;='Assumptions and Sensis'!$H$51,K390-K146-K216-K261,0)</f>
        <v>8567793.872334864</v>
      </c>
      <c r="L430" s="150">
        <f ca="1">IF(L397&lt;='Assumptions and Sensis'!$H$51,L390-L146-L216-L261,0)</f>
        <v>10897121.607841946</v>
      </c>
      <c r="M430" s="150">
        <f>IF(M397&lt;='Assumptions and Sensis'!$H$51,M390-M146-M216-M261,0)</f>
        <v>0</v>
      </c>
      <c r="N430" s="150">
        <f>IF(N397&lt;='Assumptions and Sensis'!$H$51,N390-N146-N216-N261,0)</f>
        <v>0</v>
      </c>
      <c r="O430" s="150">
        <f>IF(O397&lt;='Assumptions and Sensis'!$H$51,O390-O146-O216-O261,0)</f>
        <v>0</v>
      </c>
      <c r="P430" s="150">
        <f>IF(P397&lt;='Assumptions and Sensis'!$H$51,P390-P146-P216-P261,0)</f>
        <v>0</v>
      </c>
      <c r="Q430" s="150">
        <f>IF(Q397&lt;='Assumptions and Sensis'!$H$51,Q390-Q146-Q216-Q261,0)</f>
        <v>0</v>
      </c>
      <c r="R430" s="150">
        <f>IF(R397&lt;='Assumptions and Sensis'!$H$51,R390-R146-R216-R261,0)</f>
        <v>0</v>
      </c>
      <c r="S430" s="150">
        <f>IF(S397&lt;='Assumptions and Sensis'!$H$51,S390-S146-S216-S261,0)</f>
        <v>0</v>
      </c>
      <c r="T430" s="150">
        <f>IF(T397&lt;='Assumptions and Sensis'!$H$51,T390-T146-T216-T261,0)</f>
        <v>0</v>
      </c>
      <c r="U430" s="150">
        <f>IF(U397&lt;='Assumptions and Sensis'!$H$51,U390-U146-U216-U261,0)</f>
        <v>0</v>
      </c>
      <c r="V430" s="150">
        <f>IF(V397&lt;='Assumptions and Sensis'!$H$51,V390-V146-V216-V261,0)</f>
        <v>0</v>
      </c>
      <c r="W430" s="150">
        <f>IF(W397&lt;='Assumptions and Sensis'!$H$51,W390-W146-W216-W261,0)</f>
        <v>0</v>
      </c>
      <c r="X430" s="150">
        <f>IF(X397&lt;='Assumptions and Sensis'!$H$51,X390-X146-X216-X261,0)</f>
        <v>0</v>
      </c>
      <c r="Y430" s="150">
        <f>IF(Y397&lt;='Assumptions and Sensis'!$H$51,Y390-Y146-Y216-Y261,0)</f>
        <v>0</v>
      </c>
      <c r="Z430" s="150">
        <f>IF(Z397&lt;='Assumptions and Sensis'!$H$51,Z390-Z146-Z216-Z261,0)</f>
        <v>0</v>
      </c>
    </row>
    <row r="431" spans="2:26" x14ac:dyDescent="0.2">
      <c r="B431" s="32" t="s">
        <v>410</v>
      </c>
      <c r="D431" s="47">
        <f t="shared" ca="1" si="180"/>
        <v>-19352932.306744076</v>
      </c>
      <c r="E431" s="47"/>
      <c r="F431" s="150">
        <f>+F391</f>
        <v>0</v>
      </c>
      <c r="G431" s="150">
        <f t="shared" ref="G431:Z431" si="182">+G391</f>
        <v>0</v>
      </c>
      <c r="H431" s="150">
        <f t="shared" si="182"/>
        <v>0</v>
      </c>
      <c r="I431" s="150">
        <f t="shared" si="182"/>
        <v>0</v>
      </c>
      <c r="J431" s="150">
        <f t="shared" ca="1" si="182"/>
        <v>-6450977.4355813591</v>
      </c>
      <c r="K431" s="150">
        <f t="shared" ca="1" si="182"/>
        <v>-6450977.4355813591</v>
      </c>
      <c r="L431" s="150">
        <f t="shared" ca="1" si="182"/>
        <v>-6450977.4355813591</v>
      </c>
      <c r="M431" s="150">
        <f t="shared" si="182"/>
        <v>0</v>
      </c>
      <c r="N431" s="150">
        <f t="shared" si="182"/>
        <v>0</v>
      </c>
      <c r="O431" s="150">
        <f t="shared" si="182"/>
        <v>0</v>
      </c>
      <c r="P431" s="150">
        <f t="shared" si="182"/>
        <v>0</v>
      </c>
      <c r="Q431" s="150">
        <f t="shared" si="182"/>
        <v>0</v>
      </c>
      <c r="R431" s="150">
        <f t="shared" si="182"/>
        <v>0</v>
      </c>
      <c r="S431" s="150">
        <f t="shared" si="182"/>
        <v>0</v>
      </c>
      <c r="T431" s="150">
        <f t="shared" si="182"/>
        <v>0</v>
      </c>
      <c r="U431" s="150">
        <f t="shared" si="182"/>
        <v>0</v>
      </c>
      <c r="V431" s="150">
        <f t="shared" si="182"/>
        <v>0</v>
      </c>
      <c r="W431" s="150">
        <f t="shared" si="182"/>
        <v>0</v>
      </c>
      <c r="X431" s="150">
        <f t="shared" si="182"/>
        <v>0</v>
      </c>
      <c r="Y431" s="150">
        <f t="shared" si="182"/>
        <v>0</v>
      </c>
      <c r="Z431" s="150">
        <f t="shared" si="182"/>
        <v>0</v>
      </c>
    </row>
    <row r="432" spans="2:26" x14ac:dyDescent="0.2">
      <c r="B432" s="32" t="s">
        <v>643</v>
      </c>
      <c r="D432" s="47">
        <f t="shared" ca="1" si="180"/>
        <v>-8140203.5235951655</v>
      </c>
      <c r="E432" s="47"/>
      <c r="F432" s="150">
        <f ca="1">-F404</f>
        <v>0</v>
      </c>
      <c r="G432" s="150">
        <f t="shared" ref="G432:Z432" ca="1" si="183">-G404</f>
        <v>0</v>
      </c>
      <c r="H432" s="150">
        <f t="shared" ca="1" si="183"/>
        <v>0</v>
      </c>
      <c r="I432" s="150">
        <f t="shared" ca="1" si="183"/>
        <v>10042908.735790785</v>
      </c>
      <c r="J432" s="150">
        <f t="shared" ca="1" si="183"/>
        <v>-5163707.0895398315</v>
      </c>
      <c r="K432" s="150">
        <f t="shared" ca="1" si="183"/>
        <v>-5446481.3733853698</v>
      </c>
      <c r="L432" s="150">
        <f t="shared" ca="1" si="183"/>
        <v>-7572923.7964607403</v>
      </c>
      <c r="M432" s="150">
        <f t="shared" si="183"/>
        <v>0</v>
      </c>
      <c r="N432" s="150">
        <f t="shared" si="183"/>
        <v>0</v>
      </c>
      <c r="O432" s="150">
        <f t="shared" si="183"/>
        <v>0</v>
      </c>
      <c r="P432" s="150">
        <f t="shared" si="183"/>
        <v>0</v>
      </c>
      <c r="Q432" s="150">
        <f t="shared" si="183"/>
        <v>0</v>
      </c>
      <c r="R432" s="150">
        <f t="shared" si="183"/>
        <v>0</v>
      </c>
      <c r="S432" s="150">
        <f t="shared" si="183"/>
        <v>0</v>
      </c>
      <c r="T432" s="150">
        <f t="shared" si="183"/>
        <v>0</v>
      </c>
      <c r="U432" s="150">
        <f t="shared" si="183"/>
        <v>0</v>
      </c>
      <c r="V432" s="150">
        <f t="shared" si="183"/>
        <v>0</v>
      </c>
      <c r="W432" s="150">
        <f t="shared" si="183"/>
        <v>0</v>
      </c>
      <c r="X432" s="150">
        <f t="shared" si="183"/>
        <v>0</v>
      </c>
      <c r="Y432" s="150">
        <f t="shared" si="183"/>
        <v>0</v>
      </c>
      <c r="Z432" s="150">
        <f t="shared" si="183"/>
        <v>0</v>
      </c>
    </row>
    <row r="433" spans="2:26" x14ac:dyDescent="0.2">
      <c r="B433" s="32" t="s">
        <v>640</v>
      </c>
      <c r="D433" s="47">
        <f t="shared" ca="1" si="180"/>
        <v>-227824194.67317241</v>
      </c>
      <c r="E433" s="47"/>
      <c r="F433" s="150">
        <f>-F273-F228-F159</f>
        <v>0</v>
      </c>
      <c r="G433" s="150">
        <f t="shared" ref="G433:Z433" si="184">-G273-G228-G159</f>
        <v>0</v>
      </c>
      <c r="H433" s="150">
        <f t="shared" si="184"/>
        <v>0</v>
      </c>
      <c r="I433" s="150">
        <f t="shared" ca="1" si="184"/>
        <v>-44337854.744443059</v>
      </c>
      <c r="J433" s="150">
        <f t="shared" si="184"/>
        <v>0</v>
      </c>
      <c r="K433" s="150">
        <f t="shared" si="184"/>
        <v>0</v>
      </c>
      <c r="L433" s="150">
        <f t="shared" ca="1" si="184"/>
        <v>-183486339.92872956</v>
      </c>
      <c r="M433" s="150">
        <f t="shared" si="184"/>
        <v>0</v>
      </c>
      <c r="N433" s="150">
        <f t="shared" si="184"/>
        <v>0</v>
      </c>
      <c r="O433" s="150">
        <f t="shared" si="184"/>
        <v>0</v>
      </c>
      <c r="P433" s="150">
        <f t="shared" si="184"/>
        <v>0</v>
      </c>
      <c r="Q433" s="150">
        <f t="shared" si="184"/>
        <v>0</v>
      </c>
      <c r="R433" s="150">
        <f t="shared" si="184"/>
        <v>0</v>
      </c>
      <c r="S433" s="150">
        <f t="shared" si="184"/>
        <v>0</v>
      </c>
      <c r="T433" s="150">
        <f t="shared" si="184"/>
        <v>0</v>
      </c>
      <c r="U433" s="150">
        <f t="shared" si="184"/>
        <v>0</v>
      </c>
      <c r="V433" s="150">
        <f t="shared" si="184"/>
        <v>0</v>
      </c>
      <c r="W433" s="150">
        <f t="shared" si="184"/>
        <v>0</v>
      </c>
      <c r="X433" s="150">
        <f t="shared" si="184"/>
        <v>0</v>
      </c>
      <c r="Y433" s="150">
        <f t="shared" si="184"/>
        <v>0</v>
      </c>
      <c r="Z433" s="150">
        <f t="shared" si="184"/>
        <v>0</v>
      </c>
    </row>
    <row r="434" spans="2:26" x14ac:dyDescent="0.2">
      <c r="B434" s="32" t="s">
        <v>414</v>
      </c>
      <c r="D434" s="47">
        <f t="shared" ca="1" si="180"/>
        <v>154352007.85068288</v>
      </c>
      <c r="E434" s="47"/>
      <c r="F434" s="150">
        <f>-IF(YEAR(F397)=YEAR('Assumptions and Sensis'!$H$51),SUM(F428:F433),0)</f>
        <v>0</v>
      </c>
      <c r="G434" s="150">
        <f>-IF(YEAR(G397)=YEAR('Assumptions and Sensis'!$H$51),SUM(G428:G433),0)</f>
        <v>0</v>
      </c>
      <c r="H434" s="150">
        <f>-IF(YEAR(H397)=YEAR('Assumptions and Sensis'!$H$51),SUM(H428:H433),0)</f>
        <v>0</v>
      </c>
      <c r="I434" s="150">
        <f>-IF(YEAR(I397)=YEAR('Assumptions and Sensis'!$H$51),SUM(I428:I433),0)</f>
        <v>0</v>
      </c>
      <c r="J434" s="150">
        <f>-IF(YEAR(J397)=YEAR('Assumptions and Sensis'!$H$51),SUM(J428:J433),0)</f>
        <v>0</v>
      </c>
      <c r="K434" s="150">
        <f>-IF(YEAR(K397)=YEAR('Assumptions and Sensis'!$H$51),SUM(K428:K433),0)</f>
        <v>0</v>
      </c>
      <c r="L434" s="150">
        <f ca="1">-IF(YEAR(L397)=YEAR('Assumptions and Sensis'!$H$51),SUM(L428:L433),0)</f>
        <v>154352007.85068285</v>
      </c>
      <c r="M434" s="150">
        <f>-IF(YEAR(M397)=YEAR('Assumptions and Sensis'!$H$51),SUM(M428:M433),0)</f>
        <v>0</v>
      </c>
      <c r="N434" s="150">
        <f>-IF(YEAR(N397)=YEAR('Assumptions and Sensis'!$H$51),SUM(N428:N433),0)</f>
        <v>0</v>
      </c>
      <c r="O434" s="150">
        <f>-IF(YEAR(O397)=YEAR('Assumptions and Sensis'!$H$51),SUM(O428:O433),0)</f>
        <v>0</v>
      </c>
      <c r="P434" s="150">
        <f>-IF(YEAR(P397)=YEAR('Assumptions and Sensis'!$H$51),SUM(P428:P433),0)</f>
        <v>0</v>
      </c>
      <c r="Q434" s="150">
        <f>-IF(YEAR(Q397)=YEAR('Assumptions and Sensis'!$H$51),SUM(Q428:Q433),0)</f>
        <v>0</v>
      </c>
      <c r="R434" s="150">
        <f>-IF(YEAR(R397)=YEAR('Assumptions and Sensis'!$H$51),SUM(R428:R433),0)</f>
        <v>0</v>
      </c>
      <c r="S434" s="150">
        <f>-IF(YEAR(S397)=YEAR('Assumptions and Sensis'!$H$51),SUM(S428:S433),0)</f>
        <v>0</v>
      </c>
      <c r="T434" s="150">
        <f>-IF(YEAR(T397)=YEAR('Assumptions and Sensis'!$H$51),SUM(T428:T433),0)</f>
        <v>0</v>
      </c>
      <c r="U434" s="150">
        <f>-IF(YEAR(U397)=YEAR('Assumptions and Sensis'!$H$51),SUM(U428:U433),0)</f>
        <v>0</v>
      </c>
      <c r="V434" s="150">
        <f>-IF(YEAR(V397)=YEAR('Assumptions and Sensis'!$H$51),SUM(V428:V433),0)</f>
        <v>0</v>
      </c>
      <c r="W434" s="150">
        <f>-IF(YEAR(W397)=YEAR('Assumptions and Sensis'!$H$51),SUM(W428:W433),0)</f>
        <v>0</v>
      </c>
      <c r="X434" s="150">
        <f>-IF(YEAR(X397)=YEAR('Assumptions and Sensis'!$H$51),SUM(X428:X433),0)</f>
        <v>0</v>
      </c>
      <c r="Y434" s="150">
        <f>-IF(YEAR(Y397)=YEAR('Assumptions and Sensis'!$H$51),SUM(Y428:Y433),0)</f>
        <v>0</v>
      </c>
      <c r="Z434" s="150">
        <f>-IF(YEAR(Z397)=YEAR('Assumptions and Sensis'!$H$51),SUM(Z428:Z433),0)</f>
        <v>0</v>
      </c>
    </row>
    <row r="435" spans="2:26" x14ac:dyDescent="0.2">
      <c r="B435" s="136" t="s">
        <v>402</v>
      </c>
      <c r="C435" s="136"/>
      <c r="D435" s="35">
        <f t="shared" ref="D435" ca="1" si="185">+SUM(F435:Z435)</f>
        <v>319849070.17239863</v>
      </c>
      <c r="E435" s="128"/>
      <c r="F435" s="128">
        <f ca="1">+SUM(F428:F434)</f>
        <v>55765379.325386167</v>
      </c>
      <c r="G435" s="128">
        <f t="shared" ref="G435:Z435" ca="1" si="186">+SUM(G428:G434)</f>
        <v>78560429.144797742</v>
      </c>
      <c r="H435" s="128">
        <f t="shared" ca="1" si="186"/>
        <v>78560429.144797742</v>
      </c>
      <c r="I435" s="128">
        <f t="shared" ca="1" si="186"/>
        <v>39110944.216291428</v>
      </c>
      <c r="J435" s="128">
        <f t="shared" ca="1" si="186"/>
        <v>35590776.638878711</v>
      </c>
      <c r="K435" s="128">
        <f t="shared" ca="1" si="186"/>
        <v>32261111.70224674</v>
      </c>
      <c r="L435" s="128">
        <f t="shared" ca="1" si="186"/>
        <v>0</v>
      </c>
      <c r="M435" s="128">
        <f t="shared" ca="1" si="186"/>
        <v>0</v>
      </c>
      <c r="N435" s="128">
        <f t="shared" ca="1" si="186"/>
        <v>0</v>
      </c>
      <c r="O435" s="128">
        <f t="shared" ca="1" si="186"/>
        <v>0</v>
      </c>
      <c r="P435" s="128">
        <f t="shared" ca="1" si="186"/>
        <v>0</v>
      </c>
      <c r="Q435" s="128">
        <f t="shared" ca="1" si="186"/>
        <v>0</v>
      </c>
      <c r="R435" s="128">
        <f t="shared" ca="1" si="186"/>
        <v>0</v>
      </c>
      <c r="S435" s="128">
        <f t="shared" ca="1" si="186"/>
        <v>0</v>
      </c>
      <c r="T435" s="128">
        <f t="shared" ca="1" si="186"/>
        <v>0</v>
      </c>
      <c r="U435" s="128">
        <f t="shared" ca="1" si="186"/>
        <v>0</v>
      </c>
      <c r="V435" s="128">
        <f t="shared" ca="1" si="186"/>
        <v>0</v>
      </c>
      <c r="W435" s="128">
        <f t="shared" ca="1" si="186"/>
        <v>0</v>
      </c>
      <c r="X435" s="128">
        <f t="shared" ca="1" si="186"/>
        <v>0</v>
      </c>
      <c r="Y435" s="128">
        <f t="shared" ca="1" si="186"/>
        <v>0</v>
      </c>
      <c r="Z435" s="128">
        <f t="shared" ca="1" si="186"/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A2:Z438"/>
  <sheetViews>
    <sheetView showGridLines="0" topLeftCell="F419" zoomScale="70" zoomScaleNormal="70" workbookViewId="0">
      <selection activeCell="B400" sqref="B400:L438"/>
    </sheetView>
  </sheetViews>
  <sheetFormatPr baseColWidth="10" defaultColWidth="14.5" defaultRowHeight="16" outlineLevelRow="7" outlineLevelCol="1" x14ac:dyDescent="0.2"/>
  <cols>
    <col min="1" max="1" width="8.5" style="40" customWidth="1"/>
    <col min="2" max="2" width="17.83203125" style="40" customWidth="1"/>
    <col min="3" max="3" width="32.6640625" style="40" customWidth="1"/>
    <col min="4" max="4" width="17.5" style="40" hidden="1" customWidth="1" outlineLevel="1"/>
    <col min="5" max="5" width="14.83203125" style="40" hidden="1" customWidth="1" outlineLevel="1"/>
    <col min="6" max="6" width="18" style="40" bestFit="1" customWidth="1" collapsed="1"/>
    <col min="7" max="8" width="15.5" style="40" bestFit="1" customWidth="1"/>
    <col min="9" max="10" width="14.5" style="40"/>
    <col min="11" max="11" width="15.5" style="40" bestFit="1" customWidth="1"/>
    <col min="12" max="16384" width="14.5" style="40"/>
  </cols>
  <sheetData>
    <row r="2" spans="1:26" x14ac:dyDescent="0.2">
      <c r="B2" s="145" t="s">
        <v>258</v>
      </c>
      <c r="E2" s="145">
        <f>+'Phase III Pro Forma'!E2</f>
        <v>0</v>
      </c>
      <c r="F2" s="146">
        <f>+'Phase III Pro Forma'!F2</f>
        <v>0</v>
      </c>
      <c r="G2" s="146">
        <f>+'Phase III Pro Forma'!G2</f>
        <v>0</v>
      </c>
      <c r="H2" s="146">
        <f>+'Phase III Pro Forma'!H2</f>
        <v>0</v>
      </c>
      <c r="I2" s="146">
        <f>+'Phase III Pro Forma'!I2</f>
        <v>1</v>
      </c>
      <c r="J2" s="146">
        <f>+'Phase III Pro Forma'!J2</f>
        <v>2</v>
      </c>
      <c r="K2" s="146">
        <f>+'Phase III Pro Forma'!K2</f>
        <v>3</v>
      </c>
      <c r="L2" s="146">
        <f>+'Phase III Pro Forma'!L2</f>
        <v>4</v>
      </c>
      <c r="M2" s="146">
        <f>+'Phase III Pro Forma'!M2</f>
        <v>5</v>
      </c>
      <c r="N2" s="146">
        <f>+'Phase III Pro Forma'!N2</f>
        <v>6</v>
      </c>
      <c r="O2" s="146">
        <f>+'Phase III Pro Forma'!O2</f>
        <v>7</v>
      </c>
      <c r="P2" s="146">
        <f>+'Phase III Pro Forma'!P2</f>
        <v>8</v>
      </c>
      <c r="Q2" s="146">
        <f>+'Phase III Pro Forma'!Q2</f>
        <v>9</v>
      </c>
      <c r="R2" s="146">
        <f>+'Phase III Pro Forma'!R2</f>
        <v>10</v>
      </c>
      <c r="S2" s="146">
        <f>+'Phase III Pro Forma'!S2</f>
        <v>11</v>
      </c>
      <c r="T2" s="146">
        <f>+'Phase III Pro Forma'!T2</f>
        <v>12</v>
      </c>
      <c r="U2" s="146">
        <f>+'Phase III Pro Forma'!U2</f>
        <v>13</v>
      </c>
      <c r="V2" s="146">
        <f>+'Phase III Pro Forma'!V2</f>
        <v>14</v>
      </c>
      <c r="W2" s="146">
        <f>+'Phase III Pro Forma'!W2</f>
        <v>15</v>
      </c>
      <c r="X2" s="146">
        <f>+'Phase III Pro Forma'!X2</f>
        <v>16</v>
      </c>
      <c r="Y2" s="146">
        <f>+'Phase III Pro Forma'!Y2</f>
        <v>17</v>
      </c>
      <c r="Z2" s="146">
        <f>+'Phase III Pro Forma'!Z2</f>
        <v>18</v>
      </c>
    </row>
    <row r="3" spans="1:26" x14ac:dyDescent="0.2">
      <c r="B3" s="145" t="s">
        <v>278</v>
      </c>
      <c r="F3" s="146">
        <f>+'Phase III Pro Forma'!F3</f>
        <v>0</v>
      </c>
      <c r="G3" s="146">
        <f>+'Phase III Pro Forma'!G3</f>
        <v>0</v>
      </c>
      <c r="H3" s="146">
        <f>+'Phase III Pro Forma'!H3</f>
        <v>0</v>
      </c>
      <c r="I3" s="146">
        <f>+'Phase III Pro Forma'!I3</f>
        <v>0</v>
      </c>
      <c r="J3" s="146">
        <f>+'Phase III Pro Forma'!J3</f>
        <v>0</v>
      </c>
      <c r="K3" s="146">
        <f>+'Phase III Pro Forma'!K3</f>
        <v>1</v>
      </c>
      <c r="L3" s="146">
        <f>+'Phase III Pro Forma'!L3</f>
        <v>2</v>
      </c>
      <c r="M3" s="146">
        <f>+'Phase III Pro Forma'!M3</f>
        <v>3</v>
      </c>
      <c r="N3" s="146">
        <f>+'Phase III Pro Forma'!N3</f>
        <v>4</v>
      </c>
      <c r="O3" s="146">
        <f>+'Phase III Pro Forma'!O3</f>
        <v>5</v>
      </c>
      <c r="P3" s="146">
        <f>+'Phase III Pro Forma'!P3</f>
        <v>6</v>
      </c>
      <c r="Q3" s="146">
        <f>+'Phase III Pro Forma'!Q3</f>
        <v>7</v>
      </c>
      <c r="R3" s="146">
        <f>+'Phase III Pro Forma'!R3</f>
        <v>8</v>
      </c>
      <c r="S3" s="146">
        <f>+'Phase III Pro Forma'!S3</f>
        <v>9</v>
      </c>
      <c r="T3" s="146">
        <f>+'Phase III Pro Forma'!T3</f>
        <v>10</v>
      </c>
      <c r="U3" s="146">
        <f>+'Phase III Pro Forma'!U3</f>
        <v>11</v>
      </c>
      <c r="V3" s="146">
        <f>+'Phase III Pro Forma'!V3</f>
        <v>12</v>
      </c>
      <c r="W3" s="146">
        <f>+'Phase III Pro Forma'!W3</f>
        <v>13</v>
      </c>
      <c r="X3" s="146">
        <f>+'Phase III Pro Forma'!X3</f>
        <v>14</v>
      </c>
      <c r="Y3" s="146">
        <f>+'Phase III Pro Forma'!Y3</f>
        <v>15</v>
      </c>
      <c r="Z3" s="146">
        <f>+'Phase III Pro Forma'!Z3</f>
        <v>16</v>
      </c>
    </row>
    <row r="4" spans="1:26" x14ac:dyDescent="0.2"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">
      <c r="B5" s="147" t="s">
        <v>794</v>
      </c>
      <c r="F5" s="41"/>
      <c r="G5" s="41"/>
      <c r="H5" s="41"/>
      <c r="I5" s="41"/>
      <c r="J5" s="41"/>
      <c r="K5" s="41"/>
      <c r="L5" s="41"/>
      <c r="M5" s="41"/>
      <c r="N5" s="41"/>
    </row>
    <row r="6" spans="1:26" x14ac:dyDescent="0.2">
      <c r="B6" s="36" t="s">
        <v>782</v>
      </c>
      <c r="C6" s="37"/>
      <c r="D6" s="37"/>
      <c r="E6" s="37"/>
      <c r="F6" s="135">
        <f>+F8</f>
        <v>45657</v>
      </c>
      <c r="G6" s="135">
        <f t="shared" ref="G6:Z6" si="0">+G8</f>
        <v>46022</v>
      </c>
      <c r="H6" s="135">
        <f t="shared" si="0"/>
        <v>46387</v>
      </c>
      <c r="I6" s="135">
        <f t="shared" si="0"/>
        <v>46752</v>
      </c>
      <c r="J6" s="135">
        <f t="shared" si="0"/>
        <v>47118</v>
      </c>
      <c r="K6" s="135">
        <f t="shared" si="0"/>
        <v>47483</v>
      </c>
      <c r="L6" s="135">
        <f t="shared" si="0"/>
        <v>47848</v>
      </c>
      <c r="M6" s="135">
        <f t="shared" si="0"/>
        <v>48213</v>
      </c>
      <c r="N6" s="135">
        <f t="shared" si="0"/>
        <v>48579</v>
      </c>
      <c r="O6" s="135">
        <f t="shared" si="0"/>
        <v>48944</v>
      </c>
      <c r="P6" s="135">
        <f t="shared" si="0"/>
        <v>49309</v>
      </c>
      <c r="Q6" s="135">
        <f t="shared" si="0"/>
        <v>49674</v>
      </c>
      <c r="R6" s="135">
        <f t="shared" si="0"/>
        <v>50040</v>
      </c>
      <c r="S6" s="135">
        <f t="shared" si="0"/>
        <v>50405</v>
      </c>
      <c r="T6" s="135">
        <f t="shared" si="0"/>
        <v>50770</v>
      </c>
      <c r="U6" s="135">
        <f t="shared" si="0"/>
        <v>51135</v>
      </c>
      <c r="V6" s="135">
        <f t="shared" si="0"/>
        <v>51501</v>
      </c>
      <c r="W6" s="135">
        <f t="shared" si="0"/>
        <v>51866</v>
      </c>
      <c r="X6" s="135">
        <f t="shared" si="0"/>
        <v>52231</v>
      </c>
      <c r="Y6" s="135">
        <f t="shared" si="0"/>
        <v>52596</v>
      </c>
      <c r="Z6" s="135">
        <f t="shared" si="0"/>
        <v>52962</v>
      </c>
    </row>
    <row r="7" spans="1:26" hidden="1" outlineLevel="6" x14ac:dyDescent="0.2">
      <c r="B7" s="785"/>
      <c r="C7" s="786"/>
      <c r="D7" s="786"/>
      <c r="E7" s="786"/>
      <c r="F7" s="787">
        <f>+YEAR(F8)</f>
        <v>2024</v>
      </c>
      <c r="G7" s="787">
        <f t="shared" ref="G7:Z7" si="1">+YEAR(G8)</f>
        <v>2025</v>
      </c>
      <c r="H7" s="787">
        <f t="shared" si="1"/>
        <v>2026</v>
      </c>
      <c r="I7" s="787">
        <f t="shared" si="1"/>
        <v>2027</v>
      </c>
      <c r="J7" s="787">
        <f t="shared" si="1"/>
        <v>2028</v>
      </c>
      <c r="K7" s="787">
        <f t="shared" si="1"/>
        <v>2029</v>
      </c>
      <c r="L7" s="787">
        <f t="shared" si="1"/>
        <v>2030</v>
      </c>
      <c r="M7" s="787">
        <f t="shared" si="1"/>
        <v>2031</v>
      </c>
      <c r="N7" s="787">
        <f t="shared" si="1"/>
        <v>2032</v>
      </c>
      <c r="O7" s="787">
        <f t="shared" si="1"/>
        <v>2033</v>
      </c>
      <c r="P7" s="787">
        <f t="shared" si="1"/>
        <v>2034</v>
      </c>
      <c r="Q7" s="787">
        <f t="shared" si="1"/>
        <v>2035</v>
      </c>
      <c r="R7" s="787">
        <f t="shared" si="1"/>
        <v>2036</v>
      </c>
      <c r="S7" s="787">
        <f t="shared" si="1"/>
        <v>2037</v>
      </c>
      <c r="T7" s="787">
        <f t="shared" si="1"/>
        <v>2038</v>
      </c>
      <c r="U7" s="787">
        <f t="shared" si="1"/>
        <v>2039</v>
      </c>
      <c r="V7" s="787">
        <f t="shared" si="1"/>
        <v>2040</v>
      </c>
      <c r="W7" s="787">
        <f t="shared" si="1"/>
        <v>2041</v>
      </c>
      <c r="X7" s="787">
        <f t="shared" si="1"/>
        <v>2042</v>
      </c>
      <c r="Y7" s="787">
        <f t="shared" si="1"/>
        <v>2043</v>
      </c>
      <c r="Z7" s="787">
        <f t="shared" si="1"/>
        <v>2044</v>
      </c>
    </row>
    <row r="8" spans="1:26" collapsed="1" x14ac:dyDescent="0.2">
      <c r="B8" s="147" t="s">
        <v>141</v>
      </c>
      <c r="C8" s="148"/>
      <c r="D8" s="148"/>
      <c r="E8" s="148"/>
      <c r="F8" s="776">
        <f>+'Phase III Pro Forma'!F7</f>
        <v>45657</v>
      </c>
      <c r="G8" s="776">
        <f>+'Phase III Pro Forma'!G7</f>
        <v>46022</v>
      </c>
      <c r="H8" s="776">
        <f>+'Phase III Pro Forma'!H7</f>
        <v>46387</v>
      </c>
      <c r="I8" s="776">
        <f>+'Phase III Pro Forma'!I7</f>
        <v>46752</v>
      </c>
      <c r="J8" s="776">
        <f>+'Phase III Pro Forma'!J7</f>
        <v>47118</v>
      </c>
      <c r="K8" s="776">
        <f>+'Phase III Pro Forma'!K7</f>
        <v>47483</v>
      </c>
      <c r="L8" s="776">
        <f>+'Phase III Pro Forma'!L7</f>
        <v>47848</v>
      </c>
      <c r="M8" s="776">
        <f>+'Phase III Pro Forma'!M7</f>
        <v>48213</v>
      </c>
      <c r="N8" s="776">
        <f>+'Phase III Pro Forma'!N7</f>
        <v>48579</v>
      </c>
      <c r="O8" s="776">
        <f>+'Phase III Pro Forma'!O7</f>
        <v>48944</v>
      </c>
      <c r="P8" s="776">
        <f>+'Phase III Pro Forma'!P7</f>
        <v>49309</v>
      </c>
      <c r="Q8" s="776">
        <f>+'Phase III Pro Forma'!Q7</f>
        <v>49674</v>
      </c>
      <c r="R8" s="776">
        <f>+'Phase III Pro Forma'!R7</f>
        <v>50040</v>
      </c>
      <c r="S8" s="776">
        <f>+'Phase III Pro Forma'!S7</f>
        <v>50405</v>
      </c>
      <c r="T8" s="776">
        <f>+'Phase III Pro Forma'!T7</f>
        <v>50770</v>
      </c>
      <c r="U8" s="776">
        <f>+'Phase III Pro Forma'!U7</f>
        <v>51135</v>
      </c>
      <c r="V8" s="776">
        <f>+'Phase III Pro Forma'!V7</f>
        <v>51501</v>
      </c>
      <c r="W8" s="776">
        <f>+'Phase III Pro Forma'!W7</f>
        <v>51866</v>
      </c>
      <c r="X8" s="776">
        <f>+'Phase III Pro Forma'!X7</f>
        <v>52231</v>
      </c>
      <c r="Y8" s="776">
        <f>+'Phase III Pro Forma'!Y7</f>
        <v>52596</v>
      </c>
      <c r="Z8" s="776">
        <f>+'Phase III Pro Forma'!Z7</f>
        <v>52962</v>
      </c>
    </row>
    <row r="9" spans="1:26" hidden="1" outlineLevel="2" x14ac:dyDescent="0.2">
      <c r="A9" s="139"/>
      <c r="B9" s="788" t="s">
        <v>756</v>
      </c>
      <c r="C9" s="788"/>
      <c r="D9" s="791"/>
      <c r="E9" s="791"/>
      <c r="F9" s="789">
        <f>+'Phase III Pro Forma'!F8</f>
        <v>0</v>
      </c>
      <c r="G9" s="789">
        <f>+'Phase III Pro Forma'!G8</f>
        <v>0</v>
      </c>
      <c r="H9" s="789">
        <f>+'Phase III Pro Forma'!H8</f>
        <v>0</v>
      </c>
      <c r="I9" s="789">
        <f>+'Phase III Pro Forma'!I8</f>
        <v>45681.178363205021</v>
      </c>
      <c r="J9" s="789">
        <f>+'Phase III Pro Forma'!J8</f>
        <v>45681.178363205021</v>
      </c>
      <c r="K9" s="789">
        <f>+'Phase III Pro Forma'!K8</f>
        <v>0</v>
      </c>
      <c r="L9" s="789">
        <f>+'Phase III Pro Forma'!L8</f>
        <v>0</v>
      </c>
      <c r="M9" s="789">
        <f>+'Phase III Pro Forma'!M8</f>
        <v>0</v>
      </c>
      <c r="N9" s="789">
        <f>+'Phase III Pro Forma'!N8</f>
        <v>0</v>
      </c>
      <c r="O9" s="789">
        <f>+'Phase III Pro Forma'!O8</f>
        <v>0</v>
      </c>
      <c r="P9" s="789">
        <f>+'Phase III Pro Forma'!P8</f>
        <v>0</v>
      </c>
      <c r="Q9" s="789">
        <f>+'Phase III Pro Forma'!Q8</f>
        <v>0</v>
      </c>
      <c r="R9" s="789">
        <f>+'Phase III Pro Forma'!R8</f>
        <v>0</v>
      </c>
      <c r="S9" s="789">
        <f>+'Phase III Pro Forma'!S8</f>
        <v>0</v>
      </c>
      <c r="T9" s="789">
        <f>+'Phase III Pro Forma'!T8</f>
        <v>0</v>
      </c>
      <c r="U9" s="789">
        <f>+'Phase III Pro Forma'!U8</f>
        <v>0</v>
      </c>
      <c r="V9" s="789">
        <f>+'Phase III Pro Forma'!V8</f>
        <v>0</v>
      </c>
      <c r="W9" s="789">
        <f>+'Phase III Pro Forma'!W8</f>
        <v>0</v>
      </c>
      <c r="X9" s="789">
        <f>+'Phase III Pro Forma'!X8</f>
        <v>0</v>
      </c>
      <c r="Y9" s="789">
        <f>+'Phase III Pro Forma'!Y8</f>
        <v>0</v>
      </c>
      <c r="Z9" s="789">
        <f>+'Phase III Pro Forma'!Z8</f>
        <v>0</v>
      </c>
    </row>
    <row r="10" spans="1:26" collapsed="1" x14ac:dyDescent="0.2">
      <c r="B10" s="32" t="s">
        <v>784</v>
      </c>
      <c r="C10" s="32"/>
      <c r="D10" s="41"/>
      <c r="E10" s="41"/>
      <c r="F10" s="41">
        <f>+D10+F9</f>
        <v>0</v>
      </c>
      <c r="G10" s="41">
        <f t="shared" ref="G10:Z10" si="2">+F10+G9</f>
        <v>0</v>
      </c>
      <c r="H10" s="41">
        <f t="shared" si="2"/>
        <v>0</v>
      </c>
      <c r="I10" s="41">
        <f t="shared" si="2"/>
        <v>45681.178363205021</v>
      </c>
      <c r="J10" s="41">
        <f t="shared" si="2"/>
        <v>91362.356726410042</v>
      </c>
      <c r="K10" s="41">
        <f t="shared" si="2"/>
        <v>91362.356726410042</v>
      </c>
      <c r="L10" s="41">
        <f t="shared" si="2"/>
        <v>91362.356726410042</v>
      </c>
      <c r="M10" s="41">
        <f t="shared" si="2"/>
        <v>91362.356726410042</v>
      </c>
      <c r="N10" s="41">
        <f t="shared" si="2"/>
        <v>91362.356726410042</v>
      </c>
      <c r="O10" s="41">
        <f t="shared" si="2"/>
        <v>91362.356726410042</v>
      </c>
      <c r="P10" s="41">
        <f t="shared" si="2"/>
        <v>91362.356726410042</v>
      </c>
      <c r="Q10" s="41">
        <f t="shared" si="2"/>
        <v>91362.356726410042</v>
      </c>
      <c r="R10" s="41">
        <f t="shared" si="2"/>
        <v>91362.356726410042</v>
      </c>
      <c r="S10" s="41">
        <f t="shared" si="2"/>
        <v>91362.356726410042</v>
      </c>
      <c r="T10" s="41">
        <f t="shared" si="2"/>
        <v>91362.356726410042</v>
      </c>
      <c r="U10" s="41">
        <f t="shared" si="2"/>
        <v>91362.356726410042</v>
      </c>
      <c r="V10" s="41">
        <f t="shared" si="2"/>
        <v>91362.356726410042</v>
      </c>
      <c r="W10" s="41">
        <f t="shared" si="2"/>
        <v>91362.356726410042</v>
      </c>
      <c r="X10" s="41">
        <f t="shared" si="2"/>
        <v>91362.356726410042</v>
      </c>
      <c r="Y10" s="41">
        <f t="shared" si="2"/>
        <v>91362.356726410042</v>
      </c>
      <c r="Z10" s="41">
        <f t="shared" si="2"/>
        <v>91362.356726410042</v>
      </c>
    </row>
    <row r="11" spans="1:26" hidden="1" outlineLevel="4" x14ac:dyDescent="0.2">
      <c r="B11" s="788" t="s">
        <v>490</v>
      </c>
      <c r="C11" s="788"/>
      <c r="D11" s="789"/>
      <c r="E11" s="789"/>
      <c r="F11" s="789">
        <f>+F12-E12</f>
        <v>0</v>
      </c>
      <c r="G11" s="789">
        <f t="shared" ref="G11:Z11" si="3">+G12-F12</f>
        <v>0</v>
      </c>
      <c r="H11" s="789">
        <f t="shared" si="3"/>
        <v>0</v>
      </c>
      <c r="I11" s="789">
        <f t="shared" si="3"/>
        <v>62.500157669657781</v>
      </c>
      <c r="J11" s="789">
        <f t="shared" si="3"/>
        <v>62.500157669657781</v>
      </c>
      <c r="K11" s="789">
        <f t="shared" si="3"/>
        <v>0</v>
      </c>
      <c r="L11" s="789">
        <f t="shared" si="3"/>
        <v>0</v>
      </c>
      <c r="M11" s="789">
        <f t="shared" si="3"/>
        <v>0</v>
      </c>
      <c r="N11" s="789">
        <f t="shared" si="3"/>
        <v>0</v>
      </c>
      <c r="O11" s="789">
        <f t="shared" si="3"/>
        <v>0</v>
      </c>
      <c r="P11" s="789">
        <f t="shared" si="3"/>
        <v>0</v>
      </c>
      <c r="Q11" s="789">
        <f t="shared" si="3"/>
        <v>0</v>
      </c>
      <c r="R11" s="789">
        <f t="shared" si="3"/>
        <v>0</v>
      </c>
      <c r="S11" s="789">
        <f t="shared" si="3"/>
        <v>0</v>
      </c>
      <c r="T11" s="789">
        <f t="shared" si="3"/>
        <v>0</v>
      </c>
      <c r="U11" s="789">
        <f t="shared" si="3"/>
        <v>0</v>
      </c>
      <c r="V11" s="789">
        <f t="shared" si="3"/>
        <v>0</v>
      </c>
      <c r="W11" s="789">
        <f t="shared" si="3"/>
        <v>0</v>
      </c>
      <c r="X11" s="789">
        <f t="shared" si="3"/>
        <v>0</v>
      </c>
      <c r="Y11" s="789">
        <f t="shared" si="3"/>
        <v>0</v>
      </c>
      <c r="Z11" s="789">
        <f t="shared" si="3"/>
        <v>0</v>
      </c>
    </row>
    <row r="12" spans="1:26" hidden="1" outlineLevel="4" x14ac:dyDescent="0.2">
      <c r="B12" s="788" t="s">
        <v>247</v>
      </c>
      <c r="C12" s="788"/>
      <c r="D12" s="789"/>
      <c r="E12" s="789"/>
      <c r="F12" s="789">
        <f>+'Phase III Pro Forma'!F11</f>
        <v>0</v>
      </c>
      <c r="G12" s="789">
        <f>+'Phase III Pro Forma'!G11</f>
        <v>0</v>
      </c>
      <c r="H12" s="789">
        <f>+'Phase III Pro Forma'!H11</f>
        <v>0</v>
      </c>
      <c r="I12" s="789">
        <f>+'Phase III Pro Forma'!I11</f>
        <v>62.500157669657781</v>
      </c>
      <c r="J12" s="789">
        <f>+'Phase III Pro Forma'!J11</f>
        <v>125.00031533931556</v>
      </c>
      <c r="K12" s="789">
        <f>+'Phase III Pro Forma'!K11</f>
        <v>125.00031533931556</v>
      </c>
      <c r="L12" s="789">
        <f>+'Phase III Pro Forma'!L11</f>
        <v>125.00031533931556</v>
      </c>
      <c r="M12" s="789">
        <f>+'Phase III Pro Forma'!M11</f>
        <v>125.00031533931556</v>
      </c>
      <c r="N12" s="789">
        <f>+'Phase III Pro Forma'!N11</f>
        <v>125.00031533931556</v>
      </c>
      <c r="O12" s="789">
        <f>+'Phase III Pro Forma'!O11</f>
        <v>125.00031533931556</v>
      </c>
      <c r="P12" s="789">
        <f>+'Phase III Pro Forma'!P11</f>
        <v>125.00031533931556</v>
      </c>
      <c r="Q12" s="789">
        <f>+'Phase III Pro Forma'!Q11</f>
        <v>125.00031533931556</v>
      </c>
      <c r="R12" s="789">
        <f>+'Phase III Pro Forma'!R11</f>
        <v>125.00031533931556</v>
      </c>
      <c r="S12" s="789">
        <f>+'Phase III Pro Forma'!S11</f>
        <v>125.00031533931556</v>
      </c>
      <c r="T12" s="789">
        <f>+'Phase III Pro Forma'!T11</f>
        <v>125.00031533931556</v>
      </c>
      <c r="U12" s="789">
        <f>+'Phase III Pro Forma'!U11</f>
        <v>125.00031533931556</v>
      </c>
      <c r="V12" s="789">
        <f>+'Phase III Pro Forma'!V11</f>
        <v>125.00031533931556</v>
      </c>
      <c r="W12" s="789">
        <f>+'Phase III Pro Forma'!W11</f>
        <v>125.00031533931556</v>
      </c>
      <c r="X12" s="789">
        <f>+'Phase III Pro Forma'!X11</f>
        <v>125.00031533931556</v>
      </c>
      <c r="Y12" s="789">
        <f>+'Phase III Pro Forma'!Y11</f>
        <v>125.00031533931556</v>
      </c>
      <c r="Z12" s="789">
        <f>+'Phase III Pro Forma'!Z11</f>
        <v>125.00031533931556</v>
      </c>
    </row>
    <row r="13" spans="1:26" hidden="1" outlineLevel="4" x14ac:dyDescent="0.2">
      <c r="B13" s="788" t="s">
        <v>301</v>
      </c>
      <c r="C13" s="788"/>
      <c r="D13" s="789"/>
      <c r="E13" s="789"/>
      <c r="F13" s="790">
        <f t="shared" ref="F13:Z13" si="4">+F10/SUM($F$9:$Z$9)</f>
        <v>0</v>
      </c>
      <c r="G13" s="790">
        <f t="shared" si="4"/>
        <v>0</v>
      </c>
      <c r="H13" s="790">
        <f t="shared" si="4"/>
        <v>0</v>
      </c>
      <c r="I13" s="790">
        <f t="shared" si="4"/>
        <v>0.5</v>
      </c>
      <c r="J13" s="790">
        <f t="shared" si="4"/>
        <v>1</v>
      </c>
      <c r="K13" s="790">
        <f t="shared" si="4"/>
        <v>1</v>
      </c>
      <c r="L13" s="790">
        <f t="shared" si="4"/>
        <v>1</v>
      </c>
      <c r="M13" s="790">
        <f t="shared" si="4"/>
        <v>1</v>
      </c>
      <c r="N13" s="790">
        <f t="shared" si="4"/>
        <v>1</v>
      </c>
      <c r="O13" s="790">
        <f t="shared" si="4"/>
        <v>1</v>
      </c>
      <c r="P13" s="790">
        <f t="shared" si="4"/>
        <v>1</v>
      </c>
      <c r="Q13" s="790">
        <f t="shared" si="4"/>
        <v>1</v>
      </c>
      <c r="R13" s="790">
        <f t="shared" si="4"/>
        <v>1</v>
      </c>
      <c r="S13" s="790">
        <f t="shared" si="4"/>
        <v>1</v>
      </c>
      <c r="T13" s="790">
        <f t="shared" si="4"/>
        <v>1</v>
      </c>
      <c r="U13" s="790">
        <f t="shared" si="4"/>
        <v>1</v>
      </c>
      <c r="V13" s="790">
        <f t="shared" si="4"/>
        <v>1</v>
      </c>
      <c r="W13" s="790">
        <f t="shared" si="4"/>
        <v>1</v>
      </c>
      <c r="X13" s="790">
        <f t="shared" si="4"/>
        <v>1</v>
      </c>
      <c r="Y13" s="790">
        <f t="shared" si="4"/>
        <v>1</v>
      </c>
      <c r="Z13" s="790">
        <f t="shared" si="4"/>
        <v>1</v>
      </c>
    </row>
    <row r="14" spans="1:26" hidden="1" outlineLevel="1" x14ac:dyDescent="0.2">
      <c r="B14" s="788"/>
      <c r="C14" s="788"/>
      <c r="D14" s="789"/>
      <c r="E14" s="789"/>
      <c r="F14" s="790"/>
      <c r="G14" s="790"/>
      <c r="H14" s="790"/>
      <c r="I14" s="790"/>
      <c r="J14" s="790"/>
      <c r="K14" s="790"/>
      <c r="L14" s="790"/>
      <c r="M14" s="790"/>
      <c r="N14" s="790"/>
      <c r="O14" s="790"/>
      <c r="P14" s="790"/>
      <c r="Q14" s="790"/>
      <c r="R14" s="790"/>
      <c r="S14" s="790"/>
      <c r="T14" s="790"/>
      <c r="U14" s="790"/>
      <c r="V14" s="790"/>
      <c r="W14" s="790"/>
      <c r="X14" s="790"/>
      <c r="Y14" s="790"/>
      <c r="Z14" s="790"/>
    </row>
    <row r="15" spans="1:26" hidden="1" outlineLevel="1" x14ac:dyDescent="0.2">
      <c r="B15" s="788" t="s">
        <v>251</v>
      </c>
      <c r="C15" s="788"/>
      <c r="D15" s="789"/>
      <c r="E15" s="789"/>
      <c r="F15" s="790">
        <f>+'Phase III Pro Forma'!F14</f>
        <v>1</v>
      </c>
      <c r="G15" s="790">
        <f>+'Phase III Pro Forma'!G14</f>
        <v>1.02</v>
      </c>
      <c r="H15" s="790">
        <f>+'Phase III Pro Forma'!H14</f>
        <v>1.0404</v>
      </c>
      <c r="I15" s="790">
        <f>+'Phase III Pro Forma'!I14</f>
        <v>1.0612079999999999</v>
      </c>
      <c r="J15" s="790">
        <f>+'Phase III Pro Forma'!J14</f>
        <v>1.08243216</v>
      </c>
      <c r="K15" s="790">
        <f>+'Phase III Pro Forma'!K14</f>
        <v>1.1040808032</v>
      </c>
      <c r="L15" s="790">
        <f>+'Phase III Pro Forma'!L14</f>
        <v>1.1261624192640001</v>
      </c>
      <c r="M15" s="790">
        <f>+'Phase III Pro Forma'!M14</f>
        <v>1.14868566764928</v>
      </c>
      <c r="N15" s="790">
        <f>+'Phase III Pro Forma'!N14</f>
        <v>1.1716593810022657</v>
      </c>
      <c r="O15" s="790">
        <f>+'Phase III Pro Forma'!O14</f>
        <v>1.1950925686223111</v>
      </c>
      <c r="P15" s="790">
        <f>+'Phase III Pro Forma'!P14</f>
        <v>1.2189944199947573</v>
      </c>
      <c r="Q15" s="790">
        <f>+'Phase III Pro Forma'!Q14</f>
        <v>1.2433743083946525</v>
      </c>
      <c r="R15" s="790">
        <f>+'Phase III Pro Forma'!R14</f>
        <v>1.2682417945625455</v>
      </c>
      <c r="S15" s="790">
        <f>+'Phase III Pro Forma'!S14</f>
        <v>1.2936066304537963</v>
      </c>
      <c r="T15" s="790">
        <f>+'Phase III Pro Forma'!T14</f>
        <v>1.3194787630628724</v>
      </c>
      <c r="U15" s="790">
        <f>+'Phase III Pro Forma'!U14</f>
        <v>1.3458683383241299</v>
      </c>
      <c r="V15" s="790">
        <f>+'Phase III Pro Forma'!V14</f>
        <v>1.3727857050906125</v>
      </c>
      <c r="W15" s="790">
        <f>+'Phase III Pro Forma'!W14</f>
        <v>1.4002414191924248</v>
      </c>
      <c r="X15" s="790">
        <f>+'Phase III Pro Forma'!X14</f>
        <v>1.4282462475762734</v>
      </c>
      <c r="Y15" s="790">
        <f>+'Phase III Pro Forma'!Y14</f>
        <v>1.4568111725277988</v>
      </c>
      <c r="Z15" s="790">
        <f>+'Phase III Pro Forma'!Z14</f>
        <v>1.4859473959783549</v>
      </c>
    </row>
    <row r="16" spans="1:26" hidden="1" outlineLevel="1" x14ac:dyDescent="0.2">
      <c r="B16" s="788" t="s">
        <v>252</v>
      </c>
      <c r="C16" s="788"/>
      <c r="D16" s="789"/>
      <c r="E16" s="789"/>
      <c r="F16" s="790">
        <f>+'Phase III Pro Forma'!F15</f>
        <v>1</v>
      </c>
      <c r="G16" s="790">
        <f>+'Phase III Pro Forma'!G15</f>
        <v>1.03</v>
      </c>
      <c r="H16" s="790">
        <f>+'Phase III Pro Forma'!H15</f>
        <v>1.0609</v>
      </c>
      <c r="I16" s="790">
        <f>+'Phase III Pro Forma'!I15</f>
        <v>1.092727</v>
      </c>
      <c r="J16" s="790">
        <f>+'Phase III Pro Forma'!J15</f>
        <v>1.1255088100000001</v>
      </c>
      <c r="K16" s="790">
        <f>+'Phase III Pro Forma'!K15</f>
        <v>1.1592740743000001</v>
      </c>
      <c r="L16" s="790">
        <f>+'Phase III Pro Forma'!L15</f>
        <v>1.1940522965290001</v>
      </c>
      <c r="M16" s="790">
        <f>+'Phase III Pro Forma'!M15</f>
        <v>1.2298738654248702</v>
      </c>
      <c r="N16" s="790">
        <f>+'Phase III Pro Forma'!N15</f>
        <v>1.2667700813876164</v>
      </c>
      <c r="O16" s="790">
        <f>+'Phase III Pro Forma'!O15</f>
        <v>1.3047731838292449</v>
      </c>
      <c r="P16" s="790">
        <f>+'Phase III Pro Forma'!P15</f>
        <v>1.3439163793441222</v>
      </c>
      <c r="Q16" s="790">
        <f>+'Phase III Pro Forma'!Q15</f>
        <v>1.3842338707244459</v>
      </c>
      <c r="R16" s="790">
        <f>+'Phase III Pro Forma'!R15</f>
        <v>1.4257608868461793</v>
      </c>
      <c r="S16" s="790">
        <f>+'Phase III Pro Forma'!S15</f>
        <v>1.4685337134515648</v>
      </c>
      <c r="T16" s="790">
        <f>+'Phase III Pro Forma'!T15</f>
        <v>1.5125897248551119</v>
      </c>
      <c r="U16" s="790">
        <f>+'Phase III Pro Forma'!U15</f>
        <v>1.5579674166007653</v>
      </c>
      <c r="V16" s="790">
        <f>+'Phase III Pro Forma'!V15</f>
        <v>1.6047064390987884</v>
      </c>
      <c r="W16" s="790">
        <f>+'Phase III Pro Forma'!W15</f>
        <v>1.652847632271752</v>
      </c>
      <c r="X16" s="790">
        <f>+'Phase III Pro Forma'!X15</f>
        <v>1.7024330612399046</v>
      </c>
      <c r="Y16" s="790">
        <f>+'Phase III Pro Forma'!Y15</f>
        <v>1.7535060530771018</v>
      </c>
      <c r="Z16" s="790">
        <f>+'Phase III Pro Forma'!Z15</f>
        <v>1.806111234669415</v>
      </c>
    </row>
    <row r="17" spans="2:26" ht="5" customHeight="1" collapsed="1" x14ac:dyDescent="0.2">
      <c r="B17" s="32"/>
      <c r="C17" s="32"/>
      <c r="D17" s="39"/>
      <c r="E17" s="39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 spans="2:26" x14ac:dyDescent="0.2">
      <c r="B18" s="32" t="s">
        <v>243</v>
      </c>
      <c r="C18" s="32"/>
      <c r="D18" s="39"/>
      <c r="E18" s="39"/>
      <c r="F18" s="48">
        <f>+'Phase III Pro Forma'!F17/1000000</f>
        <v>0</v>
      </c>
      <c r="G18" s="48">
        <f>+'Phase III Pro Forma'!G17/1000000</f>
        <v>0</v>
      </c>
      <c r="H18" s="48">
        <f>+'Phase III Pro Forma'!H17/1000000</f>
        <v>0</v>
      </c>
      <c r="I18" s="48">
        <f>+'Phase III Pro Forma'!I17/1000000</f>
        <v>0.63667876454873462</v>
      </c>
      <c r="J18" s="48">
        <f>+'Phase III Pro Forma'!J17/1000000</f>
        <v>1.2988246796794187</v>
      </c>
      <c r="K18" s="48">
        <f>+'Phase III Pro Forma'!K17/1000000</f>
        <v>1.3248011732730072</v>
      </c>
      <c r="L18" s="48">
        <f>+'Phase III Pro Forma'!L17/1000000</f>
        <v>1.3512971967384673</v>
      </c>
      <c r="M18" s="48">
        <f>+'Phase III Pro Forma'!M17/1000000</f>
        <v>1.3783231406732364</v>
      </c>
      <c r="N18" s="48">
        <f>+'Phase III Pro Forma'!N17/1000000</f>
        <v>1.4058896034867014</v>
      </c>
      <c r="O18" s="48">
        <f>+'Phase III Pro Forma'!O17/1000000</f>
        <v>1.4340073955564354</v>
      </c>
      <c r="P18" s="48">
        <f>+'Phase III Pro Forma'!P17/1000000</f>
        <v>1.4626875434675644</v>
      </c>
      <c r="Q18" s="48">
        <f>+'Phase III Pro Forma'!Q17/1000000</f>
        <v>1.4919412943369155</v>
      </c>
      <c r="R18" s="48">
        <f>+'Phase III Pro Forma'!R17/1000000</f>
        <v>1.5217801202236538</v>
      </c>
      <c r="S18" s="48">
        <f>+'Phase III Pro Forma'!S17/1000000</f>
        <v>1.5522157226281268</v>
      </c>
      <c r="T18" s="48">
        <f>+'Phase III Pro Forma'!T17/1000000</f>
        <v>1.5832600370806893</v>
      </c>
      <c r="U18" s="48">
        <f>+'Phase III Pro Forma'!U17/1000000</f>
        <v>1.6149252378223033</v>
      </c>
      <c r="V18" s="48">
        <f>+'Phase III Pro Forma'!V17/1000000</f>
        <v>1.6472237425787493</v>
      </c>
      <c r="W18" s="48">
        <f>+'Phase III Pro Forma'!W17/1000000</f>
        <v>1.6801682174303245</v>
      </c>
      <c r="X18" s="48">
        <f>+'Phase III Pro Forma'!X17/1000000</f>
        <v>1.713771581778931</v>
      </c>
      <c r="Y18" s="48">
        <f>+'Phase III Pro Forma'!Y17/1000000</f>
        <v>1.7480470134145096</v>
      </c>
      <c r="Z18" s="48">
        <f>+'Phase III Pro Forma'!Z17/1000000</f>
        <v>1.7830079536827999</v>
      </c>
    </row>
    <row r="19" spans="2:26" x14ac:dyDescent="0.2">
      <c r="B19" s="32" t="s">
        <v>244</v>
      </c>
      <c r="C19" s="32"/>
      <c r="D19" s="39"/>
      <c r="E19" s="39"/>
      <c r="F19" s="771">
        <f>+'Phase III Pro Forma'!F18/1000000</f>
        <v>0</v>
      </c>
      <c r="G19" s="771">
        <f>+'Phase III Pro Forma'!G18/1000000</f>
        <v>0</v>
      </c>
      <c r="H19" s="771">
        <f>+'Phase III Pro Forma'!H18/1000000</f>
        <v>0</v>
      </c>
      <c r="I19" s="771">
        <f>+'Phase III Pro Forma'!I18/1000000</f>
        <v>-1.9100362936462039E-2</v>
      </c>
      <c r="J19" s="771">
        <f>+'Phase III Pro Forma'!J18/1000000</f>
        <v>-3.8964740390382564E-2</v>
      </c>
      <c r="K19" s="771">
        <f>+'Phase III Pro Forma'!K18/1000000</f>
        <v>-3.9744035198190211E-2</v>
      </c>
      <c r="L19" s="771">
        <f>+'Phase III Pro Forma'!L18/1000000</f>
        <v>-4.053891590215402E-2</v>
      </c>
      <c r="M19" s="771">
        <f>+'Phase III Pro Forma'!M18/1000000</f>
        <v>-4.1349694220197089E-2</v>
      </c>
      <c r="N19" s="771">
        <f>+'Phase III Pro Forma'!N18/1000000</f>
        <v>-4.217668810460104E-2</v>
      </c>
      <c r="O19" s="771">
        <f>+'Phase III Pro Forma'!O18/1000000</f>
        <v>-4.3020221866693062E-2</v>
      </c>
      <c r="P19" s="771">
        <f>+'Phase III Pro Forma'!P18/1000000</f>
        <v>-4.3880626304026928E-2</v>
      </c>
      <c r="Q19" s="771">
        <f>+'Phase III Pro Forma'!Q18/1000000</f>
        <v>-4.4758238830107461E-2</v>
      </c>
      <c r="R19" s="771">
        <f>+'Phase III Pro Forma'!R18/1000000</f>
        <v>-4.5653403606709608E-2</v>
      </c>
      <c r="S19" s="771">
        <f>+'Phase III Pro Forma'!S18/1000000</f>
        <v>-4.6566471678843799E-2</v>
      </c>
      <c r="T19" s="771">
        <f>+'Phase III Pro Forma'!T18/1000000</f>
        <v>-4.7497801112420676E-2</v>
      </c>
      <c r="U19" s="771">
        <f>+'Phase III Pro Forma'!U18/1000000</f>
        <v>-4.8447757134669096E-2</v>
      </c>
      <c r="V19" s="771">
        <f>+'Phase III Pro Forma'!V18/1000000</f>
        <v>-4.9416712277362482E-2</v>
      </c>
      <c r="W19" s="771">
        <f>+'Phase III Pro Forma'!W18/1000000</f>
        <v>-5.0405046522909731E-2</v>
      </c>
      <c r="X19" s="771">
        <f>+'Phase III Pro Forma'!X18/1000000</f>
        <v>-5.1413147453367926E-2</v>
      </c>
      <c r="Y19" s="771">
        <f>+'Phase III Pro Forma'!Y18/1000000</f>
        <v>-5.2441410402435287E-2</v>
      </c>
      <c r="Z19" s="771">
        <f>+'Phase III Pro Forma'!Z18/1000000</f>
        <v>-5.3490238610483992E-2</v>
      </c>
    </row>
    <row r="20" spans="2:26" x14ac:dyDescent="0.2">
      <c r="B20" s="32" t="s">
        <v>379</v>
      </c>
      <c r="C20" s="32"/>
      <c r="D20" s="39"/>
      <c r="E20" s="39"/>
      <c r="F20" s="772">
        <f>+'Phase III Pro Forma'!F19/1000000</f>
        <v>0</v>
      </c>
      <c r="G20" s="772">
        <f>+'Phase III Pro Forma'!G19/1000000</f>
        <v>0</v>
      </c>
      <c r="H20" s="772">
        <f>+'Phase III Pro Forma'!H19/1000000</f>
        <v>0</v>
      </c>
      <c r="I20" s="772">
        <f>+'Phase III Pro Forma'!I19/1000000</f>
        <v>3.637509176374083E-3</v>
      </c>
      <c r="J20" s="772">
        <f>+'Phase III Pro Forma'!J19/1000000</f>
        <v>7.275018352748166E-3</v>
      </c>
      <c r="K20" s="772">
        <f>+'Phase III Pro Forma'!K19/1000000</f>
        <v>7.275018352748166E-3</v>
      </c>
      <c r="L20" s="772">
        <f>+'Phase III Pro Forma'!L19/1000000</f>
        <v>7.275018352748166E-3</v>
      </c>
      <c r="M20" s="772">
        <f>+'Phase III Pro Forma'!M19/1000000</f>
        <v>7.275018352748166E-3</v>
      </c>
      <c r="N20" s="772">
        <f>+'Phase III Pro Forma'!N19/1000000</f>
        <v>7.275018352748166E-3</v>
      </c>
      <c r="O20" s="772">
        <f>+'Phase III Pro Forma'!O19/1000000</f>
        <v>7.275018352748166E-3</v>
      </c>
      <c r="P20" s="772">
        <f>+'Phase III Pro Forma'!P19/1000000</f>
        <v>7.275018352748166E-3</v>
      </c>
      <c r="Q20" s="772">
        <f>+'Phase III Pro Forma'!Q19/1000000</f>
        <v>7.275018352748166E-3</v>
      </c>
      <c r="R20" s="772">
        <f>+'Phase III Pro Forma'!R19/1000000</f>
        <v>7.275018352748166E-3</v>
      </c>
      <c r="S20" s="772">
        <f>+'Phase III Pro Forma'!S19/1000000</f>
        <v>7.275018352748166E-3</v>
      </c>
      <c r="T20" s="772">
        <f>+'Phase III Pro Forma'!T19/1000000</f>
        <v>7.275018352748166E-3</v>
      </c>
      <c r="U20" s="772">
        <f>+'Phase III Pro Forma'!U19/1000000</f>
        <v>7.275018352748166E-3</v>
      </c>
      <c r="V20" s="772">
        <f>+'Phase III Pro Forma'!V19/1000000</f>
        <v>7.275018352748166E-3</v>
      </c>
      <c r="W20" s="772">
        <f>+'Phase III Pro Forma'!W19/1000000</f>
        <v>7.275018352748166E-3</v>
      </c>
      <c r="X20" s="772">
        <f>+'Phase III Pro Forma'!X19/1000000</f>
        <v>7.275018352748166E-3</v>
      </c>
      <c r="Y20" s="772">
        <f>+'Phase III Pro Forma'!Y19/1000000</f>
        <v>7.275018352748166E-3</v>
      </c>
      <c r="Z20" s="772">
        <f>+'Phase III Pro Forma'!Z19/1000000</f>
        <v>7.275018352748166E-3</v>
      </c>
    </row>
    <row r="21" spans="2:26" x14ac:dyDescent="0.2">
      <c r="B21" s="136" t="s">
        <v>253</v>
      </c>
      <c r="C21" s="136"/>
      <c r="D21" s="136"/>
      <c r="E21" s="136"/>
      <c r="F21" s="773">
        <f>+'Phase III Pro Forma'!F20/1000000</f>
        <v>0</v>
      </c>
      <c r="G21" s="773">
        <f>+'Phase III Pro Forma'!G20/1000000</f>
        <v>0</v>
      </c>
      <c r="H21" s="773">
        <f>+'Phase III Pro Forma'!H20/1000000</f>
        <v>0</v>
      </c>
      <c r="I21" s="773">
        <f>+'Phase III Pro Forma'!I20/1000000</f>
        <v>0.62121591078864669</v>
      </c>
      <c r="J21" s="773">
        <f>+'Phase III Pro Forma'!J20/1000000</f>
        <v>1.2671349576417843</v>
      </c>
      <c r="K21" s="773">
        <f>+'Phase III Pro Forma'!K20/1000000</f>
        <v>1.2923321564275649</v>
      </c>
      <c r="L21" s="773">
        <f>+'Phase III Pro Forma'!L20/1000000</f>
        <v>1.3180332991890613</v>
      </c>
      <c r="M21" s="773">
        <f>+'Phase III Pro Forma'!M20/1000000</f>
        <v>1.3442484648057875</v>
      </c>
      <c r="N21" s="773">
        <f>+'Phase III Pro Forma'!N20/1000000</f>
        <v>1.3709879337348485</v>
      </c>
      <c r="O21" s="773">
        <f>+'Phase III Pro Forma'!O20/1000000</f>
        <v>1.3982621920424905</v>
      </c>
      <c r="P21" s="773">
        <f>+'Phase III Pro Forma'!P20/1000000</f>
        <v>1.4260819355162855</v>
      </c>
      <c r="Q21" s="773">
        <f>+'Phase III Pro Forma'!Q20/1000000</f>
        <v>1.4544580738595561</v>
      </c>
      <c r="R21" s="773">
        <f>+'Phase III Pro Forma'!R20/1000000</f>
        <v>1.4834017349696924</v>
      </c>
      <c r="S21" s="773">
        <f>+'Phase III Pro Forma'!S20/1000000</f>
        <v>1.5129242693020313</v>
      </c>
      <c r="T21" s="773">
        <f>+'Phase III Pro Forma'!T20/1000000</f>
        <v>1.5430372543210169</v>
      </c>
      <c r="U21" s="773">
        <f>+'Phase III Pro Forma'!U20/1000000</f>
        <v>1.5737524990403824</v>
      </c>
      <c r="V21" s="773">
        <f>+'Phase III Pro Forma'!V20/1000000</f>
        <v>1.6050820486541348</v>
      </c>
      <c r="W21" s="773">
        <f>+'Phase III Pro Forma'!W20/1000000</f>
        <v>1.6370381892601629</v>
      </c>
      <c r="X21" s="773">
        <f>+'Phase III Pro Forma'!X20/1000000</f>
        <v>1.6696334526783112</v>
      </c>
      <c r="Y21" s="773">
        <f>+'Phase III Pro Forma'!Y20/1000000</f>
        <v>1.7028806213648224</v>
      </c>
      <c r="Z21" s="773">
        <f>+'Phase III Pro Forma'!Z20/1000000</f>
        <v>1.7367927334250639</v>
      </c>
    </row>
    <row r="22" spans="2:26" ht="5" customHeight="1" x14ac:dyDescent="0.2"/>
    <row r="23" spans="2:26" x14ac:dyDescent="0.2">
      <c r="B23" s="32" t="s">
        <v>389</v>
      </c>
      <c r="F23" s="48">
        <f>+'Phase III Pro Forma'!F22/1000000</f>
        <v>0</v>
      </c>
      <c r="G23" s="48">
        <f>+'Phase III Pro Forma'!G22/1000000</f>
        <v>0</v>
      </c>
      <c r="H23" s="48">
        <f>+'Phase III Pro Forma'!H22/1000000</f>
        <v>0</v>
      </c>
      <c r="I23" s="48">
        <f>+'Phase III Pro Forma'!I22/1000000</f>
        <v>0.4287671136556625</v>
      </c>
      <c r="J23" s="48">
        <f>+'Phase III Pro Forma'!J22/1000000</f>
        <v>0.88326025413066489</v>
      </c>
      <c r="K23" s="48">
        <f>+'Phase III Pro Forma'!K22/1000000</f>
        <v>0.90975806175458473</v>
      </c>
      <c r="L23" s="48">
        <f>+'Phase III Pro Forma'!L22/1000000</f>
        <v>0.93705080360722237</v>
      </c>
      <c r="M23" s="48">
        <f>+'Phase III Pro Forma'!M22/1000000</f>
        <v>0.96516232771543919</v>
      </c>
      <c r="N23" s="48">
        <f>+'Phase III Pro Forma'!N22/1000000</f>
        <v>0.99411719754690231</v>
      </c>
      <c r="O23" s="48">
        <f>+'Phase III Pro Forma'!O22/1000000</f>
        <v>1.0239407134733094</v>
      </c>
      <c r="P23" s="48">
        <f>+'Phase III Pro Forma'!P22/1000000</f>
        <v>1.0546589348775088</v>
      </c>
      <c r="Q23" s="48">
        <f>+'Phase III Pro Forma'!Q22/1000000</f>
        <v>1.0862987029238338</v>
      </c>
      <c r="R23" s="48">
        <f>+'Phase III Pro Forma'!R22/1000000</f>
        <v>1.118887664011549</v>
      </c>
      <c r="S23" s="48">
        <f>+'Phase III Pro Forma'!S22/1000000</f>
        <v>1.1524542939318956</v>
      </c>
      <c r="T23" s="48">
        <f>+'Phase III Pro Forma'!T22/1000000</f>
        <v>1.1870279227498526</v>
      </c>
      <c r="U23" s="48">
        <f>+'Phase III Pro Forma'!U22/1000000</f>
        <v>1.2226387604323481</v>
      </c>
      <c r="V23" s="48">
        <f>+'Phase III Pro Forma'!V22/1000000</f>
        <v>1.2593179232453187</v>
      </c>
      <c r="W23" s="48">
        <f>+'Phase III Pro Forma'!W22/1000000</f>
        <v>1.2970974609426782</v>
      </c>
      <c r="X23" s="48">
        <f>+'Phase III Pro Forma'!X22/1000000</f>
        <v>1.3360103847709588</v>
      </c>
      <c r="Y23" s="48">
        <f>+'Phase III Pro Forma'!Y22/1000000</f>
        <v>1.3760906963140873</v>
      </c>
      <c r="Z23" s="48">
        <f>+'Phase III Pro Forma'!Z22/1000000</f>
        <v>1.4173734172035102</v>
      </c>
    </row>
    <row r="24" spans="2:26" x14ac:dyDescent="0.2">
      <c r="B24" s="32" t="s">
        <v>325</v>
      </c>
      <c r="F24" s="772">
        <f ca="1">+'Phase III Pro Forma'!F23/1000000</f>
        <v>0</v>
      </c>
      <c r="G24" s="772">
        <f ca="1">+'Phase III Pro Forma'!G23/1000000</f>
        <v>0</v>
      </c>
      <c r="H24" s="772">
        <f ca="1">+'Phase III Pro Forma'!H23/1000000</f>
        <v>0</v>
      </c>
      <c r="I24" s="772">
        <f ca="1">+'Phase III Pro Forma'!I23/1000000</f>
        <v>4.4970587906614963E-2</v>
      </c>
      <c r="J24" s="772">
        <f ca="1">+'Phase III Pro Forma'!J23/1000000</f>
        <v>9.1739999329494545E-2</v>
      </c>
      <c r="K24" s="772">
        <f ca="1">+'Phase III Pro Forma'!K23/1000000</f>
        <v>9.1739999329494545E-2</v>
      </c>
      <c r="L24" s="772">
        <f ca="1">+'Phase III Pro Forma'!L23/1000000</f>
        <v>9.1739999329494545E-2</v>
      </c>
      <c r="M24" s="772">
        <f ca="1">+'Phase III Pro Forma'!M23/1000000</f>
        <v>9.3574799316084409E-2</v>
      </c>
      <c r="N24" s="772">
        <f ca="1">+'Phase III Pro Forma'!N23/1000000</f>
        <v>9.3574799316084409E-2</v>
      </c>
      <c r="O24" s="772">
        <f ca="1">+'Phase III Pro Forma'!O23/1000000</f>
        <v>9.3574799316084409E-2</v>
      </c>
      <c r="P24" s="772">
        <f ca="1">+'Phase III Pro Forma'!P23/1000000</f>
        <v>9.5446295302406114E-2</v>
      </c>
      <c r="Q24" s="772">
        <f ca="1">+'Phase III Pro Forma'!Q23/1000000</f>
        <v>9.5446295302406114E-2</v>
      </c>
      <c r="R24" s="772">
        <f ca="1">+'Phase III Pro Forma'!R23/1000000</f>
        <v>9.5446295302406114E-2</v>
      </c>
      <c r="S24" s="772">
        <f ca="1">+'Phase III Pro Forma'!S23/1000000</f>
        <v>9.7355221208454232E-2</v>
      </c>
      <c r="T24" s="772">
        <f ca="1">+'Phase III Pro Forma'!T23/1000000</f>
        <v>9.7355221208454232E-2</v>
      </c>
      <c r="U24" s="772">
        <f ca="1">+'Phase III Pro Forma'!U23/1000000</f>
        <v>9.7355221208454232E-2</v>
      </c>
      <c r="V24" s="772">
        <f ca="1">+'Phase III Pro Forma'!V23/1000000</f>
        <v>9.9302325632623339E-2</v>
      </c>
      <c r="W24" s="772">
        <f ca="1">+'Phase III Pro Forma'!W23/1000000</f>
        <v>9.9302325632623339E-2</v>
      </c>
      <c r="X24" s="772">
        <f ca="1">+'Phase III Pro Forma'!X23/1000000</f>
        <v>9.9302325632623339E-2</v>
      </c>
      <c r="Y24" s="772">
        <f ca="1">+'Phase III Pro Forma'!Y23/1000000</f>
        <v>0.10128837214527581</v>
      </c>
      <c r="Z24" s="772">
        <f ca="1">+'Phase III Pro Forma'!Z23/1000000</f>
        <v>0.10128837214527581</v>
      </c>
    </row>
    <row r="25" spans="2:26" x14ac:dyDescent="0.2">
      <c r="B25" s="136" t="s">
        <v>249</v>
      </c>
      <c r="C25" s="136"/>
      <c r="D25" s="136"/>
      <c r="E25" s="136"/>
      <c r="F25" s="773">
        <f ca="1">+'Phase III Pro Forma'!F24/1000000</f>
        <v>0</v>
      </c>
      <c r="G25" s="773">
        <f ca="1">+'Phase III Pro Forma'!G24/1000000</f>
        <v>0</v>
      </c>
      <c r="H25" s="773">
        <f ca="1">+'Phase III Pro Forma'!H24/1000000</f>
        <v>0</v>
      </c>
      <c r="I25" s="773">
        <f ca="1">+'Phase III Pro Forma'!I24/1000000</f>
        <v>0.47373770156227751</v>
      </c>
      <c r="J25" s="773">
        <f ca="1">+'Phase III Pro Forma'!J24/1000000</f>
        <v>0.97500025346015939</v>
      </c>
      <c r="K25" s="773">
        <f ca="1">+'Phase III Pro Forma'!K24/1000000</f>
        <v>1.0014980610840793</v>
      </c>
      <c r="L25" s="773">
        <f ca="1">+'Phase III Pro Forma'!L24/1000000</f>
        <v>1.028790802936717</v>
      </c>
      <c r="M25" s="773">
        <f ca="1">+'Phase III Pro Forma'!M24/1000000</f>
        <v>1.0587371270315236</v>
      </c>
      <c r="N25" s="773">
        <f ca="1">+'Phase III Pro Forma'!N24/1000000</f>
        <v>1.0876919968629868</v>
      </c>
      <c r="O25" s="773">
        <f ca="1">+'Phase III Pro Forma'!O24/1000000</f>
        <v>1.1175155127893939</v>
      </c>
      <c r="P25" s="773">
        <f ca="1">+'Phase III Pro Forma'!P24/1000000</f>
        <v>1.1501052301799151</v>
      </c>
      <c r="Q25" s="773">
        <f ca="1">+'Phase III Pro Forma'!Q24/1000000</f>
        <v>1.18174499822624</v>
      </c>
      <c r="R25" s="773">
        <f ca="1">+'Phase III Pro Forma'!R24/1000000</f>
        <v>1.2143339593139553</v>
      </c>
      <c r="S25" s="773">
        <f ca="1">+'Phase III Pro Forma'!S24/1000000</f>
        <v>1.2498095151403499</v>
      </c>
      <c r="T25" s="773">
        <f ca="1">+'Phase III Pro Forma'!T24/1000000</f>
        <v>1.2843831439583069</v>
      </c>
      <c r="U25" s="773">
        <f ca="1">+'Phase III Pro Forma'!U24/1000000</f>
        <v>1.3199939816408022</v>
      </c>
      <c r="V25" s="773">
        <f ca="1">+'Phase III Pro Forma'!V24/1000000</f>
        <v>1.3586202488779422</v>
      </c>
      <c r="W25" s="773">
        <f ca="1">+'Phase III Pro Forma'!W24/1000000</f>
        <v>1.3963997865753015</v>
      </c>
      <c r="X25" s="773">
        <f ca="1">+'Phase III Pro Forma'!X24/1000000</f>
        <v>1.4353127104035821</v>
      </c>
      <c r="Y25" s="773">
        <f ca="1">+'Phase III Pro Forma'!Y24/1000000</f>
        <v>1.4773790684593633</v>
      </c>
      <c r="Z25" s="773">
        <f ca="1">+'Phase III Pro Forma'!Z24/1000000</f>
        <v>1.5186617893487859</v>
      </c>
    </row>
    <row r="26" spans="2:26" ht="5" customHeight="1" x14ac:dyDescent="0.2">
      <c r="B26" s="32"/>
    </row>
    <row r="27" spans="2:26" x14ac:dyDescent="0.2">
      <c r="B27" s="777" t="s">
        <v>248</v>
      </c>
      <c r="C27" s="777"/>
      <c r="D27" s="777"/>
      <c r="E27" s="777"/>
      <c r="F27" s="778">
        <f t="shared" ref="F27:Z27" ca="1" si="5">+F21-F25</f>
        <v>0</v>
      </c>
      <c r="G27" s="778">
        <f t="shared" ca="1" si="5"/>
        <v>0</v>
      </c>
      <c r="H27" s="778">
        <f t="shared" ca="1" si="5"/>
        <v>0</v>
      </c>
      <c r="I27" s="778">
        <f t="shared" ca="1" si="5"/>
        <v>0.14747820922636917</v>
      </c>
      <c r="J27" s="778">
        <f t="shared" ca="1" si="5"/>
        <v>0.2921347041816249</v>
      </c>
      <c r="K27" s="778">
        <f t="shared" ca="1" si="5"/>
        <v>0.29083409534348559</v>
      </c>
      <c r="L27" s="778">
        <f t="shared" ca="1" si="5"/>
        <v>0.28924249625234433</v>
      </c>
      <c r="M27" s="778">
        <f t="shared" ca="1" si="5"/>
        <v>0.28551133777426396</v>
      </c>
      <c r="N27" s="778">
        <f t="shared" ca="1" si="5"/>
        <v>0.28329593687186172</v>
      </c>
      <c r="O27" s="778">
        <f t="shared" ca="1" si="5"/>
        <v>0.2807466792530966</v>
      </c>
      <c r="P27" s="778">
        <f t="shared" ca="1" si="5"/>
        <v>0.27597670533637042</v>
      </c>
      <c r="Q27" s="778">
        <f t="shared" ca="1" si="5"/>
        <v>0.27271307563331604</v>
      </c>
      <c r="R27" s="778">
        <f t="shared" ca="1" si="5"/>
        <v>0.26906777565573714</v>
      </c>
      <c r="S27" s="778">
        <f t="shared" ca="1" si="5"/>
        <v>0.2631147541616814</v>
      </c>
      <c r="T27" s="778">
        <f t="shared" ca="1" si="5"/>
        <v>0.25865411036271002</v>
      </c>
      <c r="U27" s="778">
        <f t="shared" ca="1" si="5"/>
        <v>0.25375851739958022</v>
      </c>
      <c r="V27" s="778">
        <f t="shared" ca="1" si="5"/>
        <v>0.24646179977619265</v>
      </c>
      <c r="W27" s="778">
        <f t="shared" ca="1" si="5"/>
        <v>0.24063840268486136</v>
      </c>
      <c r="X27" s="778">
        <f t="shared" ca="1" si="5"/>
        <v>0.2343207422747291</v>
      </c>
      <c r="Y27" s="778">
        <f t="shared" ca="1" si="5"/>
        <v>0.22550155290545915</v>
      </c>
      <c r="Z27" s="778">
        <f t="shared" ca="1" si="5"/>
        <v>0.21813094407627798</v>
      </c>
    </row>
    <row r="28" spans="2:26" x14ac:dyDescent="0.2">
      <c r="B28" s="779" t="s">
        <v>254</v>
      </c>
      <c r="C28" s="780"/>
      <c r="D28" s="780"/>
      <c r="E28" s="780"/>
      <c r="F28" s="781" t="str">
        <f t="shared" ref="F28:Z28" ca="1" si="6">+IFERROR(F27/F21,"")</f>
        <v/>
      </c>
      <c r="G28" s="781" t="str">
        <f t="shared" ca="1" si="6"/>
        <v/>
      </c>
      <c r="H28" s="781" t="str">
        <f t="shared" ca="1" si="6"/>
        <v/>
      </c>
      <c r="I28" s="782">
        <f t="shared" ca="1" si="6"/>
        <v>0.23740249833450414</v>
      </c>
      <c r="J28" s="782">
        <f t="shared" ca="1" si="6"/>
        <v>0.23054742702806139</v>
      </c>
      <c r="K28" s="782">
        <f t="shared" ca="1" si="6"/>
        <v>0.22504593257777286</v>
      </c>
      <c r="L28" s="782">
        <f t="shared" ca="1" si="6"/>
        <v>0.21945006733161057</v>
      </c>
      <c r="M28" s="782">
        <f t="shared" ca="1" si="6"/>
        <v>0.21239476573664057</v>
      </c>
      <c r="N28" s="782">
        <f t="shared" ca="1" si="6"/>
        <v>0.20663634587950477</v>
      </c>
      <c r="O28" s="782">
        <f t="shared" ca="1" si="6"/>
        <v>0.20078257200318067</v>
      </c>
      <c r="P28" s="782">
        <f t="shared" ca="1" si="6"/>
        <v>0.19352093204690821</v>
      </c>
      <c r="Q28" s="782">
        <f t="shared" ca="1" si="6"/>
        <v>0.18750150350476827</v>
      </c>
      <c r="R28" s="782">
        <f t="shared" ca="1" si="6"/>
        <v>0.18138564174002028</v>
      </c>
      <c r="S28" s="782">
        <f t="shared" ca="1" si="6"/>
        <v>0.17391138439669959</v>
      </c>
      <c r="T28" s="782">
        <f t="shared" ca="1" si="6"/>
        <v>0.16762661409398419</v>
      </c>
      <c r="U28" s="782">
        <f t="shared" ca="1" si="6"/>
        <v>0.16124423475375768</v>
      </c>
      <c r="V28" s="782">
        <f t="shared" ca="1" si="6"/>
        <v>0.15355090413156852</v>
      </c>
      <c r="W28" s="782">
        <f t="shared" ca="1" si="6"/>
        <v>0.14699620586958612</v>
      </c>
      <c r="X28" s="782">
        <f t="shared" ca="1" si="6"/>
        <v>0.14034262544203813</v>
      </c>
      <c r="Y28" s="782">
        <f t="shared" ca="1" si="6"/>
        <v>0.13242358276690264</v>
      </c>
      <c r="Z28" s="782">
        <f t="shared" ca="1" si="6"/>
        <v>0.12559411372369697</v>
      </c>
    </row>
    <row r="29" spans="2:26" x14ac:dyDescent="0.2">
      <c r="B29" s="779" t="s">
        <v>188</v>
      </c>
      <c r="C29" s="780"/>
      <c r="D29" s="780"/>
      <c r="E29" s="780"/>
      <c r="F29" s="783">
        <f ca="1">+'Phase III Pro Forma'!F28/1000000</f>
        <v>0</v>
      </c>
      <c r="G29" s="783">
        <f ca="1">+'Phase III Pro Forma'!G28/1000000</f>
        <v>0</v>
      </c>
      <c r="H29" s="783">
        <f ca="1">+'Phase III Pro Forma'!H28/1000000</f>
        <v>0</v>
      </c>
      <c r="I29" s="783">
        <f ca="1">+'Phase III Pro Forma'!I28/1000000</f>
        <v>2.564838421328159</v>
      </c>
      <c r="J29" s="783">
        <f ca="1">+'Phase III Pro Forma'!J28/1000000</f>
        <v>5.0806035509847813</v>
      </c>
      <c r="K29" s="783">
        <f ca="1">+'Phase III Pro Forma'!K28/1000000</f>
        <v>5.0579842668432295</v>
      </c>
      <c r="L29" s="783">
        <f ca="1">+'Phase III Pro Forma'!L28/1000000</f>
        <v>5.0303042826494684</v>
      </c>
      <c r="M29" s="783">
        <f ca="1">+'Phase III Pro Forma'!M28/1000000</f>
        <v>4.9654145699871988</v>
      </c>
      <c r="N29" s="783">
        <f ca="1">+'Phase III Pro Forma'!N28/1000000</f>
        <v>4.9268858586410706</v>
      </c>
      <c r="O29" s="783">
        <f ca="1">+'Phase III Pro Forma'!O28/1000000</f>
        <v>4.8825509435321157</v>
      </c>
      <c r="P29" s="783">
        <f ca="1">+'Phase III Pro Forma'!P28/1000000</f>
        <v>4.7995948754151385</v>
      </c>
      <c r="Q29" s="783">
        <f ca="1">+'Phase III Pro Forma'!Q28/1000000</f>
        <v>4.7428360979707138</v>
      </c>
      <c r="R29" s="783">
        <f ca="1">+'Phase III Pro Forma'!R28/1000000</f>
        <v>4.6794395766215153</v>
      </c>
      <c r="S29" s="783">
        <f ca="1">+'Phase III Pro Forma'!S28/1000000</f>
        <v>4.5759087680292394</v>
      </c>
      <c r="T29" s="783">
        <f ca="1">+'Phase III Pro Forma'!T28/1000000</f>
        <v>4.4983323541340869</v>
      </c>
      <c r="U29" s="783">
        <f ca="1">+'Phase III Pro Forma'!U28/1000000</f>
        <v>4.413191606949221</v>
      </c>
      <c r="V29" s="783">
        <f ca="1">+'Phase III Pro Forma'!V28/1000000</f>
        <v>4.2862921700207437</v>
      </c>
      <c r="W29" s="783">
        <f ca="1">+'Phase III Pro Forma'!W28/1000000</f>
        <v>4.1850156988671534</v>
      </c>
      <c r="X29" s="783">
        <f ca="1">+'Phase III Pro Forma'!X28/1000000</f>
        <v>4.0751433439083318</v>
      </c>
      <c r="Y29" s="783">
        <f ca="1">+'Phase III Pro Forma'!Y28/1000000</f>
        <v>3.9217661374862463</v>
      </c>
      <c r="Z29" s="783">
        <f ca="1">+'Phase III Pro Forma'!Z28/1000000</f>
        <v>3.7935816361091828</v>
      </c>
    </row>
    <row r="30" spans="2:26" ht="5" customHeight="1" x14ac:dyDescent="0.2"/>
    <row r="31" spans="2:26" x14ac:dyDescent="0.2">
      <c r="B31" s="147" t="s">
        <v>928</v>
      </c>
      <c r="C31" s="148"/>
      <c r="D31" s="148"/>
      <c r="E31" s="148"/>
      <c r="F31" s="776">
        <f>+F6</f>
        <v>45657</v>
      </c>
      <c r="G31" s="776">
        <f t="shared" ref="G31:Z31" si="7">+G6</f>
        <v>46022</v>
      </c>
      <c r="H31" s="776">
        <f t="shared" si="7"/>
        <v>46387</v>
      </c>
      <c r="I31" s="776">
        <f t="shared" si="7"/>
        <v>46752</v>
      </c>
      <c r="J31" s="776">
        <f t="shared" si="7"/>
        <v>47118</v>
      </c>
      <c r="K31" s="776">
        <f t="shared" si="7"/>
        <v>47483</v>
      </c>
      <c r="L31" s="776">
        <f t="shared" si="7"/>
        <v>47848</v>
      </c>
      <c r="M31" s="776">
        <f t="shared" si="7"/>
        <v>48213</v>
      </c>
      <c r="N31" s="776">
        <f t="shared" si="7"/>
        <v>48579</v>
      </c>
      <c r="O31" s="776">
        <f t="shared" si="7"/>
        <v>48944</v>
      </c>
      <c r="P31" s="776">
        <f t="shared" si="7"/>
        <v>49309</v>
      </c>
      <c r="Q31" s="776">
        <f t="shared" si="7"/>
        <v>49674</v>
      </c>
      <c r="R31" s="776">
        <f t="shared" si="7"/>
        <v>50040</v>
      </c>
      <c r="S31" s="776">
        <f t="shared" si="7"/>
        <v>50405</v>
      </c>
      <c r="T31" s="776">
        <f t="shared" si="7"/>
        <v>50770</v>
      </c>
      <c r="U31" s="776">
        <f t="shared" si="7"/>
        <v>51135</v>
      </c>
      <c r="V31" s="776">
        <f t="shared" si="7"/>
        <v>51501</v>
      </c>
      <c r="W31" s="776">
        <f t="shared" si="7"/>
        <v>51866</v>
      </c>
      <c r="X31" s="776">
        <f t="shared" si="7"/>
        <v>52231</v>
      </c>
      <c r="Y31" s="776">
        <f t="shared" si="7"/>
        <v>52596</v>
      </c>
      <c r="Z31" s="776">
        <f t="shared" si="7"/>
        <v>52962</v>
      </c>
    </row>
    <row r="32" spans="2:26" hidden="1" outlineLevel="2" x14ac:dyDescent="0.2">
      <c r="B32" s="788" t="s">
        <v>756</v>
      </c>
      <c r="C32" s="788"/>
      <c r="D32" s="791"/>
      <c r="E32" s="791"/>
      <c r="F32" s="789">
        <f>+'Phase III Pro Forma'!F31</f>
        <v>0</v>
      </c>
      <c r="G32" s="789">
        <f>+'Phase III Pro Forma'!G31</f>
        <v>0</v>
      </c>
      <c r="H32" s="789">
        <f>+'Phase III Pro Forma'!H31</f>
        <v>0</v>
      </c>
      <c r="I32" s="789">
        <f>+'Phase III Pro Forma'!I31</f>
        <v>182724.71345282008</v>
      </c>
      <c r="J32" s="789">
        <f>+'Phase III Pro Forma'!J31</f>
        <v>182724.71345282008</v>
      </c>
      <c r="K32" s="789">
        <f>+'Phase III Pro Forma'!K31</f>
        <v>0</v>
      </c>
      <c r="L32" s="789">
        <f>+'Phase III Pro Forma'!L31</f>
        <v>0</v>
      </c>
      <c r="M32" s="789">
        <f>+'Phase III Pro Forma'!M31</f>
        <v>0</v>
      </c>
      <c r="N32" s="789">
        <f>+'Phase III Pro Forma'!N31</f>
        <v>0</v>
      </c>
      <c r="O32" s="789">
        <f>+'Phase III Pro Forma'!O31</f>
        <v>0</v>
      </c>
      <c r="P32" s="789">
        <f>+'Phase III Pro Forma'!P31</f>
        <v>0</v>
      </c>
      <c r="Q32" s="789">
        <f>+'Phase III Pro Forma'!Q31</f>
        <v>0</v>
      </c>
      <c r="R32" s="789">
        <f>+'Phase III Pro Forma'!R31</f>
        <v>0</v>
      </c>
      <c r="S32" s="789">
        <f>+'Phase III Pro Forma'!S31</f>
        <v>0</v>
      </c>
      <c r="T32" s="789">
        <f>+'Phase III Pro Forma'!T31</f>
        <v>0</v>
      </c>
      <c r="U32" s="789">
        <f>+'Phase III Pro Forma'!U31</f>
        <v>0</v>
      </c>
      <c r="V32" s="789">
        <f>+'Phase III Pro Forma'!V31</f>
        <v>0</v>
      </c>
      <c r="W32" s="789">
        <f>+'Phase III Pro Forma'!W31</f>
        <v>0</v>
      </c>
      <c r="X32" s="789">
        <f>+'Phase III Pro Forma'!X31</f>
        <v>0</v>
      </c>
      <c r="Y32" s="789">
        <f>+'Phase III Pro Forma'!Y31</f>
        <v>0</v>
      </c>
      <c r="Z32" s="789">
        <f>+'Phase III Pro Forma'!Z31</f>
        <v>0</v>
      </c>
    </row>
    <row r="33" spans="2:26" collapsed="1" x14ac:dyDescent="0.2">
      <c r="B33" s="32" t="s">
        <v>784</v>
      </c>
      <c r="C33" s="32"/>
      <c r="D33" s="41">
        <v>0</v>
      </c>
      <c r="E33" s="41"/>
      <c r="F33" s="41">
        <f>+D33+F32</f>
        <v>0</v>
      </c>
      <c r="G33" s="41">
        <f t="shared" ref="G33:Z33" si="8">+F33+G32</f>
        <v>0</v>
      </c>
      <c r="H33" s="41">
        <f t="shared" si="8"/>
        <v>0</v>
      </c>
      <c r="I33" s="41">
        <f t="shared" si="8"/>
        <v>182724.71345282008</v>
      </c>
      <c r="J33" s="41">
        <f t="shared" si="8"/>
        <v>365449.42690564017</v>
      </c>
      <c r="K33" s="41">
        <f t="shared" si="8"/>
        <v>365449.42690564017</v>
      </c>
      <c r="L33" s="41">
        <f t="shared" si="8"/>
        <v>365449.42690564017</v>
      </c>
      <c r="M33" s="41">
        <f t="shared" si="8"/>
        <v>365449.42690564017</v>
      </c>
      <c r="N33" s="41">
        <f t="shared" si="8"/>
        <v>365449.42690564017</v>
      </c>
      <c r="O33" s="41">
        <f t="shared" si="8"/>
        <v>365449.42690564017</v>
      </c>
      <c r="P33" s="41">
        <f t="shared" si="8"/>
        <v>365449.42690564017</v>
      </c>
      <c r="Q33" s="41">
        <f t="shared" si="8"/>
        <v>365449.42690564017</v>
      </c>
      <c r="R33" s="41">
        <f t="shared" si="8"/>
        <v>365449.42690564017</v>
      </c>
      <c r="S33" s="41">
        <f t="shared" si="8"/>
        <v>365449.42690564017</v>
      </c>
      <c r="T33" s="41">
        <f t="shared" si="8"/>
        <v>365449.42690564017</v>
      </c>
      <c r="U33" s="41">
        <f t="shared" si="8"/>
        <v>365449.42690564017</v>
      </c>
      <c r="V33" s="41">
        <f t="shared" si="8"/>
        <v>365449.42690564017</v>
      </c>
      <c r="W33" s="41">
        <f t="shared" si="8"/>
        <v>365449.42690564017</v>
      </c>
      <c r="X33" s="41">
        <f t="shared" si="8"/>
        <v>365449.42690564017</v>
      </c>
      <c r="Y33" s="41">
        <f t="shared" si="8"/>
        <v>365449.42690564017</v>
      </c>
      <c r="Z33" s="41">
        <f t="shared" si="8"/>
        <v>365449.42690564017</v>
      </c>
    </row>
    <row r="34" spans="2:26" hidden="1" outlineLevel="7" x14ac:dyDescent="0.2">
      <c r="B34" s="788" t="s">
        <v>490</v>
      </c>
      <c r="C34" s="788"/>
      <c r="D34" s="789"/>
      <c r="E34" s="789"/>
      <c r="F34" s="789">
        <f>+F35-E35</f>
        <v>0</v>
      </c>
      <c r="G34" s="789">
        <f t="shared" ref="G34:Z34" si="9">+G35-F35</f>
        <v>0</v>
      </c>
      <c r="H34" s="789">
        <f t="shared" si="9"/>
        <v>0</v>
      </c>
      <c r="I34" s="789">
        <f t="shared" si="9"/>
        <v>250.00063067863113</v>
      </c>
      <c r="J34" s="789">
        <f t="shared" si="9"/>
        <v>250.00063067863113</v>
      </c>
      <c r="K34" s="789">
        <f t="shared" si="9"/>
        <v>0</v>
      </c>
      <c r="L34" s="789">
        <f t="shared" si="9"/>
        <v>0</v>
      </c>
      <c r="M34" s="789">
        <f t="shared" si="9"/>
        <v>0</v>
      </c>
      <c r="N34" s="789">
        <f t="shared" si="9"/>
        <v>0</v>
      </c>
      <c r="O34" s="789">
        <f t="shared" si="9"/>
        <v>0</v>
      </c>
      <c r="P34" s="789">
        <f t="shared" si="9"/>
        <v>0</v>
      </c>
      <c r="Q34" s="789">
        <f t="shared" si="9"/>
        <v>0</v>
      </c>
      <c r="R34" s="789">
        <f t="shared" si="9"/>
        <v>0</v>
      </c>
      <c r="S34" s="789">
        <f t="shared" si="9"/>
        <v>0</v>
      </c>
      <c r="T34" s="789">
        <f t="shared" si="9"/>
        <v>0</v>
      </c>
      <c r="U34" s="789">
        <f t="shared" si="9"/>
        <v>0</v>
      </c>
      <c r="V34" s="789">
        <f t="shared" si="9"/>
        <v>0</v>
      </c>
      <c r="W34" s="789">
        <f t="shared" si="9"/>
        <v>0</v>
      </c>
      <c r="X34" s="789">
        <f t="shared" si="9"/>
        <v>0</v>
      </c>
      <c r="Y34" s="789">
        <f t="shared" si="9"/>
        <v>0</v>
      </c>
      <c r="Z34" s="789">
        <f t="shared" si="9"/>
        <v>0</v>
      </c>
    </row>
    <row r="35" spans="2:26" hidden="1" outlineLevel="7" x14ac:dyDescent="0.2">
      <c r="B35" s="788" t="s">
        <v>247</v>
      </c>
      <c r="C35" s="788"/>
      <c r="D35" s="789"/>
      <c r="E35" s="789"/>
      <c r="F35" s="789">
        <f>+'Phase III Pro Forma'!F34</f>
        <v>0</v>
      </c>
      <c r="G35" s="789">
        <f>+'Phase III Pro Forma'!G34</f>
        <v>0</v>
      </c>
      <c r="H35" s="789">
        <f>+'Phase III Pro Forma'!H34</f>
        <v>0</v>
      </c>
      <c r="I35" s="789">
        <f>+'Phase III Pro Forma'!I34</f>
        <v>250.00063067863113</v>
      </c>
      <c r="J35" s="789">
        <f>+'Phase III Pro Forma'!J34</f>
        <v>500.00126135726225</v>
      </c>
      <c r="K35" s="789">
        <f>+'Phase III Pro Forma'!K34</f>
        <v>500.00126135726225</v>
      </c>
      <c r="L35" s="789">
        <f>+'Phase III Pro Forma'!L34</f>
        <v>500.00126135726225</v>
      </c>
      <c r="M35" s="789">
        <f>+'Phase III Pro Forma'!M34</f>
        <v>500.00126135726225</v>
      </c>
      <c r="N35" s="789">
        <f>+'Phase III Pro Forma'!N34</f>
        <v>500.00126135726225</v>
      </c>
      <c r="O35" s="789">
        <f>+'Phase III Pro Forma'!O34</f>
        <v>500.00126135726225</v>
      </c>
      <c r="P35" s="789">
        <f>+'Phase III Pro Forma'!P34</f>
        <v>500.00126135726225</v>
      </c>
      <c r="Q35" s="789">
        <f>+'Phase III Pro Forma'!Q34</f>
        <v>500.00126135726225</v>
      </c>
      <c r="R35" s="789">
        <f>+'Phase III Pro Forma'!R34</f>
        <v>500.00126135726225</v>
      </c>
      <c r="S35" s="789">
        <f>+'Phase III Pro Forma'!S34</f>
        <v>500.00126135726225</v>
      </c>
      <c r="T35" s="789">
        <f>+'Phase III Pro Forma'!T34</f>
        <v>500.00126135726225</v>
      </c>
      <c r="U35" s="789">
        <f>+'Phase III Pro Forma'!U34</f>
        <v>500.00126135726225</v>
      </c>
      <c r="V35" s="789">
        <f>+'Phase III Pro Forma'!V34</f>
        <v>500.00126135726225</v>
      </c>
      <c r="W35" s="789">
        <f>+'Phase III Pro Forma'!W34</f>
        <v>500.00126135726225</v>
      </c>
      <c r="X35" s="789">
        <f>+'Phase III Pro Forma'!X34</f>
        <v>500.00126135726225</v>
      </c>
      <c r="Y35" s="789">
        <f>+'Phase III Pro Forma'!Y34</f>
        <v>500.00126135726225</v>
      </c>
      <c r="Z35" s="789">
        <f>+'Phase III Pro Forma'!Z34</f>
        <v>500.00126135726225</v>
      </c>
    </row>
    <row r="36" spans="2:26" hidden="1" outlineLevel="7" x14ac:dyDescent="0.2">
      <c r="B36" s="788" t="s">
        <v>301</v>
      </c>
      <c r="C36" s="788"/>
      <c r="D36" s="789"/>
      <c r="E36" s="789"/>
      <c r="F36" s="790">
        <f>+F33/SUM($F32:$Z32)</f>
        <v>0</v>
      </c>
      <c r="G36" s="790">
        <f t="shared" ref="G36:Z36" si="10">+G33/SUM($F32:$Z32)</f>
        <v>0</v>
      </c>
      <c r="H36" s="790">
        <f t="shared" si="10"/>
        <v>0</v>
      </c>
      <c r="I36" s="790">
        <f t="shared" si="10"/>
        <v>0.5</v>
      </c>
      <c r="J36" s="790">
        <f t="shared" si="10"/>
        <v>1</v>
      </c>
      <c r="K36" s="790">
        <f t="shared" si="10"/>
        <v>1</v>
      </c>
      <c r="L36" s="790">
        <f t="shared" si="10"/>
        <v>1</v>
      </c>
      <c r="M36" s="790">
        <f t="shared" si="10"/>
        <v>1</v>
      </c>
      <c r="N36" s="790">
        <f t="shared" si="10"/>
        <v>1</v>
      </c>
      <c r="O36" s="790">
        <f t="shared" si="10"/>
        <v>1</v>
      </c>
      <c r="P36" s="790">
        <f t="shared" si="10"/>
        <v>1</v>
      </c>
      <c r="Q36" s="790">
        <f t="shared" si="10"/>
        <v>1</v>
      </c>
      <c r="R36" s="790">
        <f t="shared" si="10"/>
        <v>1</v>
      </c>
      <c r="S36" s="790">
        <f t="shared" si="10"/>
        <v>1</v>
      </c>
      <c r="T36" s="790">
        <f t="shared" si="10"/>
        <v>1</v>
      </c>
      <c r="U36" s="790">
        <f t="shared" si="10"/>
        <v>1</v>
      </c>
      <c r="V36" s="790">
        <f t="shared" si="10"/>
        <v>1</v>
      </c>
      <c r="W36" s="790">
        <f t="shared" si="10"/>
        <v>1</v>
      </c>
      <c r="X36" s="790">
        <f t="shared" si="10"/>
        <v>1</v>
      </c>
      <c r="Y36" s="790">
        <f t="shared" si="10"/>
        <v>1</v>
      </c>
      <c r="Z36" s="790">
        <f t="shared" si="10"/>
        <v>1</v>
      </c>
    </row>
    <row r="37" spans="2:26" ht="5" customHeight="1" collapsed="1" x14ac:dyDescent="0.2">
      <c r="B37" s="32"/>
      <c r="C37" s="32"/>
      <c r="D37" s="39"/>
      <c r="E37" s="39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 spans="2:26" hidden="1" x14ac:dyDescent="0.2">
      <c r="B38" s="788" t="s">
        <v>251</v>
      </c>
      <c r="C38" s="788"/>
      <c r="D38" s="789"/>
      <c r="E38" s="789"/>
      <c r="F38" s="790">
        <f>+'Phase III Pro Forma'!F37</f>
        <v>1</v>
      </c>
      <c r="G38" s="790">
        <f>+'Phase III Pro Forma'!G37</f>
        <v>1.03</v>
      </c>
      <c r="H38" s="790">
        <f>+'Phase III Pro Forma'!H37</f>
        <v>1.0609</v>
      </c>
      <c r="I38" s="790">
        <f>+'Phase III Pro Forma'!I37</f>
        <v>1.092727</v>
      </c>
      <c r="J38" s="790">
        <f>+'Phase III Pro Forma'!J37</f>
        <v>1.1255088100000001</v>
      </c>
      <c r="K38" s="790">
        <f>+'Phase III Pro Forma'!K37</f>
        <v>1.1592740743000001</v>
      </c>
      <c r="L38" s="790">
        <f>+'Phase III Pro Forma'!L37</f>
        <v>1.1940522965290001</v>
      </c>
      <c r="M38" s="790">
        <f>+'Phase III Pro Forma'!M37</f>
        <v>1.2298738654248702</v>
      </c>
      <c r="N38" s="790">
        <f>+'Phase III Pro Forma'!N37</f>
        <v>1.2667700813876164</v>
      </c>
      <c r="O38" s="790">
        <f>+'Phase III Pro Forma'!O37</f>
        <v>1.3047731838292449</v>
      </c>
      <c r="P38" s="790">
        <f>+'Phase III Pro Forma'!P37</f>
        <v>1.3439163793441222</v>
      </c>
      <c r="Q38" s="790">
        <f>+'Phase III Pro Forma'!Q37</f>
        <v>1.3842338707244459</v>
      </c>
      <c r="R38" s="790">
        <f>+'Phase III Pro Forma'!R37</f>
        <v>1.4257608868461793</v>
      </c>
      <c r="S38" s="790">
        <f>+'Phase III Pro Forma'!S37</f>
        <v>1.4685337134515648</v>
      </c>
      <c r="T38" s="790">
        <f>+'Phase III Pro Forma'!T37</f>
        <v>1.5125897248551119</v>
      </c>
      <c r="U38" s="790">
        <f>+'Phase III Pro Forma'!U37</f>
        <v>1.5579674166007653</v>
      </c>
      <c r="V38" s="790">
        <f>+'Phase III Pro Forma'!V37</f>
        <v>1.6047064390987884</v>
      </c>
      <c r="W38" s="790">
        <f>+'Phase III Pro Forma'!W37</f>
        <v>1.652847632271752</v>
      </c>
      <c r="X38" s="790">
        <f>+'Phase III Pro Forma'!X37</f>
        <v>1.7024330612399046</v>
      </c>
      <c r="Y38" s="790">
        <f>+'Phase III Pro Forma'!Y37</f>
        <v>1.7535060530771018</v>
      </c>
      <c r="Z38" s="790">
        <f>+'Phase III Pro Forma'!Z37</f>
        <v>1.806111234669415</v>
      </c>
    </row>
    <row r="39" spans="2:26" hidden="1" x14ac:dyDescent="0.2">
      <c r="B39" s="788" t="s">
        <v>252</v>
      </c>
      <c r="C39" s="788"/>
      <c r="D39" s="789"/>
      <c r="E39" s="789"/>
      <c r="F39" s="790">
        <f>+'Phase III Pro Forma'!F38</f>
        <v>1</v>
      </c>
      <c r="G39" s="790">
        <f>+'Phase III Pro Forma'!G38</f>
        <v>1.03</v>
      </c>
      <c r="H39" s="790">
        <f>+'Phase III Pro Forma'!H38</f>
        <v>1.0609</v>
      </c>
      <c r="I39" s="790">
        <f>+'Phase III Pro Forma'!I38</f>
        <v>1.092727</v>
      </c>
      <c r="J39" s="790">
        <f>+'Phase III Pro Forma'!J38</f>
        <v>1.1255088100000001</v>
      </c>
      <c r="K39" s="790">
        <f>+'Phase III Pro Forma'!K38</f>
        <v>1.1592740743000001</v>
      </c>
      <c r="L39" s="790">
        <f>+'Phase III Pro Forma'!L38</f>
        <v>1.1940522965290001</v>
      </c>
      <c r="M39" s="790">
        <f>+'Phase III Pro Forma'!M38</f>
        <v>1.2298738654248702</v>
      </c>
      <c r="N39" s="790">
        <f>+'Phase III Pro Forma'!N38</f>
        <v>1.2667700813876164</v>
      </c>
      <c r="O39" s="790">
        <f>+'Phase III Pro Forma'!O38</f>
        <v>1.3047731838292449</v>
      </c>
      <c r="P39" s="790">
        <f>+'Phase III Pro Forma'!P38</f>
        <v>1.3439163793441222</v>
      </c>
      <c r="Q39" s="790">
        <f>+'Phase III Pro Forma'!Q38</f>
        <v>1.3842338707244459</v>
      </c>
      <c r="R39" s="790">
        <f>+'Phase III Pro Forma'!R38</f>
        <v>1.4257608868461793</v>
      </c>
      <c r="S39" s="790">
        <f>+'Phase III Pro Forma'!S38</f>
        <v>1.4685337134515648</v>
      </c>
      <c r="T39" s="790">
        <f>+'Phase III Pro Forma'!T38</f>
        <v>1.5125897248551119</v>
      </c>
      <c r="U39" s="790">
        <f>+'Phase III Pro Forma'!U38</f>
        <v>1.5579674166007653</v>
      </c>
      <c r="V39" s="790">
        <f>+'Phase III Pro Forma'!V38</f>
        <v>1.6047064390987884</v>
      </c>
      <c r="W39" s="790">
        <f>+'Phase III Pro Forma'!W38</f>
        <v>1.652847632271752</v>
      </c>
      <c r="X39" s="790">
        <f>+'Phase III Pro Forma'!X38</f>
        <v>1.7024330612399046</v>
      </c>
      <c r="Y39" s="790">
        <f>+'Phase III Pro Forma'!Y38</f>
        <v>1.7535060530771018</v>
      </c>
      <c r="Z39" s="790">
        <f>+'Phase III Pro Forma'!Z38</f>
        <v>1.806111234669415</v>
      </c>
    </row>
    <row r="40" spans="2:26" hidden="1" x14ac:dyDescent="0.2">
      <c r="B40" s="788"/>
      <c r="C40" s="788"/>
      <c r="D40" s="791"/>
      <c r="E40" s="791"/>
      <c r="F40" s="792"/>
      <c r="G40" s="792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2"/>
    </row>
    <row r="41" spans="2:26" x14ac:dyDescent="0.2">
      <c r="B41" s="32" t="s">
        <v>243</v>
      </c>
      <c r="C41" s="32"/>
      <c r="D41" s="39"/>
      <c r="E41" s="39"/>
      <c r="F41" s="48">
        <f>+'Phase III Pro Forma'!F40/1000000</f>
        <v>0</v>
      </c>
      <c r="G41" s="48">
        <f>+'Phase III Pro Forma'!G40/1000000</f>
        <v>0</v>
      </c>
      <c r="H41" s="48">
        <f>+'Phase III Pro Forma'!H40/1000000</f>
        <v>0</v>
      </c>
      <c r="I41" s="48">
        <f>+'Phase III Pro Forma'!I40/1000000</f>
        <v>6.2327186983090517</v>
      </c>
      <c r="J41" s="48">
        <f>+'Phase III Pro Forma'!J40/1000000</f>
        <v>12.839400518516648</v>
      </c>
      <c r="K41" s="48">
        <f>+'Phase III Pro Forma'!K40/1000000</f>
        <v>13.224582534072148</v>
      </c>
      <c r="L41" s="48">
        <f>+'Phase III Pro Forma'!L40/1000000</f>
        <v>13.621320010094314</v>
      </c>
      <c r="M41" s="48">
        <f>+'Phase III Pro Forma'!M40/1000000</f>
        <v>14.029959610397142</v>
      </c>
      <c r="N41" s="48">
        <f>+'Phase III Pro Forma'!N40/1000000</f>
        <v>14.450858398709057</v>
      </c>
      <c r="O41" s="48">
        <f>+'Phase III Pro Forma'!O40/1000000</f>
        <v>14.884384150670328</v>
      </c>
      <c r="P41" s="48">
        <f>+'Phase III Pro Forma'!P40/1000000</f>
        <v>15.33091567519044</v>
      </c>
      <c r="Q41" s="48">
        <f>+'Phase III Pro Forma'!Q40/1000000</f>
        <v>15.790843145446154</v>
      </c>
      <c r="R41" s="48">
        <f>+'Phase III Pro Forma'!R40/1000000</f>
        <v>16.264568439809537</v>
      </c>
      <c r="S41" s="48">
        <f>+'Phase III Pro Forma'!S40/1000000</f>
        <v>16.752505493003824</v>
      </c>
      <c r="T41" s="48">
        <f>+'Phase III Pro Forma'!T40/1000000</f>
        <v>17.255080657793943</v>
      </c>
      <c r="U41" s="48">
        <f>+'Phase III Pro Forma'!U40/1000000</f>
        <v>17.772733077527761</v>
      </c>
      <c r="V41" s="48">
        <f>+'Phase III Pro Forma'!V40/1000000</f>
        <v>18.305915069853597</v>
      </c>
      <c r="W41" s="48">
        <f>+'Phase III Pro Forma'!W40/1000000</f>
        <v>18.855092521949203</v>
      </c>
      <c r="X41" s="48">
        <f>+'Phase III Pro Forma'!X40/1000000</f>
        <v>19.420745297607677</v>
      </c>
      <c r="Y41" s="48">
        <f>+'Phase III Pro Forma'!Y40/1000000</f>
        <v>20.003367656535907</v>
      </c>
      <c r="Z41" s="48">
        <f>+'Phase III Pro Forma'!Z40/1000000</f>
        <v>20.603468686231988</v>
      </c>
    </row>
    <row r="42" spans="2:26" x14ac:dyDescent="0.2">
      <c r="B42" s="32" t="s">
        <v>244</v>
      </c>
      <c r="C42" s="32"/>
      <c r="D42" s="39"/>
      <c r="E42" s="39"/>
      <c r="F42" s="771">
        <f>+'Phase III Pro Forma'!F41/1000000</f>
        <v>0</v>
      </c>
      <c r="G42" s="771">
        <f>+'Phase III Pro Forma'!G41/1000000</f>
        <v>0</v>
      </c>
      <c r="H42" s="771">
        <f>+'Phase III Pro Forma'!H41/1000000</f>
        <v>0</v>
      </c>
      <c r="I42" s="771">
        <f>+'Phase III Pro Forma'!I41/1000000</f>
        <v>-0.31163593491545261</v>
      </c>
      <c r="J42" s="771">
        <f>+'Phase III Pro Forma'!J41/1000000</f>
        <v>-0.64197002592583241</v>
      </c>
      <c r="K42" s="771">
        <f>+'Phase III Pro Forma'!K41/1000000</f>
        <v>-0.66122912670360734</v>
      </c>
      <c r="L42" s="771">
        <f>+'Phase III Pro Forma'!L41/1000000</f>
        <v>-0.68106600050471566</v>
      </c>
      <c r="M42" s="771">
        <f>+'Phase III Pro Forma'!M41/1000000</f>
        <v>-0.70149798051985723</v>
      </c>
      <c r="N42" s="771">
        <f>+'Phase III Pro Forma'!N41/1000000</f>
        <v>-0.72254291993545283</v>
      </c>
      <c r="O42" s="771">
        <f>+'Phase III Pro Forma'!O41/1000000</f>
        <v>-0.74421920753351645</v>
      </c>
      <c r="P42" s="771">
        <f>+'Phase III Pro Forma'!P41/1000000</f>
        <v>-0.76654578375952198</v>
      </c>
      <c r="Q42" s="771">
        <f>+'Phase III Pro Forma'!Q41/1000000</f>
        <v>-0.7895421572723077</v>
      </c>
      <c r="R42" s="771">
        <f>+'Phase III Pro Forma'!R41/1000000</f>
        <v>-0.81322842199047707</v>
      </c>
      <c r="S42" s="771">
        <f>+'Phase III Pro Forma'!S41/1000000</f>
        <v>-0.83762527465019132</v>
      </c>
      <c r="T42" s="771">
        <f>+'Phase III Pro Forma'!T41/1000000</f>
        <v>-0.86275403288969721</v>
      </c>
      <c r="U42" s="771">
        <f>+'Phase III Pro Forma'!U41/1000000</f>
        <v>-0.88863665387638813</v>
      </c>
      <c r="V42" s="771">
        <f>+'Phase III Pro Forma'!V41/1000000</f>
        <v>-0.91529575349267989</v>
      </c>
      <c r="W42" s="771">
        <f>+'Phase III Pro Forma'!W41/1000000</f>
        <v>-0.94275462609746019</v>
      </c>
      <c r="X42" s="771">
        <f>+'Phase III Pro Forma'!X41/1000000</f>
        <v>-0.971037264880384</v>
      </c>
      <c r="Y42" s="771">
        <f>+'Phase III Pro Forma'!Y41/1000000</f>
        <v>-1.0001683828267955</v>
      </c>
      <c r="Z42" s="771">
        <f>+'Phase III Pro Forma'!Z41/1000000</f>
        <v>-1.0301734343115996</v>
      </c>
    </row>
    <row r="43" spans="2:26" x14ac:dyDescent="0.2">
      <c r="B43" s="32" t="s">
        <v>344</v>
      </c>
      <c r="C43" s="32"/>
      <c r="D43" s="39"/>
      <c r="E43" s="39"/>
      <c r="F43" s="772">
        <f>+'Phase III Pro Forma'!F42/1000000</f>
        <v>0</v>
      </c>
      <c r="G43" s="772">
        <f>+'Phase III Pro Forma'!G42/1000000</f>
        <v>0</v>
      </c>
      <c r="H43" s="772">
        <f>+'Phase III Pro Forma'!H42/1000000</f>
        <v>0</v>
      </c>
      <c r="I43" s="772">
        <f>+'Phase III Pro Forma'!I42/1000000</f>
        <v>0.1567503954355017</v>
      </c>
      <c r="J43" s="772">
        <f>+'Phase III Pro Forma'!J42/1000000</f>
        <v>0.31350079087100341</v>
      </c>
      <c r="K43" s="772">
        <f>+'Phase III Pro Forma'!K42/1000000</f>
        <v>0.31350079087100341</v>
      </c>
      <c r="L43" s="772">
        <f>+'Phase III Pro Forma'!L42/1000000</f>
        <v>0.31350079087100341</v>
      </c>
      <c r="M43" s="772">
        <f>+'Phase III Pro Forma'!M42/1000000</f>
        <v>0.31350079087100341</v>
      </c>
      <c r="N43" s="772">
        <f>+'Phase III Pro Forma'!N42/1000000</f>
        <v>0.31350079087100341</v>
      </c>
      <c r="O43" s="772">
        <f>+'Phase III Pro Forma'!O42/1000000</f>
        <v>0.31350079087100341</v>
      </c>
      <c r="P43" s="772">
        <f>+'Phase III Pro Forma'!P42/1000000</f>
        <v>0.31350079087100341</v>
      </c>
      <c r="Q43" s="772">
        <f>+'Phase III Pro Forma'!Q42/1000000</f>
        <v>0.31350079087100341</v>
      </c>
      <c r="R43" s="772">
        <f>+'Phase III Pro Forma'!R42/1000000</f>
        <v>0.31350079087100341</v>
      </c>
      <c r="S43" s="772">
        <f>+'Phase III Pro Forma'!S42/1000000</f>
        <v>0.31350079087100341</v>
      </c>
      <c r="T43" s="772">
        <f>+'Phase III Pro Forma'!T42/1000000</f>
        <v>0.31350079087100341</v>
      </c>
      <c r="U43" s="772">
        <f>+'Phase III Pro Forma'!U42/1000000</f>
        <v>0.31350079087100341</v>
      </c>
      <c r="V43" s="772">
        <f>+'Phase III Pro Forma'!V42/1000000</f>
        <v>0.31350079087100341</v>
      </c>
      <c r="W43" s="772">
        <f>+'Phase III Pro Forma'!W42/1000000</f>
        <v>0.31350079087100341</v>
      </c>
      <c r="X43" s="772">
        <f>+'Phase III Pro Forma'!X42/1000000</f>
        <v>0.31350079087100341</v>
      </c>
      <c r="Y43" s="772">
        <f>+'Phase III Pro Forma'!Y42/1000000</f>
        <v>0.31350079087100341</v>
      </c>
      <c r="Z43" s="772">
        <f>+'Phase III Pro Forma'!Z42/1000000</f>
        <v>0.31350079087100341</v>
      </c>
    </row>
    <row r="44" spans="2:26" x14ac:dyDescent="0.2">
      <c r="B44" s="136" t="s">
        <v>253</v>
      </c>
      <c r="C44" s="136"/>
      <c r="D44" s="136"/>
      <c r="E44" s="136"/>
      <c r="F44" s="773">
        <f t="shared" ref="F44:Z44" si="11">+SUM(F41:F43)</f>
        <v>0</v>
      </c>
      <c r="G44" s="773">
        <f t="shared" si="11"/>
        <v>0</v>
      </c>
      <c r="H44" s="773">
        <f t="shared" si="11"/>
        <v>0</v>
      </c>
      <c r="I44" s="773">
        <f t="shared" si="11"/>
        <v>6.077833158829101</v>
      </c>
      <c r="J44" s="773">
        <f t="shared" si="11"/>
        <v>12.510931283461819</v>
      </c>
      <c r="K44" s="773">
        <f t="shared" si="11"/>
        <v>12.876854198239544</v>
      </c>
      <c r="L44" s="773">
        <f t="shared" si="11"/>
        <v>13.253754800460602</v>
      </c>
      <c r="M44" s="773">
        <f t="shared" si="11"/>
        <v>13.641962420748289</v>
      </c>
      <c r="N44" s="773">
        <f t="shared" si="11"/>
        <v>14.041816269644608</v>
      </c>
      <c r="O44" s="773">
        <f t="shared" si="11"/>
        <v>14.453665734007815</v>
      </c>
      <c r="P44" s="773">
        <f t="shared" si="11"/>
        <v>14.877870682301921</v>
      </c>
      <c r="Q44" s="773">
        <f t="shared" si="11"/>
        <v>15.314801779044849</v>
      </c>
      <c r="R44" s="773">
        <f t="shared" si="11"/>
        <v>15.764840808690064</v>
      </c>
      <c r="S44" s="773">
        <f t="shared" si="11"/>
        <v>16.228381009224634</v>
      </c>
      <c r="T44" s="773">
        <f t="shared" si="11"/>
        <v>16.70582741577525</v>
      </c>
      <c r="U44" s="773">
        <f t="shared" si="11"/>
        <v>17.197597214522375</v>
      </c>
      <c r="V44" s="773">
        <f t="shared" si="11"/>
        <v>17.704120107231923</v>
      </c>
      <c r="W44" s="773">
        <f t="shared" si="11"/>
        <v>18.225838686722746</v>
      </c>
      <c r="X44" s="773">
        <f t="shared" si="11"/>
        <v>18.763208823598298</v>
      </c>
      <c r="Y44" s="773">
        <f t="shared" si="11"/>
        <v>19.316700064580115</v>
      </c>
      <c r="Z44" s="773">
        <f t="shared" si="11"/>
        <v>19.886796042791392</v>
      </c>
    </row>
    <row r="45" spans="2:26" ht="5" customHeight="1" x14ac:dyDescent="0.2"/>
    <row r="46" spans="2:26" x14ac:dyDescent="0.2">
      <c r="B46" s="32" t="s">
        <v>389</v>
      </c>
      <c r="F46" s="48">
        <f>+'Phase III Pro Forma'!F45/1000000</f>
        <v>0</v>
      </c>
      <c r="G46" s="48">
        <f>+'Phase III Pro Forma'!G45/1000000</f>
        <v>0</v>
      </c>
      <c r="H46" s="48">
        <f>+'Phase III Pro Forma'!H45/1000000</f>
        <v>0</v>
      </c>
      <c r="I46" s="48">
        <f>+'Phase III Pro Forma'!I45/1000000</f>
        <v>1.7742087461613625</v>
      </c>
      <c r="J46" s="48">
        <f>+'Phase III Pro Forma'!J45/1000000</f>
        <v>3.6548700170924069</v>
      </c>
      <c r="K46" s="48">
        <f>+'Phase III Pro Forma'!K45/1000000</f>
        <v>3.7645161176051785</v>
      </c>
      <c r="L46" s="48">
        <f>+'Phase III Pro Forma'!L45/1000000</f>
        <v>3.8774516011333344</v>
      </c>
      <c r="M46" s="48">
        <f>+'Phase III Pro Forma'!M45/1000000</f>
        <v>3.9937751491673348</v>
      </c>
      <c r="N46" s="48">
        <f>+'Phase III Pro Forma'!N45/1000000</f>
        <v>4.1135884036423551</v>
      </c>
      <c r="O46" s="48">
        <f>+'Phase III Pro Forma'!O45/1000000</f>
        <v>4.2369960557516251</v>
      </c>
      <c r="P46" s="48">
        <f>+'Phase III Pro Forma'!P45/1000000</f>
        <v>4.3641059374241742</v>
      </c>
      <c r="Q46" s="48">
        <f>+'Phase III Pro Forma'!Q45/1000000</f>
        <v>4.4950291155468998</v>
      </c>
      <c r="R46" s="48">
        <f>+'Phase III Pro Forma'!R45/1000000</f>
        <v>4.6298799890133067</v>
      </c>
      <c r="S46" s="48">
        <f>+'Phase III Pro Forma'!S45/1000000</f>
        <v>4.7687763886837065</v>
      </c>
      <c r="T46" s="48">
        <f>+'Phase III Pro Forma'!T45/1000000</f>
        <v>4.911839680344217</v>
      </c>
      <c r="U46" s="48">
        <f>+'Phase III Pro Forma'!U45/1000000</f>
        <v>5.0591948707545447</v>
      </c>
      <c r="V46" s="48">
        <f>+'Phase III Pro Forma'!V45/1000000</f>
        <v>5.2109707168771813</v>
      </c>
      <c r="W46" s="48">
        <f>+'Phase III Pro Forma'!W45/1000000</f>
        <v>5.3672998383834969</v>
      </c>
      <c r="X46" s="48">
        <f>+'Phase III Pro Forma'!X45/1000000</f>
        <v>5.5283188335350015</v>
      </c>
      <c r="Y46" s="48">
        <f>+'Phase III Pro Forma'!Y45/1000000</f>
        <v>5.6941683985410521</v>
      </c>
      <c r="Z46" s="48">
        <f>+'Phase III Pro Forma'!Z45/1000000</f>
        <v>5.8649934504972849</v>
      </c>
    </row>
    <row r="47" spans="2:26" x14ac:dyDescent="0.2">
      <c r="B47" s="32" t="s">
        <v>325</v>
      </c>
      <c r="F47" s="772">
        <f ca="1">+'Phase III Pro Forma'!F46/1000000</f>
        <v>0</v>
      </c>
      <c r="G47" s="772">
        <f ca="1">+'Phase III Pro Forma'!G46/1000000</f>
        <v>0</v>
      </c>
      <c r="H47" s="772">
        <f ca="1">+'Phase III Pro Forma'!H46/1000000</f>
        <v>0</v>
      </c>
      <c r="I47" s="772">
        <f ca="1">+'Phase III Pro Forma'!I46/1000000</f>
        <v>1.0711315961950951</v>
      </c>
      <c r="J47" s="772">
        <f ca="1">+'Phase III Pro Forma'!J46/1000000</f>
        <v>2.1851084562379945</v>
      </c>
      <c r="K47" s="772">
        <f ca="1">+'Phase III Pro Forma'!K46/1000000</f>
        <v>2.1851084562379945</v>
      </c>
      <c r="L47" s="772">
        <f ca="1">+'Phase III Pro Forma'!L46/1000000</f>
        <v>2.1851084562379945</v>
      </c>
      <c r="M47" s="772">
        <f ca="1">+'Phase III Pro Forma'!M46/1000000</f>
        <v>2.2288106253627542</v>
      </c>
      <c r="N47" s="772">
        <f ca="1">+'Phase III Pro Forma'!N46/1000000</f>
        <v>2.2288106253627542</v>
      </c>
      <c r="O47" s="772">
        <f ca="1">+'Phase III Pro Forma'!O46/1000000</f>
        <v>2.2288106253627542</v>
      </c>
      <c r="P47" s="772">
        <f ca="1">+'Phase III Pro Forma'!P46/1000000</f>
        <v>2.2733868378700097</v>
      </c>
      <c r="Q47" s="772">
        <f ca="1">+'Phase III Pro Forma'!Q46/1000000</f>
        <v>2.2733868378700097</v>
      </c>
      <c r="R47" s="772">
        <f ca="1">+'Phase III Pro Forma'!R46/1000000</f>
        <v>2.2733868378700097</v>
      </c>
      <c r="S47" s="772">
        <f ca="1">+'Phase III Pro Forma'!S46/1000000</f>
        <v>2.3188545746274096</v>
      </c>
      <c r="T47" s="772">
        <f ca="1">+'Phase III Pro Forma'!T46/1000000</f>
        <v>2.3188545746274096</v>
      </c>
      <c r="U47" s="772">
        <f ca="1">+'Phase III Pro Forma'!U46/1000000</f>
        <v>2.3188545746274096</v>
      </c>
      <c r="V47" s="772">
        <f ca="1">+'Phase III Pro Forma'!V46/1000000</f>
        <v>2.3652316661199584</v>
      </c>
      <c r="W47" s="772">
        <f ca="1">+'Phase III Pro Forma'!W46/1000000</f>
        <v>2.3652316661199584</v>
      </c>
      <c r="X47" s="772">
        <f ca="1">+'Phase III Pro Forma'!X46/1000000</f>
        <v>2.3652316661199584</v>
      </c>
      <c r="Y47" s="772">
        <f ca="1">+'Phase III Pro Forma'!Y46/1000000</f>
        <v>2.4125362994423574</v>
      </c>
      <c r="Z47" s="772">
        <f ca="1">+'Phase III Pro Forma'!Z46/1000000</f>
        <v>2.4125362994423574</v>
      </c>
    </row>
    <row r="48" spans="2:26" x14ac:dyDescent="0.2">
      <c r="B48" s="136" t="s">
        <v>249</v>
      </c>
      <c r="C48" s="136"/>
      <c r="D48" s="136"/>
      <c r="E48" s="136"/>
      <c r="F48" s="773">
        <f ca="1">+SUM(F46:F47)</f>
        <v>0</v>
      </c>
      <c r="G48" s="773">
        <f t="shared" ref="G48" ca="1" si="12">+SUM(G46:G47)</f>
        <v>0</v>
      </c>
      <c r="H48" s="773">
        <f t="shared" ref="H48:Z48" ca="1" si="13">+SUM(H46:H47)</f>
        <v>0</v>
      </c>
      <c r="I48" s="773">
        <f t="shared" ca="1" si="13"/>
        <v>2.8453403423564576</v>
      </c>
      <c r="J48" s="773">
        <f t="shared" ca="1" si="13"/>
        <v>5.839978473330401</v>
      </c>
      <c r="K48" s="773">
        <f t="shared" ca="1" si="13"/>
        <v>5.949624573843173</v>
      </c>
      <c r="L48" s="773">
        <f t="shared" ca="1" si="13"/>
        <v>6.0625600573713285</v>
      </c>
      <c r="M48" s="773">
        <f t="shared" ca="1" si="13"/>
        <v>6.2225857745300885</v>
      </c>
      <c r="N48" s="773">
        <f t="shared" ca="1" si="13"/>
        <v>6.3423990290051098</v>
      </c>
      <c r="O48" s="773">
        <f t="shared" ca="1" si="13"/>
        <v>6.4658066811143797</v>
      </c>
      <c r="P48" s="773">
        <f t="shared" ca="1" si="13"/>
        <v>6.6374927752941844</v>
      </c>
      <c r="Q48" s="773">
        <f t="shared" ca="1" si="13"/>
        <v>6.768415953416909</v>
      </c>
      <c r="R48" s="773">
        <f t="shared" ca="1" si="13"/>
        <v>6.9032668268833159</v>
      </c>
      <c r="S48" s="773">
        <f t="shared" ca="1" si="13"/>
        <v>7.0876309633111161</v>
      </c>
      <c r="T48" s="773">
        <f t="shared" ca="1" si="13"/>
        <v>7.2306942549716267</v>
      </c>
      <c r="U48" s="773">
        <f t="shared" ca="1" si="13"/>
        <v>7.3780494453819543</v>
      </c>
      <c r="V48" s="773">
        <f t="shared" ca="1" si="13"/>
        <v>7.5762023829971401</v>
      </c>
      <c r="W48" s="773">
        <f t="shared" ca="1" si="13"/>
        <v>7.7325315045034557</v>
      </c>
      <c r="X48" s="773">
        <f t="shared" ca="1" si="13"/>
        <v>7.8935504996549604</v>
      </c>
      <c r="Y48" s="773">
        <f t="shared" ca="1" si="13"/>
        <v>8.1067046979834103</v>
      </c>
      <c r="Z48" s="773">
        <f t="shared" ca="1" si="13"/>
        <v>8.2775297499396423</v>
      </c>
    </row>
    <row r="49" spans="1:26" ht="5" customHeight="1" x14ac:dyDescent="0.2">
      <c r="B49" s="32"/>
    </row>
    <row r="50" spans="1:26" x14ac:dyDescent="0.2">
      <c r="A50" s="107"/>
      <c r="B50" s="777" t="s">
        <v>248</v>
      </c>
      <c r="C50" s="777"/>
      <c r="D50" s="777"/>
      <c r="E50" s="777"/>
      <c r="F50" s="778">
        <f ca="1">+F44-F48</f>
        <v>0</v>
      </c>
      <c r="G50" s="778">
        <f t="shared" ref="G50:Z50" ca="1" si="14">+G44-G48</f>
        <v>0</v>
      </c>
      <c r="H50" s="778">
        <f t="shared" ca="1" si="14"/>
        <v>0</v>
      </c>
      <c r="I50" s="778">
        <f t="shared" ca="1" si="14"/>
        <v>3.2324928164726434</v>
      </c>
      <c r="J50" s="778">
        <f t="shared" ca="1" si="14"/>
        <v>6.6709528101314177</v>
      </c>
      <c r="K50" s="778">
        <f t="shared" ca="1" si="14"/>
        <v>6.9272296243963707</v>
      </c>
      <c r="L50" s="778">
        <f t="shared" ca="1" si="14"/>
        <v>7.1911947430892731</v>
      </c>
      <c r="M50" s="778">
        <f t="shared" ca="1" si="14"/>
        <v>7.4193766462182005</v>
      </c>
      <c r="N50" s="778">
        <f t="shared" ca="1" si="14"/>
        <v>7.6994172406394981</v>
      </c>
      <c r="O50" s="778">
        <f t="shared" ca="1" si="14"/>
        <v>7.9878590528934357</v>
      </c>
      <c r="P50" s="778">
        <f t="shared" ca="1" si="14"/>
        <v>8.240377907007737</v>
      </c>
      <c r="Q50" s="778">
        <f t="shared" ca="1" si="14"/>
        <v>8.5463858256279401</v>
      </c>
      <c r="R50" s="778">
        <f t="shared" ca="1" si="14"/>
        <v>8.8615739818067478</v>
      </c>
      <c r="S50" s="778">
        <f t="shared" ca="1" si="14"/>
        <v>9.1407500459135171</v>
      </c>
      <c r="T50" s="778">
        <f t="shared" ca="1" si="14"/>
        <v>9.4751331608036224</v>
      </c>
      <c r="U50" s="778">
        <f t="shared" ca="1" si="14"/>
        <v>9.8195477691404207</v>
      </c>
      <c r="V50" s="778">
        <f t="shared" ca="1" si="14"/>
        <v>10.127917724234782</v>
      </c>
      <c r="W50" s="778">
        <f t="shared" ca="1" si="14"/>
        <v>10.49330718221929</v>
      </c>
      <c r="X50" s="778">
        <f t="shared" ca="1" si="14"/>
        <v>10.869658323943337</v>
      </c>
      <c r="Y50" s="778">
        <f t="shared" ca="1" si="14"/>
        <v>11.209995366596704</v>
      </c>
      <c r="Z50" s="778">
        <f t="shared" ca="1" si="14"/>
        <v>11.60926629285175</v>
      </c>
    </row>
    <row r="51" spans="1:26" x14ac:dyDescent="0.2">
      <c r="B51" s="779" t="s">
        <v>254</v>
      </c>
      <c r="C51" s="780"/>
      <c r="D51" s="780"/>
      <c r="E51" s="780"/>
      <c r="F51" s="781" t="str">
        <f ca="1">+IFERROR(F50/F44,"")</f>
        <v/>
      </c>
      <c r="G51" s="781" t="str">
        <f t="shared" ref="G51:Z51" ca="1" si="15">+IFERROR(G50/G44,"")</f>
        <v/>
      </c>
      <c r="H51" s="781" t="str">
        <f t="shared" ca="1" si="15"/>
        <v/>
      </c>
      <c r="I51" s="782">
        <f t="shared" ca="1" si="15"/>
        <v>0.53184954769232029</v>
      </c>
      <c r="J51" s="782">
        <f t="shared" ca="1" si="15"/>
        <v>0.53320993129821925</v>
      </c>
      <c r="K51" s="782">
        <f t="shared" ca="1" si="15"/>
        <v>0.53795977788918548</v>
      </c>
      <c r="L51" s="782">
        <f t="shared" ca="1" si="15"/>
        <v>0.54257792235898017</v>
      </c>
      <c r="M51" s="782">
        <f t="shared" ca="1" si="15"/>
        <v>0.54386432225718095</v>
      </c>
      <c r="N51" s="782">
        <f t="shared" ca="1" si="15"/>
        <v>0.54832060844464869</v>
      </c>
      <c r="O51" s="782">
        <f t="shared" ca="1" si="15"/>
        <v>0.55265281485643614</v>
      </c>
      <c r="P51" s="782">
        <f t="shared" ca="1" si="15"/>
        <v>0.55386809597761444</v>
      </c>
      <c r="Q51" s="782">
        <f t="shared" ca="1" si="15"/>
        <v>0.55804743338708496</v>
      </c>
      <c r="R51" s="782">
        <f t="shared" ca="1" si="15"/>
        <v>0.56210995653834805</v>
      </c>
      <c r="S51" s="782">
        <f t="shared" ca="1" si="15"/>
        <v>0.56325705199537013</v>
      </c>
      <c r="T51" s="782">
        <f t="shared" ca="1" si="15"/>
        <v>0.56717532900263834</v>
      </c>
      <c r="U51" s="782">
        <f t="shared" ca="1" si="15"/>
        <v>0.57098370467988291</v>
      </c>
      <c r="V51" s="782">
        <f t="shared" ca="1" si="15"/>
        <v>0.5720655792488466</v>
      </c>
      <c r="W51" s="782">
        <f t="shared" ca="1" si="15"/>
        <v>0.57573795985934573</v>
      </c>
      <c r="X51" s="782">
        <f t="shared" ca="1" si="15"/>
        <v>0.57930700586099526</v>
      </c>
      <c r="Y51" s="782">
        <f t="shared" ca="1" si="15"/>
        <v>0.58032662562027382</v>
      </c>
      <c r="Z51" s="782">
        <f t="shared" ca="1" si="15"/>
        <v>0.5837675545055887</v>
      </c>
    </row>
    <row r="52" spans="1:26" x14ac:dyDescent="0.2">
      <c r="B52" s="779" t="s">
        <v>188</v>
      </c>
      <c r="C52" s="780"/>
      <c r="D52" s="780"/>
      <c r="E52" s="780"/>
      <c r="F52" s="783">
        <f ca="1">+'Phase III Pro Forma'!F51/1000000</f>
        <v>0</v>
      </c>
      <c r="G52" s="783">
        <f ca="1">+'Phase III Pro Forma'!G51/1000000</f>
        <v>0</v>
      </c>
      <c r="H52" s="783">
        <f ca="1">+'Phase III Pro Forma'!H51/1000000</f>
        <v>0</v>
      </c>
      <c r="I52" s="783">
        <f ca="1">+'Phase III Pro Forma'!I51/1000000</f>
        <v>58.772596663138977</v>
      </c>
      <c r="J52" s="783">
        <f ca="1">+'Phase III Pro Forma'!J51/1000000</f>
        <v>121.29005109329854</v>
      </c>
      <c r="K52" s="783">
        <f ca="1">+'Phase III Pro Forma'!K51/1000000</f>
        <v>125.94962953447947</v>
      </c>
      <c r="L52" s="783">
        <f ca="1">+'Phase III Pro Forma'!L51/1000000</f>
        <v>130.74899532889586</v>
      </c>
      <c r="M52" s="783">
        <f ca="1">+'Phase III Pro Forma'!M51/1000000</f>
        <v>134.8977572039673</v>
      </c>
      <c r="N52" s="783">
        <f ca="1">+'Phase III Pro Forma'!N51/1000000</f>
        <v>139.9894043752636</v>
      </c>
      <c r="O52" s="783">
        <f ca="1">+'Phase III Pro Forma'!O51/1000000</f>
        <v>145.23380096169885</v>
      </c>
      <c r="P52" s="783">
        <f ca="1">+'Phase III Pro Forma'!P51/1000000</f>
        <v>149.82505285468613</v>
      </c>
      <c r="Q52" s="783">
        <f ca="1">+'Phase III Pro Forma'!Q51/1000000</f>
        <v>155.38883319323529</v>
      </c>
      <c r="R52" s="783">
        <f ca="1">+'Phase III Pro Forma'!R51/1000000</f>
        <v>161.1195269419409</v>
      </c>
      <c r="S52" s="783">
        <f ca="1">+'Phase III Pro Forma'!S51/1000000</f>
        <v>166.19545538024585</v>
      </c>
      <c r="T52" s="783">
        <f ca="1">+'Phase III Pro Forma'!T51/1000000</f>
        <v>172.27514837824768</v>
      </c>
      <c r="U52" s="783">
        <f ca="1">+'Phase III Pro Forma'!U51/1000000</f>
        <v>178.53723216618948</v>
      </c>
      <c r="V52" s="783">
        <f ca="1">+'Phase III Pro Forma'!V51/1000000</f>
        <v>184.14395862245053</v>
      </c>
      <c r="W52" s="783">
        <f ca="1">+'Phase III Pro Forma'!W51/1000000</f>
        <v>190.78740331307799</v>
      </c>
      <c r="X52" s="783">
        <f ca="1">+'Phase III Pro Forma'!X51/1000000</f>
        <v>197.63015134442429</v>
      </c>
      <c r="Y52" s="783">
        <f ca="1">+'Phase III Pro Forma'!Y51/1000000</f>
        <v>203.81809757448556</v>
      </c>
      <c r="Z52" s="783">
        <f ca="1">+'Phase III Pro Forma'!Z51/1000000</f>
        <v>211.07756896094091</v>
      </c>
    </row>
    <row r="53" spans="1:26" ht="5" customHeight="1" x14ac:dyDescent="0.2"/>
    <row r="54" spans="1:26" x14ac:dyDescent="0.2">
      <c r="B54" s="147" t="s">
        <v>25</v>
      </c>
      <c r="C54" s="148"/>
      <c r="D54" s="148"/>
      <c r="E54" s="148"/>
      <c r="F54" s="776">
        <f>+F6</f>
        <v>45657</v>
      </c>
      <c r="G54" s="776">
        <f t="shared" ref="G54:Z54" si="16">+G6</f>
        <v>46022</v>
      </c>
      <c r="H54" s="776">
        <f t="shared" si="16"/>
        <v>46387</v>
      </c>
      <c r="I54" s="776">
        <f t="shared" si="16"/>
        <v>46752</v>
      </c>
      <c r="J54" s="776">
        <f t="shared" si="16"/>
        <v>47118</v>
      </c>
      <c r="K54" s="776">
        <f t="shared" si="16"/>
        <v>47483</v>
      </c>
      <c r="L54" s="776">
        <f t="shared" si="16"/>
        <v>47848</v>
      </c>
      <c r="M54" s="776">
        <f t="shared" si="16"/>
        <v>48213</v>
      </c>
      <c r="N54" s="776">
        <f t="shared" si="16"/>
        <v>48579</v>
      </c>
      <c r="O54" s="776">
        <f t="shared" si="16"/>
        <v>48944</v>
      </c>
      <c r="P54" s="776">
        <f t="shared" si="16"/>
        <v>49309</v>
      </c>
      <c r="Q54" s="776">
        <f t="shared" si="16"/>
        <v>49674</v>
      </c>
      <c r="R54" s="776">
        <f t="shared" si="16"/>
        <v>50040</v>
      </c>
      <c r="S54" s="776">
        <f t="shared" si="16"/>
        <v>50405</v>
      </c>
      <c r="T54" s="776">
        <f t="shared" si="16"/>
        <v>50770</v>
      </c>
      <c r="U54" s="776">
        <f t="shared" si="16"/>
        <v>51135</v>
      </c>
      <c r="V54" s="776">
        <f t="shared" si="16"/>
        <v>51501</v>
      </c>
      <c r="W54" s="776">
        <f t="shared" si="16"/>
        <v>51866</v>
      </c>
      <c r="X54" s="776">
        <f t="shared" si="16"/>
        <v>52231</v>
      </c>
      <c r="Y54" s="776">
        <f t="shared" si="16"/>
        <v>52596</v>
      </c>
      <c r="Z54" s="776">
        <f t="shared" si="16"/>
        <v>52962</v>
      </c>
    </row>
    <row r="55" spans="1:26" hidden="1" outlineLevel="3" x14ac:dyDescent="0.2">
      <c r="B55" s="788" t="s">
        <v>756</v>
      </c>
      <c r="C55" s="788"/>
      <c r="D55" s="791"/>
      <c r="E55" s="791"/>
      <c r="F55" s="789">
        <f>+'Phase III Pro Forma'!F54</f>
        <v>0</v>
      </c>
      <c r="G55" s="789">
        <f>+'Phase III Pro Forma'!G54</f>
        <v>0</v>
      </c>
      <c r="H55" s="789">
        <f>+'Phase III Pro Forma'!H54</f>
        <v>0</v>
      </c>
      <c r="I55" s="789">
        <f>+'Phase III Pro Forma'!I54</f>
        <v>35248.5</v>
      </c>
      <c r="J55" s="789">
        <f>+'Phase III Pro Forma'!J54</f>
        <v>35248.5</v>
      </c>
      <c r="K55" s="789">
        <f>+'Phase III Pro Forma'!K54</f>
        <v>0</v>
      </c>
      <c r="L55" s="789">
        <f>+'Phase III Pro Forma'!L54</f>
        <v>0</v>
      </c>
      <c r="M55" s="789">
        <f>+'Phase III Pro Forma'!M54</f>
        <v>0</v>
      </c>
      <c r="N55" s="789">
        <f>+'Phase III Pro Forma'!N54</f>
        <v>0</v>
      </c>
      <c r="O55" s="789">
        <f>+'Phase III Pro Forma'!O54</f>
        <v>0</v>
      </c>
      <c r="P55" s="789">
        <f>+'Phase III Pro Forma'!P54</f>
        <v>0</v>
      </c>
      <c r="Q55" s="789">
        <f>+'Phase III Pro Forma'!Q54</f>
        <v>0</v>
      </c>
      <c r="R55" s="789">
        <f>+'Phase III Pro Forma'!R54</f>
        <v>0</v>
      </c>
      <c r="S55" s="789">
        <f>+'Phase III Pro Forma'!S54</f>
        <v>0</v>
      </c>
      <c r="T55" s="789">
        <f>+'Phase III Pro Forma'!T54</f>
        <v>0</v>
      </c>
      <c r="U55" s="789">
        <f>+'Phase III Pro Forma'!U54</f>
        <v>0</v>
      </c>
      <c r="V55" s="789">
        <f>+'Phase III Pro Forma'!V54</f>
        <v>0</v>
      </c>
      <c r="W55" s="789">
        <f>+'Phase III Pro Forma'!W54</f>
        <v>0</v>
      </c>
      <c r="X55" s="789">
        <f>+'Phase III Pro Forma'!X54</f>
        <v>0</v>
      </c>
      <c r="Y55" s="789">
        <f>+'Phase III Pro Forma'!Y54</f>
        <v>0</v>
      </c>
      <c r="Z55" s="789">
        <f>+'Phase III Pro Forma'!Z54</f>
        <v>0</v>
      </c>
    </row>
    <row r="56" spans="1:26" collapsed="1" x14ac:dyDescent="0.2">
      <c r="B56" s="32" t="s">
        <v>784</v>
      </c>
      <c r="C56" s="32"/>
      <c r="D56" s="41">
        <v>0</v>
      </c>
      <c r="E56" s="41"/>
      <c r="F56" s="41">
        <f>+D56+F55</f>
        <v>0</v>
      </c>
      <c r="G56" s="41">
        <f t="shared" ref="G56:Z56" si="17">+F56+G55</f>
        <v>0</v>
      </c>
      <c r="H56" s="41">
        <f t="shared" si="17"/>
        <v>0</v>
      </c>
      <c r="I56" s="41">
        <f t="shared" si="17"/>
        <v>35248.5</v>
      </c>
      <c r="J56" s="41">
        <f t="shared" si="17"/>
        <v>70497</v>
      </c>
      <c r="K56" s="41">
        <f t="shared" si="17"/>
        <v>70497</v>
      </c>
      <c r="L56" s="41">
        <f t="shared" si="17"/>
        <v>70497</v>
      </c>
      <c r="M56" s="41">
        <f t="shared" si="17"/>
        <v>70497</v>
      </c>
      <c r="N56" s="41">
        <f t="shared" si="17"/>
        <v>70497</v>
      </c>
      <c r="O56" s="41">
        <f t="shared" si="17"/>
        <v>70497</v>
      </c>
      <c r="P56" s="41">
        <f t="shared" si="17"/>
        <v>70497</v>
      </c>
      <c r="Q56" s="41">
        <f t="shared" si="17"/>
        <v>70497</v>
      </c>
      <c r="R56" s="41">
        <f t="shared" si="17"/>
        <v>70497</v>
      </c>
      <c r="S56" s="41">
        <f t="shared" si="17"/>
        <v>70497</v>
      </c>
      <c r="T56" s="41">
        <f t="shared" si="17"/>
        <v>70497</v>
      </c>
      <c r="U56" s="41">
        <f t="shared" si="17"/>
        <v>70497</v>
      </c>
      <c r="V56" s="41">
        <f t="shared" si="17"/>
        <v>70497</v>
      </c>
      <c r="W56" s="41">
        <f t="shared" si="17"/>
        <v>70497</v>
      </c>
      <c r="X56" s="41">
        <f t="shared" si="17"/>
        <v>70497</v>
      </c>
      <c r="Y56" s="41">
        <f t="shared" si="17"/>
        <v>70497</v>
      </c>
      <c r="Z56" s="41">
        <f t="shared" si="17"/>
        <v>70497</v>
      </c>
    </row>
    <row r="57" spans="1:26" hidden="1" x14ac:dyDescent="0.2">
      <c r="B57" s="788" t="s">
        <v>301</v>
      </c>
      <c r="C57" s="788"/>
      <c r="D57" s="789"/>
      <c r="E57" s="789"/>
      <c r="F57" s="790">
        <f>+'Phase III Pro Forma'!F56</f>
        <v>0</v>
      </c>
      <c r="G57" s="790">
        <f>+'Phase III Pro Forma'!G56</f>
        <v>0</v>
      </c>
      <c r="H57" s="790">
        <f>+'Phase III Pro Forma'!H56</f>
        <v>0</v>
      </c>
      <c r="I57" s="790">
        <f>+'Phase III Pro Forma'!I56</f>
        <v>0.5</v>
      </c>
      <c r="J57" s="790">
        <f>+'Phase III Pro Forma'!J56</f>
        <v>1</v>
      </c>
      <c r="K57" s="790">
        <f>+'Phase III Pro Forma'!K56</f>
        <v>1</v>
      </c>
      <c r="L57" s="790">
        <f>+'Phase III Pro Forma'!L56</f>
        <v>1</v>
      </c>
      <c r="M57" s="790">
        <f>+'Phase III Pro Forma'!M56</f>
        <v>1</v>
      </c>
      <c r="N57" s="790">
        <f>+'Phase III Pro Forma'!N56</f>
        <v>1</v>
      </c>
      <c r="O57" s="790">
        <f>+'Phase III Pro Forma'!O56</f>
        <v>1</v>
      </c>
      <c r="P57" s="790">
        <f>+'Phase III Pro Forma'!P56</f>
        <v>1</v>
      </c>
      <c r="Q57" s="790">
        <f>+'Phase III Pro Forma'!Q56</f>
        <v>1</v>
      </c>
      <c r="R57" s="790">
        <f>+'Phase III Pro Forma'!R56</f>
        <v>1</v>
      </c>
      <c r="S57" s="790">
        <f>+'Phase III Pro Forma'!S56</f>
        <v>1</v>
      </c>
      <c r="T57" s="790">
        <f>+'Phase III Pro Forma'!T56</f>
        <v>1</v>
      </c>
      <c r="U57" s="790">
        <f>+'Phase III Pro Forma'!U56</f>
        <v>1</v>
      </c>
      <c r="V57" s="790">
        <f>+'Phase III Pro Forma'!V56</f>
        <v>1</v>
      </c>
      <c r="W57" s="790">
        <f>+'Phase III Pro Forma'!W56</f>
        <v>1</v>
      </c>
      <c r="X57" s="790">
        <f>+'Phase III Pro Forma'!X56</f>
        <v>1</v>
      </c>
      <c r="Y57" s="790">
        <f>+'Phase III Pro Forma'!Y56</f>
        <v>1</v>
      </c>
      <c r="Z57" s="790">
        <f>+'Phase III Pro Forma'!Z56</f>
        <v>1</v>
      </c>
    </row>
    <row r="58" spans="1:26" ht="5" hidden="1" customHeight="1" x14ac:dyDescent="0.2">
      <c r="B58" s="788"/>
      <c r="C58" s="788"/>
      <c r="D58" s="791"/>
      <c r="E58" s="791"/>
      <c r="F58" s="792"/>
      <c r="G58" s="792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2"/>
    </row>
    <row r="59" spans="1:26" hidden="1" x14ac:dyDescent="0.2">
      <c r="B59" s="788" t="s">
        <v>251</v>
      </c>
      <c r="C59" s="788"/>
      <c r="D59" s="789"/>
      <c r="E59" s="789"/>
      <c r="F59" s="790">
        <f>+'Phase III Pro Forma'!F58</f>
        <v>1</v>
      </c>
      <c r="G59" s="790">
        <f>+'Phase III Pro Forma'!G58</f>
        <v>1</v>
      </c>
      <c r="H59" s="790">
        <f>+'Phase III Pro Forma'!H58</f>
        <v>1</v>
      </c>
      <c r="I59" s="790">
        <f>+'Phase III Pro Forma'!I58</f>
        <v>1</v>
      </c>
      <c r="J59" s="790">
        <f>+'Phase III Pro Forma'!J58</f>
        <v>1</v>
      </c>
      <c r="K59" s="790">
        <f>+'Phase III Pro Forma'!K58</f>
        <v>1</v>
      </c>
      <c r="L59" s="790">
        <f>+'Phase III Pro Forma'!L58</f>
        <v>1.1000000000000001</v>
      </c>
      <c r="M59" s="790">
        <f>+'Phase III Pro Forma'!M58</f>
        <v>1.1000000000000001</v>
      </c>
      <c r="N59" s="790">
        <f>+'Phase III Pro Forma'!N58</f>
        <v>1.1000000000000001</v>
      </c>
      <c r="O59" s="790">
        <f>+'Phase III Pro Forma'!O58</f>
        <v>1.1000000000000001</v>
      </c>
      <c r="P59" s="790">
        <f>+'Phase III Pro Forma'!P58</f>
        <v>1.1000000000000001</v>
      </c>
      <c r="Q59" s="790">
        <f>+'Phase III Pro Forma'!Q58</f>
        <v>1.2100000000000002</v>
      </c>
      <c r="R59" s="790">
        <f>+'Phase III Pro Forma'!R58</f>
        <v>1.2100000000000002</v>
      </c>
      <c r="S59" s="790">
        <f>+'Phase III Pro Forma'!S58</f>
        <v>1.2100000000000002</v>
      </c>
      <c r="T59" s="790">
        <f>+'Phase III Pro Forma'!T58</f>
        <v>1.2100000000000002</v>
      </c>
      <c r="U59" s="790">
        <f>+'Phase III Pro Forma'!U58</f>
        <v>1.2100000000000002</v>
      </c>
      <c r="V59" s="790">
        <f>+'Phase III Pro Forma'!V58</f>
        <v>1.3310000000000004</v>
      </c>
      <c r="W59" s="790">
        <f>+'Phase III Pro Forma'!W58</f>
        <v>1.3310000000000004</v>
      </c>
      <c r="X59" s="790">
        <f>+'Phase III Pro Forma'!X58</f>
        <v>1.3310000000000004</v>
      </c>
      <c r="Y59" s="790">
        <f>+'Phase III Pro Forma'!Y58</f>
        <v>1.3310000000000004</v>
      </c>
      <c r="Z59" s="790">
        <f>+'Phase III Pro Forma'!Z58</f>
        <v>1.3310000000000004</v>
      </c>
    </row>
    <row r="60" spans="1:26" hidden="1" x14ac:dyDescent="0.2">
      <c r="B60" s="788" t="s">
        <v>252</v>
      </c>
      <c r="C60" s="788"/>
      <c r="D60" s="789"/>
      <c r="E60" s="789"/>
      <c r="F60" s="790">
        <f>+'Phase III Pro Forma'!F59</f>
        <v>1</v>
      </c>
      <c r="G60" s="790">
        <f>+'Phase III Pro Forma'!G59</f>
        <v>1.03</v>
      </c>
      <c r="H60" s="790">
        <f>+'Phase III Pro Forma'!H59</f>
        <v>1.0609</v>
      </c>
      <c r="I60" s="790">
        <f>+'Phase III Pro Forma'!I59</f>
        <v>1.092727</v>
      </c>
      <c r="J60" s="790">
        <f>+'Phase III Pro Forma'!J59</f>
        <v>1.1255088100000001</v>
      </c>
      <c r="K60" s="790">
        <f>+'Phase III Pro Forma'!K59</f>
        <v>1.1592740743000001</v>
      </c>
      <c r="L60" s="790">
        <f>+'Phase III Pro Forma'!L59</f>
        <v>1.1940522965290001</v>
      </c>
      <c r="M60" s="790">
        <f>+'Phase III Pro Forma'!M59</f>
        <v>1.2298738654248702</v>
      </c>
      <c r="N60" s="790">
        <f>+'Phase III Pro Forma'!N59</f>
        <v>1.2667700813876164</v>
      </c>
      <c r="O60" s="790">
        <f>+'Phase III Pro Forma'!O59</f>
        <v>1.3047731838292449</v>
      </c>
      <c r="P60" s="790">
        <f>+'Phase III Pro Forma'!P59</f>
        <v>1.3439163793441222</v>
      </c>
      <c r="Q60" s="790">
        <f>+'Phase III Pro Forma'!Q59</f>
        <v>1.3842338707244459</v>
      </c>
      <c r="R60" s="790">
        <f>+'Phase III Pro Forma'!R59</f>
        <v>1.4257608868461793</v>
      </c>
      <c r="S60" s="790">
        <f>+'Phase III Pro Forma'!S59</f>
        <v>1.4685337134515648</v>
      </c>
      <c r="T60" s="790">
        <f>+'Phase III Pro Forma'!T59</f>
        <v>1.5125897248551119</v>
      </c>
      <c r="U60" s="790">
        <f>+'Phase III Pro Forma'!U59</f>
        <v>1.5579674166007653</v>
      </c>
      <c r="V60" s="790">
        <f>+'Phase III Pro Forma'!V59</f>
        <v>1.6047064390987884</v>
      </c>
      <c r="W60" s="790">
        <f>+'Phase III Pro Forma'!W59</f>
        <v>1.652847632271752</v>
      </c>
      <c r="X60" s="790">
        <f>+'Phase III Pro Forma'!X59</f>
        <v>1.7024330612399046</v>
      </c>
      <c r="Y60" s="790">
        <f>+'Phase III Pro Forma'!Y59</f>
        <v>1.7535060530771018</v>
      </c>
      <c r="Z60" s="790">
        <f>+'Phase III Pro Forma'!Z59</f>
        <v>1.806111234669415</v>
      </c>
    </row>
    <row r="61" spans="1:26" ht="5" customHeight="1" x14ac:dyDescent="0.2">
      <c r="B61" s="32"/>
      <c r="C61" s="32"/>
      <c r="D61" s="39"/>
      <c r="E61" s="39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x14ac:dyDescent="0.2">
      <c r="B62" s="32" t="s">
        <v>243</v>
      </c>
      <c r="C62" s="32"/>
      <c r="D62" s="39"/>
      <c r="E62" s="39"/>
      <c r="F62" s="48">
        <f>+'Phase III Pro Forma'!F61/1000000</f>
        <v>0</v>
      </c>
      <c r="G62" s="48">
        <f>+'Phase III Pro Forma'!G61/1000000</f>
        <v>0</v>
      </c>
      <c r="H62" s="48">
        <f>+'Phase III Pro Forma'!H61/1000000</f>
        <v>0</v>
      </c>
      <c r="I62" s="48">
        <f>+'Phase III Pro Forma'!I61/1000000</f>
        <v>0.87754452981047992</v>
      </c>
      <c r="J62" s="48">
        <f>+'Phase III Pro Forma'!J61/1000000</f>
        <v>1.7550890596209598</v>
      </c>
      <c r="K62" s="48">
        <f>+'Phase III Pro Forma'!K61/1000000</f>
        <v>1.7550890596209598</v>
      </c>
      <c r="L62" s="48">
        <f>+'Phase III Pro Forma'!L61/1000000</f>
        <v>1.9305979655830561</v>
      </c>
      <c r="M62" s="48">
        <f>+'Phase III Pro Forma'!M61/1000000</f>
        <v>1.9305979655830561</v>
      </c>
      <c r="N62" s="48">
        <f>+'Phase III Pro Forma'!N61/1000000</f>
        <v>1.9305979655830561</v>
      </c>
      <c r="O62" s="48">
        <f>+'Phase III Pro Forma'!O61/1000000</f>
        <v>1.9305979655830561</v>
      </c>
      <c r="P62" s="48">
        <f>+'Phase III Pro Forma'!P61/1000000</f>
        <v>1.9305979655830561</v>
      </c>
      <c r="Q62" s="48">
        <f>+'Phase III Pro Forma'!Q61/1000000</f>
        <v>2.1236577621413617</v>
      </c>
      <c r="R62" s="48">
        <f>+'Phase III Pro Forma'!R61/1000000</f>
        <v>2.1236577621413617</v>
      </c>
      <c r="S62" s="48">
        <f>+'Phase III Pro Forma'!S61/1000000</f>
        <v>2.1236577621413617</v>
      </c>
      <c r="T62" s="48">
        <f>+'Phase III Pro Forma'!T61/1000000</f>
        <v>2.1236577621413617</v>
      </c>
      <c r="U62" s="48">
        <f>+'Phase III Pro Forma'!U61/1000000</f>
        <v>2.1236577621413617</v>
      </c>
      <c r="V62" s="48">
        <f>+'Phase III Pro Forma'!V61/1000000</f>
        <v>2.3360235383554984</v>
      </c>
      <c r="W62" s="48">
        <f>+'Phase III Pro Forma'!W61/1000000</f>
        <v>2.3360235383554984</v>
      </c>
      <c r="X62" s="48">
        <f>+'Phase III Pro Forma'!X61/1000000</f>
        <v>2.3360235383554984</v>
      </c>
      <c r="Y62" s="48">
        <f>+'Phase III Pro Forma'!Y61/1000000</f>
        <v>2.3360235383554984</v>
      </c>
      <c r="Z62" s="48">
        <f>+'Phase III Pro Forma'!Z61/1000000</f>
        <v>2.3360235383554984</v>
      </c>
    </row>
    <row r="63" spans="1:26" x14ac:dyDescent="0.2">
      <c r="B63" s="32" t="s">
        <v>244</v>
      </c>
      <c r="C63" s="32"/>
      <c r="D63" s="39"/>
      <c r="E63" s="39"/>
      <c r="F63" s="771">
        <f>+'Phase III Pro Forma'!F62/1000000</f>
        <v>0</v>
      </c>
      <c r="G63" s="771">
        <f>+'Phase III Pro Forma'!G62/1000000</f>
        <v>0</v>
      </c>
      <c r="H63" s="771">
        <f>+'Phase III Pro Forma'!H62/1000000</f>
        <v>0</v>
      </c>
      <c r="I63" s="771">
        <f>+'Phase III Pro Forma'!I62/1000000</f>
        <v>-8.7754452981048003E-2</v>
      </c>
      <c r="J63" s="771">
        <f>+'Phase III Pro Forma'!J62/1000000</f>
        <v>-0.17550890596209601</v>
      </c>
      <c r="K63" s="771">
        <f>+'Phase III Pro Forma'!K62/1000000</f>
        <v>-0.17550890596209601</v>
      </c>
      <c r="L63" s="771">
        <f>+'Phase III Pro Forma'!L62/1000000</f>
        <v>-0.19305979655830563</v>
      </c>
      <c r="M63" s="771">
        <f>+'Phase III Pro Forma'!M62/1000000</f>
        <v>-0.19305979655830563</v>
      </c>
      <c r="N63" s="771">
        <f>+'Phase III Pro Forma'!N62/1000000</f>
        <v>-0.19305979655830563</v>
      </c>
      <c r="O63" s="771">
        <f>+'Phase III Pro Forma'!O62/1000000</f>
        <v>-0.19305979655830563</v>
      </c>
      <c r="P63" s="771">
        <f>+'Phase III Pro Forma'!P62/1000000</f>
        <v>-0.19305979655830563</v>
      </c>
      <c r="Q63" s="771">
        <f>+'Phase III Pro Forma'!Q62/1000000</f>
        <v>-0.21236577621413619</v>
      </c>
      <c r="R63" s="771">
        <f>+'Phase III Pro Forma'!R62/1000000</f>
        <v>-0.21236577621413619</v>
      </c>
      <c r="S63" s="771">
        <f>+'Phase III Pro Forma'!S62/1000000</f>
        <v>-0.21236577621413619</v>
      </c>
      <c r="T63" s="771">
        <f>+'Phase III Pro Forma'!T62/1000000</f>
        <v>-0.21236577621413619</v>
      </c>
      <c r="U63" s="771">
        <f>+'Phase III Pro Forma'!U62/1000000</f>
        <v>-0.21236577621413619</v>
      </c>
      <c r="V63" s="771">
        <f>+'Phase III Pro Forma'!V62/1000000</f>
        <v>-0.23360235383554986</v>
      </c>
      <c r="W63" s="771">
        <f>+'Phase III Pro Forma'!W62/1000000</f>
        <v>-0.23360235383554986</v>
      </c>
      <c r="X63" s="771">
        <f>+'Phase III Pro Forma'!X62/1000000</f>
        <v>-0.23360235383554986</v>
      </c>
      <c r="Y63" s="771">
        <f>+'Phase III Pro Forma'!Y62/1000000</f>
        <v>-0.23360235383554986</v>
      </c>
      <c r="Z63" s="771">
        <f>+'Phase III Pro Forma'!Z62/1000000</f>
        <v>-0.23360235383554986</v>
      </c>
    </row>
    <row r="64" spans="1:26" x14ac:dyDescent="0.2">
      <c r="B64" s="32" t="s">
        <v>259</v>
      </c>
      <c r="C64" s="32"/>
      <c r="D64" s="39"/>
      <c r="E64" s="39"/>
      <c r="F64" s="772">
        <f ca="1">+'Phase III Pro Forma'!F63/1000000</f>
        <v>0</v>
      </c>
      <c r="G64" s="772">
        <f ca="1">+'Phase III Pro Forma'!G63/1000000</f>
        <v>0</v>
      </c>
      <c r="H64" s="772">
        <f ca="1">+'Phase III Pro Forma'!H63/1000000</f>
        <v>0</v>
      </c>
      <c r="I64" s="772">
        <f ca="1">+'Phase III Pro Forma'!I63/1000000</f>
        <v>0.46740397590235955</v>
      </c>
      <c r="J64" s="772">
        <f ca="1">+'Phase III Pro Forma'!J63/1000000</f>
        <v>0.95875730613558319</v>
      </c>
      <c r="K64" s="772">
        <f ca="1">+'Phase III Pro Forma'!K63/1000000</f>
        <v>0.97498967959642147</v>
      </c>
      <c r="L64" s="772">
        <f ca="1">+'Phase III Pro Forma'!L63/1000000</f>
        <v>0.99170902426108509</v>
      </c>
      <c r="M64" s="772">
        <f ca="1">+'Phase III Pro Forma'!M63/1000000</f>
        <v>1.0172835130811746</v>
      </c>
      <c r="N64" s="772">
        <f ca="1">+'Phase III Pro Forma'!N63/1000000</f>
        <v>1.0350210658359162</v>
      </c>
      <c r="O64" s="772">
        <f ca="1">+'Phase III Pro Forma'!O63/1000000</f>
        <v>1.0532907451733002</v>
      </c>
      <c r="P64" s="772">
        <f ca="1">+'Phase III Pro Forma'!P63/1000000</f>
        <v>1.0806291499826011</v>
      </c>
      <c r="Q64" s="772">
        <f ca="1">+'Phase III Pro Forma'!Q63/1000000</f>
        <v>1.1000114527916316</v>
      </c>
      <c r="R64" s="772">
        <f ca="1">+'Phase III Pro Forma'!R63/1000000</f>
        <v>1.119975224684933</v>
      </c>
      <c r="S64" s="772">
        <f ca="1">+'Phase III Pro Forma'!S63/1000000</f>
        <v>1.1492289575286652</v>
      </c>
      <c r="T64" s="772">
        <f ca="1">+'Phase III Pro Forma'!T63/1000000</f>
        <v>1.1704085231302688</v>
      </c>
      <c r="U64" s="772">
        <f ca="1">+'Phase III Pro Forma'!U63/1000000</f>
        <v>1.1922234756999204</v>
      </c>
      <c r="V64" s="772">
        <f ca="1">+'Phase III Pro Forma'!V63/1000000</f>
        <v>1.2235577455961659</v>
      </c>
      <c r="W64" s="772">
        <f ca="1">+'Phase III Pro Forma'!W63/1000000</f>
        <v>1.2467012287773094</v>
      </c>
      <c r="X64" s="772">
        <f ca="1">+'Phase III Pro Forma'!X63/1000000</f>
        <v>1.2705390164538868</v>
      </c>
      <c r="Y64" s="772">
        <f ca="1">+'Phase III Pro Forma'!Y63/1000000</f>
        <v>1.3041341038852567</v>
      </c>
      <c r="Z64" s="772">
        <f ca="1">+'Phase III Pro Forma'!Z63/1000000</f>
        <v>1.3294236128313379</v>
      </c>
    </row>
    <row r="65" spans="2:26" x14ac:dyDescent="0.2">
      <c r="B65" s="136" t="s">
        <v>253</v>
      </c>
      <c r="C65" s="136"/>
      <c r="D65" s="136"/>
      <c r="E65" s="136"/>
      <c r="F65" s="773">
        <f t="shared" ref="F65:Z65" ca="1" si="18">+SUM(F62:F64)</f>
        <v>0</v>
      </c>
      <c r="G65" s="773">
        <f t="shared" ca="1" si="18"/>
        <v>0</v>
      </c>
      <c r="H65" s="773">
        <f t="shared" ca="1" si="18"/>
        <v>0</v>
      </c>
      <c r="I65" s="773">
        <f t="shared" ca="1" si="18"/>
        <v>1.2571940527317915</v>
      </c>
      <c r="J65" s="773">
        <f t="shared" ca="1" si="18"/>
        <v>2.5383374597944472</v>
      </c>
      <c r="K65" s="773">
        <f t="shared" ca="1" si="18"/>
        <v>2.5545698332552851</v>
      </c>
      <c r="L65" s="773">
        <f t="shared" ca="1" si="18"/>
        <v>2.7292471932858353</v>
      </c>
      <c r="M65" s="773">
        <f t="shared" ca="1" si="18"/>
        <v>2.7548216821059253</v>
      </c>
      <c r="N65" s="773">
        <f t="shared" ca="1" si="18"/>
        <v>2.7725592348606667</v>
      </c>
      <c r="O65" s="773">
        <f t="shared" ca="1" si="18"/>
        <v>2.7908289141980509</v>
      </c>
      <c r="P65" s="773">
        <f t="shared" ca="1" si="18"/>
        <v>2.8181673190073515</v>
      </c>
      <c r="Q65" s="773">
        <f t="shared" ca="1" si="18"/>
        <v>3.0113034387188571</v>
      </c>
      <c r="R65" s="773">
        <f t="shared" ca="1" si="18"/>
        <v>3.0312672106121585</v>
      </c>
      <c r="S65" s="773">
        <f t="shared" ca="1" si="18"/>
        <v>3.0605209434558907</v>
      </c>
      <c r="T65" s="773">
        <f t="shared" ca="1" si="18"/>
        <v>3.0817005090574945</v>
      </c>
      <c r="U65" s="773">
        <f t="shared" ca="1" si="18"/>
        <v>3.1035154616271461</v>
      </c>
      <c r="V65" s="773">
        <f t="shared" ca="1" si="18"/>
        <v>3.325978930116114</v>
      </c>
      <c r="W65" s="773">
        <f t="shared" ca="1" si="18"/>
        <v>3.3491224132972577</v>
      </c>
      <c r="X65" s="773">
        <f t="shared" ca="1" si="18"/>
        <v>3.3729602009738349</v>
      </c>
      <c r="Y65" s="773">
        <f t="shared" ca="1" si="18"/>
        <v>3.4065552884052051</v>
      </c>
      <c r="Z65" s="773">
        <f t="shared" ca="1" si="18"/>
        <v>3.4318447973512862</v>
      </c>
    </row>
    <row r="66" spans="2:26" ht="5" customHeight="1" x14ac:dyDescent="0.2"/>
    <row r="67" spans="2:26" x14ac:dyDescent="0.2">
      <c r="B67" s="32" t="s">
        <v>389</v>
      </c>
      <c r="F67" s="48">
        <f>+'Phase III Pro Forma'!F66/1000000</f>
        <v>0</v>
      </c>
      <c r="G67" s="48">
        <f>+'Phase III Pro Forma'!G66/1000000</f>
        <v>0</v>
      </c>
      <c r="H67" s="48">
        <f>+'Phase III Pro Forma'!H66/1000000</f>
        <v>0</v>
      </c>
      <c r="I67" s="48">
        <f>+'Phase III Pro Forma'!I66/1000000</f>
        <v>0.2918441830427615</v>
      </c>
      <c r="J67" s="48">
        <f>+'Phase III Pro Forma'!J66/1000000</f>
        <v>0.60119901706808876</v>
      </c>
      <c r="K67" s="48">
        <f>+'Phase III Pro Forma'!K66/1000000</f>
        <v>0.6192349875801314</v>
      </c>
      <c r="L67" s="48">
        <f>+'Phase III Pro Forma'!L66/1000000</f>
        <v>0.63781203720753532</v>
      </c>
      <c r="M67" s="48">
        <f>+'Phase III Pro Forma'!M66/1000000</f>
        <v>0.65694639832376156</v>
      </c>
      <c r="N67" s="48">
        <f>+'Phase III Pro Forma'!N66/1000000</f>
        <v>0.67665479027347442</v>
      </c>
      <c r="O67" s="48">
        <f>+'Phase III Pro Forma'!O66/1000000</f>
        <v>0.69695443398167867</v>
      </c>
      <c r="P67" s="48">
        <f>+'Phase III Pro Forma'!P66/1000000</f>
        <v>0.7178630670011289</v>
      </c>
      <c r="Q67" s="48">
        <f>+'Phase III Pro Forma'!Q66/1000000</f>
        <v>0.73939895901116282</v>
      </c>
      <c r="R67" s="48">
        <f>+'Phase III Pro Forma'!R66/1000000</f>
        <v>0.76158092778149766</v>
      </c>
      <c r="S67" s="48">
        <f>+'Phase III Pro Forma'!S66/1000000</f>
        <v>0.78442835561494273</v>
      </c>
      <c r="T67" s="48">
        <f>+'Phase III Pro Forma'!T66/1000000</f>
        <v>0.80796120628339108</v>
      </c>
      <c r="U67" s="48">
        <f>+'Phase III Pro Forma'!U66/1000000</f>
        <v>0.83220004247189294</v>
      </c>
      <c r="V67" s="48">
        <f>+'Phase III Pro Forma'!V66/1000000</f>
        <v>0.85716604374604977</v>
      </c>
      <c r="W67" s="48">
        <f>+'Phase III Pro Forma'!W66/1000000</f>
        <v>0.88288102505843125</v>
      </c>
      <c r="X67" s="48">
        <f>+'Phase III Pro Forma'!X66/1000000</f>
        <v>0.90936745581018408</v>
      </c>
      <c r="Y67" s="48">
        <f>+'Phase III Pro Forma'!Y66/1000000</f>
        <v>0.93664847948448982</v>
      </c>
      <c r="Z67" s="48">
        <f>+'Phase III Pro Forma'!Z66/1000000</f>
        <v>0.96474793386902447</v>
      </c>
    </row>
    <row r="68" spans="2:26" x14ac:dyDescent="0.2">
      <c r="B68" s="32" t="s">
        <v>325</v>
      </c>
      <c r="F68" s="772">
        <f ca="1">+'Phase III Pro Forma'!F67/1000000</f>
        <v>0</v>
      </c>
      <c r="G68" s="772">
        <f ca="1">+'Phase III Pro Forma'!G67/1000000</f>
        <v>0</v>
      </c>
      <c r="H68" s="772">
        <f ca="1">+'Phase III Pro Forma'!H67/1000000</f>
        <v>0</v>
      </c>
      <c r="I68" s="772">
        <f ca="1">+'Phase III Pro Forma'!I67/1000000</f>
        <v>0.2274935679598602</v>
      </c>
      <c r="J68" s="772">
        <f ca="1">+'Phase III Pro Forma'!J67/1000000</f>
        <v>0.46408687863811487</v>
      </c>
      <c r="K68" s="772">
        <f ca="1">+'Phase III Pro Forma'!K67/1000000</f>
        <v>0.46408687863811487</v>
      </c>
      <c r="L68" s="772">
        <f ca="1">+'Phase III Pro Forma'!L67/1000000</f>
        <v>0.46408687863811487</v>
      </c>
      <c r="M68" s="772">
        <f ca="1">+'Phase III Pro Forma'!M67/1000000</f>
        <v>0.47336861621087706</v>
      </c>
      <c r="N68" s="772">
        <f ca="1">+'Phase III Pro Forma'!N67/1000000</f>
        <v>0.47336861621087706</v>
      </c>
      <c r="O68" s="772">
        <f ca="1">+'Phase III Pro Forma'!O67/1000000</f>
        <v>0.47336861621087706</v>
      </c>
      <c r="P68" s="772">
        <f ca="1">+'Phase III Pro Forma'!P67/1000000</f>
        <v>0.48283598853509474</v>
      </c>
      <c r="Q68" s="772">
        <f ca="1">+'Phase III Pro Forma'!Q67/1000000</f>
        <v>0.48283598853509474</v>
      </c>
      <c r="R68" s="772">
        <f ca="1">+'Phase III Pro Forma'!R67/1000000</f>
        <v>0.48283598853509474</v>
      </c>
      <c r="S68" s="772">
        <f ca="1">+'Phase III Pro Forma'!S67/1000000</f>
        <v>0.49249270830579656</v>
      </c>
      <c r="T68" s="772">
        <f ca="1">+'Phase III Pro Forma'!T67/1000000</f>
        <v>0.49249270830579656</v>
      </c>
      <c r="U68" s="772">
        <f ca="1">+'Phase III Pro Forma'!U67/1000000</f>
        <v>0.49249270830579656</v>
      </c>
      <c r="V68" s="772">
        <f ca="1">+'Phase III Pro Forma'!V67/1000000</f>
        <v>0.50234256247191256</v>
      </c>
      <c r="W68" s="772">
        <f ca="1">+'Phase III Pro Forma'!W67/1000000</f>
        <v>0.50234256247191256</v>
      </c>
      <c r="X68" s="772">
        <f ca="1">+'Phase III Pro Forma'!X67/1000000</f>
        <v>0.50234256247191256</v>
      </c>
      <c r="Y68" s="772">
        <f ca="1">+'Phase III Pro Forma'!Y67/1000000</f>
        <v>0.51238941372135083</v>
      </c>
      <c r="Z68" s="772">
        <f ca="1">+'Phase III Pro Forma'!Z67/1000000</f>
        <v>0.51238941372135083</v>
      </c>
    </row>
    <row r="69" spans="2:26" x14ac:dyDescent="0.2">
      <c r="B69" s="136" t="s">
        <v>249</v>
      </c>
      <c r="C69" s="136"/>
      <c r="D69" s="136"/>
      <c r="E69" s="136"/>
      <c r="F69" s="773">
        <f ca="1">+SUM(F67:F68)</f>
        <v>0</v>
      </c>
      <c r="G69" s="773">
        <f t="shared" ref="G69" ca="1" si="19">+SUM(G67:G68)</f>
        <v>0</v>
      </c>
      <c r="H69" s="773">
        <f t="shared" ref="H69:Z69" ca="1" si="20">+SUM(H67:H68)</f>
        <v>0</v>
      </c>
      <c r="I69" s="773">
        <f t="shared" ca="1" si="20"/>
        <v>0.51933775100262169</v>
      </c>
      <c r="J69" s="773">
        <f t="shared" ca="1" si="20"/>
        <v>1.0652858957062037</v>
      </c>
      <c r="K69" s="773">
        <f t="shared" ca="1" si="20"/>
        <v>1.0833218662182462</v>
      </c>
      <c r="L69" s="773">
        <f t="shared" ca="1" si="20"/>
        <v>1.1018989158456503</v>
      </c>
      <c r="M69" s="773">
        <f t="shared" ca="1" si="20"/>
        <v>1.1303150145346386</v>
      </c>
      <c r="N69" s="773">
        <f t="shared" ca="1" si="20"/>
        <v>1.1500234064843515</v>
      </c>
      <c r="O69" s="773">
        <f t="shared" ca="1" si="20"/>
        <v>1.1703230501925557</v>
      </c>
      <c r="P69" s="773">
        <f t="shared" ca="1" si="20"/>
        <v>1.2006990555362236</v>
      </c>
      <c r="Q69" s="773">
        <f t="shared" ca="1" si="20"/>
        <v>1.2222349475462575</v>
      </c>
      <c r="R69" s="773">
        <f t="shared" ca="1" si="20"/>
        <v>1.2444169163165923</v>
      </c>
      <c r="S69" s="773">
        <f t="shared" ca="1" si="20"/>
        <v>1.2769210639207393</v>
      </c>
      <c r="T69" s="773">
        <f t="shared" ca="1" si="20"/>
        <v>1.3004539145891876</v>
      </c>
      <c r="U69" s="773">
        <f t="shared" ca="1" si="20"/>
        <v>1.3246927507776896</v>
      </c>
      <c r="V69" s="773">
        <f t="shared" ca="1" si="20"/>
        <v>1.3595086062179624</v>
      </c>
      <c r="W69" s="773">
        <f t="shared" ca="1" si="20"/>
        <v>1.3852235875303438</v>
      </c>
      <c r="X69" s="773">
        <f t="shared" ca="1" si="20"/>
        <v>1.4117100182820965</v>
      </c>
      <c r="Y69" s="773">
        <f t="shared" ca="1" si="20"/>
        <v>1.4490378932058405</v>
      </c>
      <c r="Z69" s="773">
        <f t="shared" ca="1" si="20"/>
        <v>1.4771373475903753</v>
      </c>
    </row>
    <row r="70" spans="2:26" ht="5" customHeight="1" x14ac:dyDescent="0.2">
      <c r="B70" s="32"/>
    </row>
    <row r="71" spans="2:26" x14ac:dyDescent="0.2">
      <c r="B71" s="777" t="s">
        <v>248</v>
      </c>
      <c r="C71" s="777"/>
      <c r="D71" s="777"/>
      <c r="E71" s="777"/>
      <c r="F71" s="778">
        <f ca="1">+F65-F69</f>
        <v>0</v>
      </c>
      <c r="G71" s="778">
        <f t="shared" ref="G71:Z71" ca="1" si="21">+G65-G69</f>
        <v>0</v>
      </c>
      <c r="H71" s="778">
        <f t="shared" ca="1" si="21"/>
        <v>0</v>
      </c>
      <c r="I71" s="778">
        <f t="shared" ca="1" si="21"/>
        <v>0.73785630172916983</v>
      </c>
      <c r="J71" s="778">
        <f t="shared" ca="1" si="21"/>
        <v>1.4730515640882436</v>
      </c>
      <c r="K71" s="778">
        <f t="shared" ca="1" si="21"/>
        <v>1.4712479670370389</v>
      </c>
      <c r="L71" s="778">
        <f t="shared" ca="1" si="21"/>
        <v>1.6273482774401851</v>
      </c>
      <c r="M71" s="778">
        <f t="shared" ca="1" si="21"/>
        <v>1.6245066675712867</v>
      </c>
      <c r="N71" s="778">
        <f t="shared" ca="1" si="21"/>
        <v>1.6225358283763152</v>
      </c>
      <c r="O71" s="778">
        <f t="shared" ca="1" si="21"/>
        <v>1.6205058640054952</v>
      </c>
      <c r="P71" s="778">
        <f t="shared" ca="1" si="21"/>
        <v>1.6174682634711279</v>
      </c>
      <c r="Q71" s="778">
        <f t="shared" ca="1" si="21"/>
        <v>1.7890684911725996</v>
      </c>
      <c r="R71" s="778">
        <f t="shared" ca="1" si="21"/>
        <v>1.7868502942955662</v>
      </c>
      <c r="S71" s="778">
        <f t="shared" ca="1" si="21"/>
        <v>1.7835998795351513</v>
      </c>
      <c r="T71" s="778">
        <f t="shared" ca="1" si="21"/>
        <v>1.7812465944683069</v>
      </c>
      <c r="U71" s="778">
        <f t="shared" ca="1" si="21"/>
        <v>1.7788227108494565</v>
      </c>
      <c r="V71" s="778">
        <f t="shared" ca="1" si="21"/>
        <v>1.9664703238981516</v>
      </c>
      <c r="W71" s="778">
        <f t="shared" ca="1" si="21"/>
        <v>1.9638988257669139</v>
      </c>
      <c r="X71" s="778">
        <f t="shared" ca="1" si="21"/>
        <v>1.9612501826917383</v>
      </c>
      <c r="Y71" s="778">
        <f t="shared" ca="1" si="21"/>
        <v>1.9575173951993645</v>
      </c>
      <c r="Z71" s="778">
        <f t="shared" ca="1" si="21"/>
        <v>1.9547074497609109</v>
      </c>
    </row>
    <row r="72" spans="2:26" x14ac:dyDescent="0.2">
      <c r="B72" s="779" t="s">
        <v>254</v>
      </c>
      <c r="C72" s="780"/>
      <c r="D72" s="780"/>
      <c r="E72" s="780"/>
      <c r="F72" s="781" t="str">
        <f ca="1">+IFERROR(F71/F65,"")</f>
        <v/>
      </c>
      <c r="G72" s="781" t="str">
        <f t="shared" ref="G72:Z72" ca="1" si="22">+IFERROR(G71/G65,"")</f>
        <v/>
      </c>
      <c r="H72" s="781" t="str">
        <f t="shared" ca="1" si="22"/>
        <v/>
      </c>
      <c r="I72" s="782">
        <f t="shared" ca="1" si="22"/>
        <v>0.58690724803053407</v>
      </c>
      <c r="J72" s="782">
        <f t="shared" ca="1" si="22"/>
        <v>0.58032140620401595</v>
      </c>
      <c r="K72" s="782">
        <f t="shared" ca="1" si="22"/>
        <v>0.57592787164570458</v>
      </c>
      <c r="L72" s="782">
        <f t="shared" ca="1" si="22"/>
        <v>0.59626269157428868</v>
      </c>
      <c r="M72" s="782">
        <f t="shared" ca="1" si="22"/>
        <v>0.58969576075407959</v>
      </c>
      <c r="N72" s="782">
        <f t="shared" ca="1" si="22"/>
        <v>0.58521232223839381</v>
      </c>
      <c r="O72" s="782">
        <f t="shared" ca="1" si="22"/>
        <v>0.58065396118025747</v>
      </c>
      <c r="P72" s="782">
        <f t="shared" ca="1" si="22"/>
        <v>0.57394330441701802</v>
      </c>
      <c r="Q72" s="782">
        <f t="shared" ca="1" si="22"/>
        <v>0.59411763961381092</v>
      </c>
      <c r="R72" s="782">
        <f t="shared" ca="1" si="22"/>
        <v>0.58947303887957647</v>
      </c>
      <c r="S72" s="782">
        <f t="shared" ca="1" si="22"/>
        <v>0.58277656401891476</v>
      </c>
      <c r="T72" s="782">
        <f t="shared" ca="1" si="22"/>
        <v>0.57800769063476654</v>
      </c>
      <c r="U72" s="782">
        <f t="shared" ca="1" si="22"/>
        <v>0.57316379855147725</v>
      </c>
      <c r="V72" s="782">
        <f t="shared" ca="1" si="22"/>
        <v>0.59124557467641559</v>
      </c>
      <c r="W72" s="782">
        <f t="shared" ca="1" si="22"/>
        <v>0.58639207034341512</v>
      </c>
      <c r="X72" s="782">
        <f t="shared" ca="1" si="22"/>
        <v>0.58146259245083587</v>
      </c>
      <c r="Y72" s="782">
        <f t="shared" ca="1" si="22"/>
        <v>0.57463250394382581</v>
      </c>
      <c r="Z72" s="782">
        <f t="shared" ca="1" si="22"/>
        <v>0.56957921036218284</v>
      </c>
    </row>
    <row r="73" spans="2:26" x14ac:dyDescent="0.2">
      <c r="B73" s="779" t="s">
        <v>188</v>
      </c>
      <c r="C73" s="780"/>
      <c r="D73" s="780"/>
      <c r="E73" s="780"/>
      <c r="F73" s="783">
        <f ca="1">+'Phase III Pro Forma'!F72/1000000</f>
        <v>0</v>
      </c>
      <c r="G73" s="783">
        <f ca="1">+'Phase III Pro Forma'!G72/1000000</f>
        <v>0</v>
      </c>
      <c r="H73" s="783">
        <f ca="1">+'Phase III Pro Forma'!H72/1000000</f>
        <v>0</v>
      </c>
      <c r="I73" s="783">
        <f ca="1">+'Phase III Pro Forma'!I72/1000000</f>
        <v>11.351635411217996</v>
      </c>
      <c r="J73" s="783">
        <f ca="1">+'Phase III Pro Forma'!J72/1000000</f>
        <v>22.662331755203738</v>
      </c>
      <c r="K73" s="783">
        <f ca="1">+'Phase III Pro Forma'!K72/1000000</f>
        <v>22.634584108262139</v>
      </c>
      <c r="L73" s="783">
        <f ca="1">+'Phase III Pro Forma'!L72/1000000</f>
        <v>25.03612734523362</v>
      </c>
      <c r="M73" s="783">
        <f ca="1">+'Phase III Pro Forma'!M72/1000000</f>
        <v>24.992410270327479</v>
      </c>
      <c r="N73" s="783">
        <f ca="1">+'Phase III Pro Forma'!N72/1000000</f>
        <v>24.962089667327923</v>
      </c>
      <c r="O73" s="783">
        <f ca="1">+'Phase III Pro Forma'!O72/1000000</f>
        <v>24.930859446238376</v>
      </c>
      <c r="P73" s="783">
        <f ca="1">+'Phase III Pro Forma'!P72/1000000</f>
        <v>24.884127130325044</v>
      </c>
      <c r="Q73" s="783">
        <f ca="1">+'Phase III Pro Forma'!Q72/1000000</f>
        <v>27.524130633424608</v>
      </c>
      <c r="R73" s="783">
        <f ca="1">+'Phase III Pro Forma'!R72/1000000</f>
        <v>27.490004527624091</v>
      </c>
      <c r="S73" s="783">
        <f ca="1">+'Phase III Pro Forma'!S72/1000000</f>
        <v>27.439998146694638</v>
      </c>
      <c r="T73" s="783">
        <f ca="1">+'Phase III Pro Forma'!T72/1000000</f>
        <v>27.403793761050874</v>
      </c>
      <c r="U73" s="783">
        <f ca="1">+'Phase III Pro Forma'!U72/1000000</f>
        <v>27.366503243837798</v>
      </c>
      <c r="V73" s="783">
        <f ca="1">+'Phase III Pro Forma'!V72/1000000</f>
        <v>30.253389598433124</v>
      </c>
      <c r="W73" s="783">
        <f ca="1">+'Phase III Pro Forma'!W72/1000000</f>
        <v>30.213828088721758</v>
      </c>
      <c r="X73" s="783">
        <f ca="1">+'Phase III Pro Forma'!X72/1000000</f>
        <v>30.173079733719057</v>
      </c>
      <c r="Y73" s="783">
        <f ca="1">+'Phase III Pro Forma'!Y72/1000000</f>
        <v>30.115652233836382</v>
      </c>
      <c r="Z73" s="783">
        <f ca="1">+'Phase III Pro Forma'!Z72/1000000</f>
        <v>30.072422304014022</v>
      </c>
    </row>
    <row r="74" spans="2:26" ht="5" customHeight="1" x14ac:dyDescent="0.2"/>
    <row r="75" spans="2:26" x14ac:dyDescent="0.2">
      <c r="B75" s="147" t="s">
        <v>145</v>
      </c>
      <c r="C75" s="148"/>
      <c r="D75" s="148"/>
      <c r="E75" s="148"/>
      <c r="F75" s="776">
        <f>+F6</f>
        <v>45657</v>
      </c>
      <c r="G75" s="776">
        <f t="shared" ref="G75:Z75" si="23">+G6</f>
        <v>46022</v>
      </c>
      <c r="H75" s="776">
        <f t="shared" si="23"/>
        <v>46387</v>
      </c>
      <c r="I75" s="776">
        <f t="shared" si="23"/>
        <v>46752</v>
      </c>
      <c r="J75" s="776">
        <f t="shared" si="23"/>
        <v>47118</v>
      </c>
      <c r="K75" s="776">
        <f t="shared" si="23"/>
        <v>47483</v>
      </c>
      <c r="L75" s="776">
        <f t="shared" si="23"/>
        <v>47848</v>
      </c>
      <c r="M75" s="776">
        <f t="shared" si="23"/>
        <v>48213</v>
      </c>
      <c r="N75" s="776">
        <f t="shared" si="23"/>
        <v>48579</v>
      </c>
      <c r="O75" s="776">
        <f t="shared" si="23"/>
        <v>48944</v>
      </c>
      <c r="P75" s="776">
        <f t="shared" si="23"/>
        <v>49309</v>
      </c>
      <c r="Q75" s="776">
        <f t="shared" si="23"/>
        <v>49674</v>
      </c>
      <c r="R75" s="776">
        <f t="shared" si="23"/>
        <v>50040</v>
      </c>
      <c r="S75" s="776">
        <f t="shared" si="23"/>
        <v>50405</v>
      </c>
      <c r="T75" s="776">
        <f t="shared" si="23"/>
        <v>50770</v>
      </c>
      <c r="U75" s="776">
        <f t="shared" si="23"/>
        <v>51135</v>
      </c>
      <c r="V75" s="776">
        <f t="shared" si="23"/>
        <v>51501</v>
      </c>
      <c r="W75" s="776">
        <f t="shared" si="23"/>
        <v>51866</v>
      </c>
      <c r="X75" s="776">
        <f t="shared" si="23"/>
        <v>52231</v>
      </c>
      <c r="Y75" s="776">
        <f t="shared" si="23"/>
        <v>52596</v>
      </c>
      <c r="Z75" s="776">
        <f t="shared" si="23"/>
        <v>52962</v>
      </c>
    </row>
    <row r="76" spans="2:26" hidden="1" x14ac:dyDescent="0.2">
      <c r="B76" s="788" t="s">
        <v>756</v>
      </c>
      <c r="C76" s="788"/>
      <c r="D76" s="791"/>
      <c r="E76" s="791"/>
      <c r="F76" s="789">
        <f>+'Phase III Pro Forma'!F75</f>
        <v>0</v>
      </c>
      <c r="G76" s="789">
        <f>+'Phase III Pro Forma'!G75</f>
        <v>0</v>
      </c>
      <c r="H76" s="789">
        <f>+'Phase III Pro Forma'!H75</f>
        <v>0</v>
      </c>
      <c r="I76" s="789">
        <f>+'Phase III Pro Forma'!I75</f>
        <v>39105</v>
      </c>
      <c r="J76" s="789">
        <f>+'Phase III Pro Forma'!J75</f>
        <v>39105</v>
      </c>
      <c r="K76" s="789">
        <f>+'Phase III Pro Forma'!K75</f>
        <v>0</v>
      </c>
      <c r="L76" s="789">
        <f>+'Phase III Pro Forma'!L75</f>
        <v>0</v>
      </c>
      <c r="M76" s="789">
        <f>+'Phase III Pro Forma'!M75</f>
        <v>0</v>
      </c>
      <c r="N76" s="789">
        <f>+'Phase III Pro Forma'!N75</f>
        <v>0</v>
      </c>
      <c r="O76" s="789">
        <f>+'Phase III Pro Forma'!O75</f>
        <v>0</v>
      </c>
      <c r="P76" s="789">
        <f>+'Phase III Pro Forma'!P75</f>
        <v>0</v>
      </c>
      <c r="Q76" s="789">
        <f>+'Phase III Pro Forma'!Q75</f>
        <v>0</v>
      </c>
      <c r="R76" s="789">
        <f>+'Phase III Pro Forma'!R75</f>
        <v>0</v>
      </c>
      <c r="S76" s="789">
        <f>+'Phase III Pro Forma'!S75</f>
        <v>0</v>
      </c>
      <c r="T76" s="789">
        <f>+'Phase III Pro Forma'!T75</f>
        <v>0</v>
      </c>
      <c r="U76" s="789">
        <f>+'Phase III Pro Forma'!U75</f>
        <v>0</v>
      </c>
      <c r="V76" s="789">
        <f>+'Phase III Pro Forma'!V75</f>
        <v>0</v>
      </c>
      <c r="W76" s="789">
        <f>+'Phase III Pro Forma'!W75</f>
        <v>0</v>
      </c>
      <c r="X76" s="789">
        <f>+'Phase III Pro Forma'!X75</f>
        <v>0</v>
      </c>
      <c r="Y76" s="789">
        <f>+'Phase III Pro Forma'!Y75</f>
        <v>0</v>
      </c>
      <c r="Z76" s="789">
        <f>+'Phase III Pro Forma'!Z75</f>
        <v>0</v>
      </c>
    </row>
    <row r="77" spans="2:26" x14ac:dyDescent="0.2">
      <c r="B77" s="32" t="s">
        <v>784</v>
      </c>
      <c r="C77" s="32"/>
      <c r="D77" s="41">
        <v>0</v>
      </c>
      <c r="E77" s="41"/>
      <c r="F77" s="41">
        <f>+D77+F76</f>
        <v>0</v>
      </c>
      <c r="G77" s="41">
        <f t="shared" ref="G77:Z77" si="24">+F77+G76</f>
        <v>0</v>
      </c>
      <c r="H77" s="41">
        <f t="shared" si="24"/>
        <v>0</v>
      </c>
      <c r="I77" s="41">
        <f t="shared" si="24"/>
        <v>39105</v>
      </c>
      <c r="J77" s="41">
        <f t="shared" si="24"/>
        <v>78210</v>
      </c>
      <c r="K77" s="41">
        <f t="shared" si="24"/>
        <v>78210</v>
      </c>
      <c r="L77" s="41">
        <f t="shared" si="24"/>
        <v>78210</v>
      </c>
      <c r="M77" s="41">
        <f t="shared" si="24"/>
        <v>78210</v>
      </c>
      <c r="N77" s="41">
        <f t="shared" si="24"/>
        <v>78210</v>
      </c>
      <c r="O77" s="41">
        <f t="shared" si="24"/>
        <v>78210</v>
      </c>
      <c r="P77" s="41">
        <f t="shared" si="24"/>
        <v>78210</v>
      </c>
      <c r="Q77" s="41">
        <f t="shared" si="24"/>
        <v>78210</v>
      </c>
      <c r="R77" s="41">
        <f t="shared" si="24"/>
        <v>78210</v>
      </c>
      <c r="S77" s="41">
        <f t="shared" si="24"/>
        <v>78210</v>
      </c>
      <c r="T77" s="41">
        <f t="shared" si="24"/>
        <v>78210</v>
      </c>
      <c r="U77" s="41">
        <f t="shared" si="24"/>
        <v>78210</v>
      </c>
      <c r="V77" s="41">
        <f t="shared" si="24"/>
        <v>78210</v>
      </c>
      <c r="W77" s="41">
        <f t="shared" si="24"/>
        <v>78210</v>
      </c>
      <c r="X77" s="41">
        <f t="shared" si="24"/>
        <v>78210</v>
      </c>
      <c r="Y77" s="41">
        <f t="shared" si="24"/>
        <v>78210</v>
      </c>
      <c r="Z77" s="41">
        <f t="shared" si="24"/>
        <v>78210</v>
      </c>
    </row>
    <row r="78" spans="2:26" hidden="1" x14ac:dyDescent="0.2">
      <c r="B78" s="788" t="s">
        <v>301</v>
      </c>
      <c r="C78" s="788"/>
      <c r="D78" s="789"/>
      <c r="E78" s="789"/>
      <c r="F78" s="790">
        <f>+'Phase III Pro Forma'!F77</f>
        <v>0</v>
      </c>
      <c r="G78" s="790">
        <f>+'Phase III Pro Forma'!G77</f>
        <v>0</v>
      </c>
      <c r="H78" s="790">
        <f>+'Phase III Pro Forma'!H77</f>
        <v>0</v>
      </c>
      <c r="I78" s="790">
        <f>+'Phase III Pro Forma'!I77</f>
        <v>0.5</v>
      </c>
      <c r="J78" s="790">
        <f>+'Phase III Pro Forma'!J77</f>
        <v>1</v>
      </c>
      <c r="K78" s="790">
        <f>+'Phase III Pro Forma'!K77</f>
        <v>1</v>
      </c>
      <c r="L78" s="790">
        <f>+'Phase III Pro Forma'!L77</f>
        <v>1</v>
      </c>
      <c r="M78" s="790">
        <f>+'Phase III Pro Forma'!M77</f>
        <v>1</v>
      </c>
      <c r="N78" s="790">
        <f>+'Phase III Pro Forma'!N77</f>
        <v>1</v>
      </c>
      <c r="O78" s="790">
        <f>+'Phase III Pro Forma'!O77</f>
        <v>1</v>
      </c>
      <c r="P78" s="790">
        <f>+'Phase III Pro Forma'!P77</f>
        <v>1</v>
      </c>
      <c r="Q78" s="790">
        <f>+'Phase III Pro Forma'!Q77</f>
        <v>1</v>
      </c>
      <c r="R78" s="790">
        <f>+'Phase III Pro Forma'!R77</f>
        <v>1</v>
      </c>
      <c r="S78" s="790">
        <f>+'Phase III Pro Forma'!S77</f>
        <v>1</v>
      </c>
      <c r="T78" s="790">
        <f>+'Phase III Pro Forma'!T77</f>
        <v>1</v>
      </c>
      <c r="U78" s="790">
        <f>+'Phase III Pro Forma'!U77</f>
        <v>1</v>
      </c>
      <c r="V78" s="790">
        <f>+'Phase III Pro Forma'!V77</f>
        <v>1</v>
      </c>
      <c r="W78" s="790">
        <f>+'Phase III Pro Forma'!W77</f>
        <v>1</v>
      </c>
      <c r="X78" s="790">
        <f>+'Phase III Pro Forma'!X77</f>
        <v>1</v>
      </c>
      <c r="Y78" s="790">
        <f>+'Phase III Pro Forma'!Y77</f>
        <v>1</v>
      </c>
      <c r="Z78" s="790">
        <f>+'Phase III Pro Forma'!Z77</f>
        <v>1</v>
      </c>
    </row>
    <row r="79" spans="2:26" hidden="1" x14ac:dyDescent="0.2">
      <c r="B79" s="788"/>
      <c r="C79" s="788"/>
      <c r="D79" s="791"/>
      <c r="E79" s="791"/>
      <c r="F79" s="792"/>
      <c r="G79" s="792"/>
      <c r="H79" s="792"/>
      <c r="I79" s="792"/>
      <c r="J79" s="792"/>
      <c r="K79" s="792"/>
      <c r="L79" s="792"/>
      <c r="M79" s="792"/>
      <c r="N79" s="792"/>
      <c r="O79" s="792"/>
      <c r="P79" s="792"/>
      <c r="Q79" s="792"/>
      <c r="R79" s="792"/>
      <c r="S79" s="792"/>
      <c r="T79" s="792"/>
      <c r="U79" s="792"/>
      <c r="V79" s="792"/>
      <c r="W79" s="792"/>
      <c r="X79" s="792"/>
      <c r="Y79" s="792"/>
      <c r="Z79" s="792"/>
    </row>
    <row r="80" spans="2:26" hidden="1" x14ac:dyDescent="0.2">
      <c r="B80" s="788" t="s">
        <v>251</v>
      </c>
      <c r="C80" s="788"/>
      <c r="D80" s="789"/>
      <c r="E80" s="789"/>
      <c r="F80" s="790">
        <f>+'Phase III Pro Forma'!F79</f>
        <v>1</v>
      </c>
      <c r="G80" s="790">
        <f>+'Phase III Pro Forma'!G79</f>
        <v>1</v>
      </c>
      <c r="H80" s="790">
        <f>+'Phase III Pro Forma'!H79</f>
        <v>1</v>
      </c>
      <c r="I80" s="790">
        <f>+'Phase III Pro Forma'!I79</f>
        <v>1</v>
      </c>
      <c r="J80" s="790">
        <f>+'Phase III Pro Forma'!J79</f>
        <v>1</v>
      </c>
      <c r="K80" s="790">
        <f>+'Phase III Pro Forma'!K79</f>
        <v>1</v>
      </c>
      <c r="L80" s="790">
        <f>+'Phase III Pro Forma'!L79</f>
        <v>1.05</v>
      </c>
      <c r="M80" s="790">
        <f>+'Phase III Pro Forma'!M79</f>
        <v>1.05</v>
      </c>
      <c r="N80" s="790">
        <f>+'Phase III Pro Forma'!N79</f>
        <v>1.05</v>
      </c>
      <c r="O80" s="790">
        <f>+'Phase III Pro Forma'!O79</f>
        <v>1.05</v>
      </c>
      <c r="P80" s="790">
        <f>+'Phase III Pro Forma'!P79</f>
        <v>1.05</v>
      </c>
      <c r="Q80" s="790">
        <f>+'Phase III Pro Forma'!Q79</f>
        <v>1.1025</v>
      </c>
      <c r="R80" s="790">
        <f>+'Phase III Pro Forma'!R79</f>
        <v>1.1025</v>
      </c>
      <c r="S80" s="790">
        <f>+'Phase III Pro Forma'!S79</f>
        <v>1.1025</v>
      </c>
      <c r="T80" s="790">
        <f>+'Phase III Pro Forma'!T79</f>
        <v>1.1025</v>
      </c>
      <c r="U80" s="790">
        <f>+'Phase III Pro Forma'!U79</f>
        <v>1.1025</v>
      </c>
      <c r="V80" s="790">
        <f>+'Phase III Pro Forma'!V79</f>
        <v>1.1576250000000001</v>
      </c>
      <c r="W80" s="790">
        <f>+'Phase III Pro Forma'!W79</f>
        <v>1.1576250000000001</v>
      </c>
      <c r="X80" s="790">
        <f>+'Phase III Pro Forma'!X79</f>
        <v>1.1576250000000001</v>
      </c>
      <c r="Y80" s="790">
        <f>+'Phase III Pro Forma'!Y79</f>
        <v>1.1576250000000001</v>
      </c>
      <c r="Z80" s="790">
        <f>+'Phase III Pro Forma'!Z79</f>
        <v>1.1576250000000001</v>
      </c>
    </row>
    <row r="81" spans="2:26" hidden="1" x14ac:dyDescent="0.2">
      <c r="B81" s="788" t="s">
        <v>252</v>
      </c>
      <c r="C81" s="788"/>
      <c r="D81" s="789"/>
      <c r="E81" s="789"/>
      <c r="F81" s="790">
        <f>+'Phase III Pro Forma'!F80</f>
        <v>1</v>
      </c>
      <c r="G81" s="790">
        <f>+'Phase III Pro Forma'!G80</f>
        <v>1.03</v>
      </c>
      <c r="H81" s="790">
        <f>+'Phase III Pro Forma'!H80</f>
        <v>1.0609</v>
      </c>
      <c r="I81" s="790">
        <f>+'Phase III Pro Forma'!I80</f>
        <v>1.092727</v>
      </c>
      <c r="J81" s="790">
        <f>+'Phase III Pro Forma'!J80</f>
        <v>1.1255088100000001</v>
      </c>
      <c r="K81" s="790">
        <f>+'Phase III Pro Forma'!K80</f>
        <v>1.1592740743000001</v>
      </c>
      <c r="L81" s="790">
        <f>+'Phase III Pro Forma'!L80</f>
        <v>1.1940522965290001</v>
      </c>
      <c r="M81" s="790">
        <f>+'Phase III Pro Forma'!M80</f>
        <v>1.2298738654248702</v>
      </c>
      <c r="N81" s="790">
        <f>+'Phase III Pro Forma'!N80</f>
        <v>1.2667700813876164</v>
      </c>
      <c r="O81" s="790">
        <f>+'Phase III Pro Forma'!O80</f>
        <v>1.3047731838292449</v>
      </c>
      <c r="P81" s="790">
        <f>+'Phase III Pro Forma'!P80</f>
        <v>1.3439163793441222</v>
      </c>
      <c r="Q81" s="790">
        <f>+'Phase III Pro Forma'!Q80</f>
        <v>1.3842338707244459</v>
      </c>
      <c r="R81" s="790">
        <f>+'Phase III Pro Forma'!R80</f>
        <v>1.4257608868461793</v>
      </c>
      <c r="S81" s="790">
        <f>+'Phase III Pro Forma'!S80</f>
        <v>1.4685337134515648</v>
      </c>
      <c r="T81" s="790">
        <f>+'Phase III Pro Forma'!T80</f>
        <v>1.5125897248551119</v>
      </c>
      <c r="U81" s="790">
        <f>+'Phase III Pro Forma'!U80</f>
        <v>1.5579674166007653</v>
      </c>
      <c r="V81" s="790">
        <f>+'Phase III Pro Forma'!V80</f>
        <v>1.6047064390987884</v>
      </c>
      <c r="W81" s="790">
        <f>+'Phase III Pro Forma'!W80</f>
        <v>1.652847632271752</v>
      </c>
      <c r="X81" s="790">
        <f>+'Phase III Pro Forma'!X80</f>
        <v>1.7024330612399046</v>
      </c>
      <c r="Y81" s="790">
        <f>+'Phase III Pro Forma'!Y80</f>
        <v>1.7535060530771018</v>
      </c>
      <c r="Z81" s="790">
        <f>+'Phase III Pro Forma'!Z80</f>
        <v>1.806111234669415</v>
      </c>
    </row>
    <row r="82" spans="2:26" ht="5" customHeight="1" x14ac:dyDescent="0.2">
      <c r="B82" s="32"/>
      <c r="C82" s="32"/>
      <c r="D82" s="39"/>
      <c r="E82" s="39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 spans="2:26" x14ac:dyDescent="0.2">
      <c r="B83" s="32" t="s">
        <v>243</v>
      </c>
      <c r="C83" s="32"/>
      <c r="D83" s="39"/>
      <c r="E83" s="39"/>
      <c r="F83" s="48">
        <f>+'Phase III Pro Forma'!F82/1000000</f>
        <v>0</v>
      </c>
      <c r="G83" s="48">
        <f>+'Phase III Pro Forma'!G82/1000000</f>
        <v>0</v>
      </c>
      <c r="H83" s="48">
        <f>+'Phase III Pro Forma'!H82/1000000</f>
        <v>0</v>
      </c>
      <c r="I83" s="48">
        <f>+'Phase III Pro Forma'!I82/1000000</f>
        <v>0.39105000000000001</v>
      </c>
      <c r="J83" s="48">
        <f>+'Phase III Pro Forma'!J82/1000000</f>
        <v>0.78210000000000002</v>
      </c>
      <c r="K83" s="48">
        <f>+'Phase III Pro Forma'!K82/1000000</f>
        <v>0.78210000000000002</v>
      </c>
      <c r="L83" s="48">
        <f>+'Phase III Pro Forma'!L82/1000000</f>
        <v>0.82120499999999996</v>
      </c>
      <c r="M83" s="48">
        <f>+'Phase III Pro Forma'!M82/1000000</f>
        <v>0.82120499999999996</v>
      </c>
      <c r="N83" s="48">
        <f>+'Phase III Pro Forma'!N82/1000000</f>
        <v>0.82120499999999996</v>
      </c>
      <c r="O83" s="48">
        <f>+'Phase III Pro Forma'!O82/1000000</f>
        <v>0.82120499999999996</v>
      </c>
      <c r="P83" s="48">
        <f>+'Phase III Pro Forma'!P82/1000000</f>
        <v>0.82120499999999996</v>
      </c>
      <c r="Q83" s="48">
        <f>+'Phase III Pro Forma'!Q82/1000000</f>
        <v>0.86226524999999998</v>
      </c>
      <c r="R83" s="48">
        <f>+'Phase III Pro Forma'!R82/1000000</f>
        <v>0.86226524999999998</v>
      </c>
      <c r="S83" s="48">
        <f>+'Phase III Pro Forma'!S82/1000000</f>
        <v>0.86226524999999998</v>
      </c>
      <c r="T83" s="48">
        <f>+'Phase III Pro Forma'!T82/1000000</f>
        <v>0.86226524999999998</v>
      </c>
      <c r="U83" s="48">
        <f>+'Phase III Pro Forma'!U82/1000000</f>
        <v>0.86226524999999998</v>
      </c>
      <c r="V83" s="48">
        <f>+'Phase III Pro Forma'!V82/1000000</f>
        <v>0.90537851250000012</v>
      </c>
      <c r="W83" s="48">
        <f>+'Phase III Pro Forma'!W82/1000000</f>
        <v>0.90537851250000012</v>
      </c>
      <c r="X83" s="48">
        <f>+'Phase III Pro Forma'!X82/1000000</f>
        <v>0.90537851250000012</v>
      </c>
      <c r="Y83" s="48">
        <f>+'Phase III Pro Forma'!Y82/1000000</f>
        <v>0.90537851250000012</v>
      </c>
      <c r="Z83" s="48">
        <f>+'Phase III Pro Forma'!Z82/1000000</f>
        <v>0.90537851250000012</v>
      </c>
    </row>
    <row r="84" spans="2:26" x14ac:dyDescent="0.2">
      <c r="B84" s="32" t="s">
        <v>244</v>
      </c>
      <c r="C84" s="32"/>
      <c r="D84" s="39"/>
      <c r="E84" s="39"/>
      <c r="F84" s="771">
        <f>+'Phase III Pro Forma'!F83/1000000</f>
        <v>0</v>
      </c>
      <c r="G84" s="771">
        <f>+'Phase III Pro Forma'!G83/1000000</f>
        <v>0</v>
      </c>
      <c r="H84" s="771">
        <f>+'Phase III Pro Forma'!H83/1000000</f>
        <v>0</v>
      </c>
      <c r="I84" s="771">
        <f>+'Phase III Pro Forma'!I83/1000000</f>
        <v>-1.95525E-2</v>
      </c>
      <c r="J84" s="771">
        <f>+'Phase III Pro Forma'!J83/1000000</f>
        <v>-3.9105000000000001E-2</v>
      </c>
      <c r="K84" s="771">
        <f>+'Phase III Pro Forma'!K83/1000000</f>
        <v>-3.9105000000000001E-2</v>
      </c>
      <c r="L84" s="771">
        <f>+'Phase III Pro Forma'!L83/1000000</f>
        <v>-4.106025E-2</v>
      </c>
      <c r="M84" s="771">
        <f>+'Phase III Pro Forma'!M83/1000000</f>
        <v>-4.106025E-2</v>
      </c>
      <c r="N84" s="771">
        <f>+'Phase III Pro Forma'!N83/1000000</f>
        <v>-4.106025E-2</v>
      </c>
      <c r="O84" s="771">
        <f>+'Phase III Pro Forma'!O83/1000000</f>
        <v>-4.106025E-2</v>
      </c>
      <c r="P84" s="771">
        <f>+'Phase III Pro Forma'!P83/1000000</f>
        <v>-4.106025E-2</v>
      </c>
      <c r="Q84" s="771">
        <f>+'Phase III Pro Forma'!Q83/1000000</f>
        <v>-4.3113262500000006E-2</v>
      </c>
      <c r="R84" s="771">
        <f>+'Phase III Pro Forma'!R83/1000000</f>
        <v>-4.3113262500000006E-2</v>
      </c>
      <c r="S84" s="771">
        <f>+'Phase III Pro Forma'!S83/1000000</f>
        <v>-4.3113262500000006E-2</v>
      </c>
      <c r="T84" s="771">
        <f>+'Phase III Pro Forma'!T83/1000000</f>
        <v>-4.3113262500000006E-2</v>
      </c>
      <c r="U84" s="771">
        <f>+'Phase III Pro Forma'!U83/1000000</f>
        <v>-4.3113262500000006E-2</v>
      </c>
      <c r="V84" s="771">
        <f>+'Phase III Pro Forma'!V83/1000000</f>
        <v>-4.5268925625000005E-2</v>
      </c>
      <c r="W84" s="771">
        <f>+'Phase III Pro Forma'!W83/1000000</f>
        <v>-4.5268925625000005E-2</v>
      </c>
      <c r="X84" s="771">
        <f>+'Phase III Pro Forma'!X83/1000000</f>
        <v>-4.5268925625000005E-2</v>
      </c>
      <c r="Y84" s="771">
        <f>+'Phase III Pro Forma'!Y83/1000000</f>
        <v>-4.5268925625000005E-2</v>
      </c>
      <c r="Z84" s="771">
        <f>+'Phase III Pro Forma'!Z83/1000000</f>
        <v>-4.5268925625000005E-2</v>
      </c>
    </row>
    <row r="85" spans="2:26" x14ac:dyDescent="0.2">
      <c r="B85" s="32" t="s">
        <v>259</v>
      </c>
      <c r="C85" s="32"/>
      <c r="D85" s="39"/>
      <c r="E85" s="39"/>
      <c r="F85" s="772">
        <f ca="1">+'Phase III Pro Forma'!F84/1000000</f>
        <v>0</v>
      </c>
      <c r="G85" s="772">
        <f ca="1">+'Phase III Pro Forma'!G84/1000000</f>
        <v>0</v>
      </c>
      <c r="H85" s="772">
        <f ca="1">+'Phase III Pro Forma'!H84/1000000</f>
        <v>0</v>
      </c>
      <c r="I85" s="772">
        <f ca="1">+'Phase III Pro Forma'!I84/1000000</f>
        <v>0.43866107397351328</v>
      </c>
      <c r="J85" s="772">
        <f ca="1">+'Phase III Pro Forma'!J84/1000000</f>
        <v>0.90134408165189228</v>
      </c>
      <c r="K85" s="772">
        <f ca="1">+'Phase III Pro Forma'!K84/1000000</f>
        <v>0.92135334805680102</v>
      </c>
      <c r="L85" s="772">
        <f ca="1">+'Phase III Pro Forma'!L84/1000000</f>
        <v>0.94196289245385723</v>
      </c>
      <c r="M85" s="772">
        <f ca="1">+'Phase III Pro Forma'!M84/1000000</f>
        <v>0.96787809387925694</v>
      </c>
      <c r="N85" s="772">
        <f ca="1">+'Phase III Pro Forma'!N84/1000000</f>
        <v>0.98974275953009372</v>
      </c>
      <c r="O85" s="772">
        <f ca="1">+'Phase III Pro Forma'!O84/1000000</f>
        <v>1.0122633651504558</v>
      </c>
      <c r="P85" s="772">
        <f ca="1">+'Phase III Pro Forma'!P84/1000000</f>
        <v>1.040240707049789</v>
      </c>
      <c r="Q85" s="772">
        <f ca="1">+'Phase III Pro Forma'!Q84/1000000</f>
        <v>1.0641328175524309</v>
      </c>
      <c r="R85" s="772">
        <f ca="1">+'Phase III Pro Forma'!R84/1000000</f>
        <v>1.0887416913701522</v>
      </c>
      <c r="S85" s="772">
        <f ca="1">+'Phase III Pro Forma'!S84/1000000</f>
        <v>1.1189655718749729</v>
      </c>
      <c r="T85" s="772">
        <f ca="1">+'Phase III Pro Forma'!T84/1000000</f>
        <v>1.1450731261081932</v>
      </c>
      <c r="U85" s="772">
        <f ca="1">+'Phase III Pro Forma'!U84/1000000</f>
        <v>1.1719639069684105</v>
      </c>
      <c r="V85" s="772">
        <f ca="1">+'Phase III Pro Forma'!V84/1000000</f>
        <v>1.2046356865364534</v>
      </c>
      <c r="W85" s="772">
        <f ca="1">+'Phase III Pro Forma'!W84/1000000</f>
        <v>1.2331641159510576</v>
      </c>
      <c r="X85" s="772">
        <f ca="1">+'Phase III Pro Forma'!X84/1000000</f>
        <v>1.2625483982481001</v>
      </c>
      <c r="Y85" s="772">
        <f ca="1">+'Phase III Pro Forma'!Y84/1000000</f>
        <v>1.2978879698017132</v>
      </c>
      <c r="Z85" s="772">
        <f ca="1">+'Phase III Pro Forma'!Z84/1000000</f>
        <v>1.3290617548906456</v>
      </c>
    </row>
    <row r="86" spans="2:26" x14ac:dyDescent="0.2">
      <c r="B86" s="136" t="s">
        <v>253</v>
      </c>
      <c r="C86" s="136"/>
      <c r="D86" s="136"/>
      <c r="E86" s="136"/>
      <c r="F86" s="773">
        <f ca="1">+'Phase III Pro Forma'!F85/1000000</f>
        <v>0</v>
      </c>
      <c r="G86" s="773">
        <f ca="1">+'Phase III Pro Forma'!G85/1000000</f>
        <v>0</v>
      </c>
      <c r="H86" s="773">
        <f ca="1">+'Phase III Pro Forma'!H85/1000000</f>
        <v>0</v>
      </c>
      <c r="I86" s="773">
        <f ca="1">+'Phase III Pro Forma'!I85/1000000</f>
        <v>0.81015857397351321</v>
      </c>
      <c r="J86" s="773">
        <f ca="1">+'Phase III Pro Forma'!J85/1000000</f>
        <v>1.6443390816518924</v>
      </c>
      <c r="K86" s="773">
        <f ca="1">+'Phase III Pro Forma'!K85/1000000</f>
        <v>1.6643483480568011</v>
      </c>
      <c r="L86" s="773">
        <f ca="1">+'Phase III Pro Forma'!L85/1000000</f>
        <v>1.7221076424538573</v>
      </c>
      <c r="M86" s="773">
        <f ca="1">+'Phase III Pro Forma'!M85/1000000</f>
        <v>1.7480228438792569</v>
      </c>
      <c r="N86" s="773">
        <f ca="1">+'Phase III Pro Forma'!N85/1000000</f>
        <v>1.7698875095300937</v>
      </c>
      <c r="O86" s="773">
        <f ca="1">+'Phase III Pro Forma'!O85/1000000</f>
        <v>1.7924081151504558</v>
      </c>
      <c r="P86" s="773">
        <f ca="1">+'Phase III Pro Forma'!P85/1000000</f>
        <v>1.8203854570497888</v>
      </c>
      <c r="Q86" s="773">
        <f ca="1">+'Phase III Pro Forma'!Q85/1000000</f>
        <v>1.8832848050524311</v>
      </c>
      <c r="R86" s="773">
        <f ca="1">+'Phase III Pro Forma'!R85/1000000</f>
        <v>1.9078936788701522</v>
      </c>
      <c r="S86" s="773">
        <f ca="1">+'Phase III Pro Forma'!S85/1000000</f>
        <v>1.9381175593749729</v>
      </c>
      <c r="T86" s="773">
        <f ca="1">+'Phase III Pro Forma'!T85/1000000</f>
        <v>1.9642251136081934</v>
      </c>
      <c r="U86" s="773">
        <f ca="1">+'Phase III Pro Forma'!U85/1000000</f>
        <v>1.9911158944684104</v>
      </c>
      <c r="V86" s="773">
        <f ca="1">+'Phase III Pro Forma'!V85/1000000</f>
        <v>2.0647452734114533</v>
      </c>
      <c r="W86" s="773">
        <f ca="1">+'Phase III Pro Forma'!W85/1000000</f>
        <v>2.0932737028260577</v>
      </c>
      <c r="X86" s="773">
        <f ca="1">+'Phase III Pro Forma'!X85/1000000</f>
        <v>2.1226579851230998</v>
      </c>
      <c r="Y86" s="773">
        <f ca="1">+'Phase III Pro Forma'!Y85/1000000</f>
        <v>2.1579975566767131</v>
      </c>
      <c r="Z86" s="773">
        <f ca="1">+'Phase III Pro Forma'!Z85/1000000</f>
        <v>2.189171341765646</v>
      </c>
    </row>
    <row r="87" spans="2:26" ht="5" customHeight="1" x14ac:dyDescent="0.2"/>
    <row r="88" spans="2:26" x14ac:dyDescent="0.2">
      <c r="B88" s="32" t="s">
        <v>389</v>
      </c>
      <c r="F88" s="48">
        <f>+'Phase III Pro Forma'!F87/1000000</f>
        <v>0</v>
      </c>
      <c r="G88" s="48">
        <f>+'Phase III Pro Forma'!G87/1000000</f>
        <v>0</v>
      </c>
      <c r="H88" s="48">
        <f>+'Phase III Pro Forma'!H87/1000000</f>
        <v>0</v>
      </c>
      <c r="I88" s="48">
        <f>+'Phase III Pro Forma'!I87/1000000</f>
        <v>0.32377453729625916</v>
      </c>
      <c r="J88" s="48">
        <f>+'Phase III Pro Forma'!J87/1000000</f>
        <v>0.66697554683029381</v>
      </c>
      <c r="K88" s="48">
        <f>+'Phase III Pro Forma'!K87/1000000</f>
        <v>0.68698481323520255</v>
      </c>
      <c r="L88" s="48">
        <f>+'Phase III Pro Forma'!L87/1000000</f>
        <v>0.70759435763225875</v>
      </c>
      <c r="M88" s="48">
        <f>+'Phase III Pro Forma'!M87/1000000</f>
        <v>0.72882218836122659</v>
      </c>
      <c r="N88" s="48">
        <f>+'Phase III Pro Forma'!N87/1000000</f>
        <v>0.75068685401206336</v>
      </c>
      <c r="O88" s="48">
        <f>+'Phase III Pro Forma'!O87/1000000</f>
        <v>0.77320745963242532</v>
      </c>
      <c r="P88" s="48">
        <f>+'Phase III Pro Forma'!P87/1000000</f>
        <v>0.796403683421398</v>
      </c>
      <c r="Q88" s="48">
        <f>+'Phase III Pro Forma'!Q87/1000000</f>
        <v>0.82029579392404006</v>
      </c>
      <c r="R88" s="48">
        <f>+'Phase III Pro Forma'!R87/1000000</f>
        <v>0.84490466774176121</v>
      </c>
      <c r="S88" s="48">
        <f>+'Phase III Pro Forma'!S87/1000000</f>
        <v>0.87025180777401412</v>
      </c>
      <c r="T88" s="48">
        <f>+'Phase III Pro Forma'!T87/1000000</f>
        <v>0.89635936200723465</v>
      </c>
      <c r="U88" s="48">
        <f>+'Phase III Pro Forma'!U87/1000000</f>
        <v>0.92325014286745166</v>
      </c>
      <c r="V88" s="48">
        <f>+'Phase III Pro Forma'!V87/1000000</f>
        <v>0.95094764715347535</v>
      </c>
      <c r="W88" s="48">
        <f>+'Phase III Pro Forma'!W87/1000000</f>
        <v>0.97947607656807956</v>
      </c>
      <c r="X88" s="48">
        <f>+'Phase III Pro Forma'!X87/1000000</f>
        <v>1.0088603588651219</v>
      </c>
      <c r="Y88" s="48">
        <f>+'Phase III Pro Forma'!Y87/1000000</f>
        <v>1.0391261696310756</v>
      </c>
      <c r="Z88" s="48">
        <f>+'Phase III Pro Forma'!Z87/1000000</f>
        <v>1.0702999547200081</v>
      </c>
    </row>
    <row r="89" spans="2:26" x14ac:dyDescent="0.2">
      <c r="B89" s="32" t="s">
        <v>325</v>
      </c>
      <c r="F89" s="772">
        <f ca="1">+'Phase III Pro Forma'!F88/1000000</f>
        <v>0</v>
      </c>
      <c r="G89" s="772">
        <f ca="1">+'Phase III Pro Forma'!G88/1000000</f>
        <v>0</v>
      </c>
      <c r="H89" s="772">
        <f ca="1">+'Phase III Pro Forma'!H88/1000000</f>
        <v>0</v>
      </c>
      <c r="I89" s="772">
        <f ca="1">+'Phase III Pro Forma'!I88/1000000</f>
        <v>0.11488653667725403</v>
      </c>
      <c r="J89" s="772">
        <f ca="1">+'Phase III Pro Forma'!J88/1000000</f>
        <v>0.23436853482159825</v>
      </c>
      <c r="K89" s="772">
        <f ca="1">+'Phase III Pro Forma'!K88/1000000</f>
        <v>0.23436853482159825</v>
      </c>
      <c r="L89" s="772">
        <f ca="1">+'Phase III Pro Forma'!L88/1000000</f>
        <v>0.23436853482159825</v>
      </c>
      <c r="M89" s="772">
        <f ca="1">+'Phase III Pro Forma'!M88/1000000</f>
        <v>0.23905590551803016</v>
      </c>
      <c r="N89" s="772">
        <f ca="1">+'Phase III Pro Forma'!N88/1000000</f>
        <v>0.23905590551803016</v>
      </c>
      <c r="O89" s="772">
        <f ca="1">+'Phase III Pro Forma'!O88/1000000</f>
        <v>0.23905590551803016</v>
      </c>
      <c r="P89" s="772">
        <f ca="1">+'Phase III Pro Forma'!P88/1000000</f>
        <v>0.2438370236283908</v>
      </c>
      <c r="Q89" s="772">
        <f ca="1">+'Phase III Pro Forma'!Q88/1000000</f>
        <v>0.2438370236283908</v>
      </c>
      <c r="R89" s="772">
        <f ca="1">+'Phase III Pro Forma'!R88/1000000</f>
        <v>0.2438370236283908</v>
      </c>
      <c r="S89" s="772">
        <f ca="1">+'Phase III Pro Forma'!S88/1000000</f>
        <v>0.24871376410095863</v>
      </c>
      <c r="T89" s="772">
        <f ca="1">+'Phase III Pro Forma'!T88/1000000</f>
        <v>0.24871376410095863</v>
      </c>
      <c r="U89" s="772">
        <f ca="1">+'Phase III Pro Forma'!U88/1000000</f>
        <v>0.24871376410095863</v>
      </c>
      <c r="V89" s="772">
        <f ca="1">+'Phase III Pro Forma'!V88/1000000</f>
        <v>0.25368803938297785</v>
      </c>
      <c r="W89" s="772">
        <f ca="1">+'Phase III Pro Forma'!W88/1000000</f>
        <v>0.25368803938297785</v>
      </c>
      <c r="X89" s="772">
        <f ca="1">+'Phase III Pro Forma'!X88/1000000</f>
        <v>0.25368803938297785</v>
      </c>
      <c r="Y89" s="772">
        <f ca="1">+'Phase III Pro Forma'!Y88/1000000</f>
        <v>0.25876180017063738</v>
      </c>
      <c r="Z89" s="772">
        <f ca="1">+'Phase III Pro Forma'!Z88/1000000</f>
        <v>0.25876180017063738</v>
      </c>
    </row>
    <row r="90" spans="2:26" x14ac:dyDescent="0.2">
      <c r="B90" s="136" t="s">
        <v>249</v>
      </c>
      <c r="C90" s="136"/>
      <c r="D90" s="136"/>
      <c r="E90" s="136"/>
      <c r="F90" s="773">
        <f ca="1">+'Phase III Pro Forma'!F89/1000000</f>
        <v>0</v>
      </c>
      <c r="G90" s="773">
        <f ca="1">+'Phase III Pro Forma'!G89/1000000</f>
        <v>0</v>
      </c>
      <c r="H90" s="773">
        <f ca="1">+'Phase III Pro Forma'!H89/1000000</f>
        <v>0</v>
      </c>
      <c r="I90" s="773">
        <f ca="1">+'Phase III Pro Forma'!I89/1000000</f>
        <v>0.43866107397351317</v>
      </c>
      <c r="J90" s="773">
        <f ca="1">+'Phase III Pro Forma'!J89/1000000</f>
        <v>0.90134408165189206</v>
      </c>
      <c r="K90" s="773">
        <f ca="1">+'Phase III Pro Forma'!K89/1000000</f>
        <v>0.9213533480568008</v>
      </c>
      <c r="L90" s="773">
        <f ca="1">+'Phase III Pro Forma'!L89/1000000</f>
        <v>0.941962892453857</v>
      </c>
      <c r="M90" s="773">
        <f ca="1">+'Phase III Pro Forma'!M89/1000000</f>
        <v>0.96787809387925672</v>
      </c>
      <c r="N90" s="773">
        <f ca="1">+'Phase III Pro Forma'!N89/1000000</f>
        <v>0.9897427595300935</v>
      </c>
      <c r="O90" s="773">
        <f ca="1">+'Phase III Pro Forma'!O89/1000000</f>
        <v>1.0122633651504556</v>
      </c>
      <c r="P90" s="773">
        <f ca="1">+'Phase III Pro Forma'!P89/1000000</f>
        <v>1.040240707049789</v>
      </c>
      <c r="Q90" s="773">
        <f ca="1">+'Phase III Pro Forma'!Q89/1000000</f>
        <v>1.0641328175524307</v>
      </c>
      <c r="R90" s="773">
        <f ca="1">+'Phase III Pro Forma'!R89/1000000</f>
        <v>1.088741691370152</v>
      </c>
      <c r="S90" s="773">
        <f ca="1">+'Phase III Pro Forma'!S89/1000000</f>
        <v>1.1189655718749727</v>
      </c>
      <c r="T90" s="773">
        <f ca="1">+'Phase III Pro Forma'!T89/1000000</f>
        <v>1.1450731261081932</v>
      </c>
      <c r="U90" s="773">
        <f ca="1">+'Phase III Pro Forma'!U89/1000000</f>
        <v>1.1719639069684105</v>
      </c>
      <c r="V90" s="773">
        <f ca="1">+'Phase III Pro Forma'!V89/1000000</f>
        <v>1.2046356865364531</v>
      </c>
      <c r="W90" s="773">
        <f ca="1">+'Phase III Pro Forma'!W89/1000000</f>
        <v>1.2331641159510573</v>
      </c>
      <c r="X90" s="773">
        <f ca="1">+'Phase III Pro Forma'!X89/1000000</f>
        <v>1.2625483982480996</v>
      </c>
      <c r="Y90" s="773">
        <f ca="1">+'Phase III Pro Forma'!Y89/1000000</f>
        <v>1.2978879698017129</v>
      </c>
      <c r="Z90" s="773">
        <f ca="1">+'Phase III Pro Forma'!Z89/1000000</f>
        <v>1.3290617548906454</v>
      </c>
    </row>
    <row r="91" spans="2:26" ht="5" customHeight="1" x14ac:dyDescent="0.2">
      <c r="B91" s="32"/>
    </row>
    <row r="92" spans="2:26" x14ac:dyDescent="0.2">
      <c r="B92" s="777" t="s">
        <v>248</v>
      </c>
      <c r="C92" s="777"/>
      <c r="D92" s="777"/>
      <c r="E92" s="777"/>
      <c r="F92" s="778">
        <f ca="1">+F86-F90</f>
        <v>0</v>
      </c>
      <c r="G92" s="778">
        <f t="shared" ref="G92:Z92" ca="1" si="25">+G86-G90</f>
        <v>0</v>
      </c>
      <c r="H92" s="778">
        <f t="shared" ca="1" si="25"/>
        <v>0</v>
      </c>
      <c r="I92" s="778">
        <f t="shared" ca="1" si="25"/>
        <v>0.37149750000000004</v>
      </c>
      <c r="J92" s="778">
        <f t="shared" ca="1" si="25"/>
        <v>0.74299500000000029</v>
      </c>
      <c r="K92" s="778">
        <f t="shared" ca="1" si="25"/>
        <v>0.74299500000000029</v>
      </c>
      <c r="L92" s="778">
        <f t="shared" ca="1" si="25"/>
        <v>0.78014475000000028</v>
      </c>
      <c r="M92" s="778">
        <f t="shared" ca="1" si="25"/>
        <v>0.78014475000000016</v>
      </c>
      <c r="N92" s="778">
        <f t="shared" ca="1" si="25"/>
        <v>0.78014475000000016</v>
      </c>
      <c r="O92" s="778">
        <f t="shared" ca="1" si="25"/>
        <v>0.78014475000000028</v>
      </c>
      <c r="P92" s="778">
        <f t="shared" ca="1" si="25"/>
        <v>0.78014474999999983</v>
      </c>
      <c r="Q92" s="778">
        <f t="shared" ca="1" si="25"/>
        <v>0.8191519875000004</v>
      </c>
      <c r="R92" s="778">
        <f t="shared" ca="1" si="25"/>
        <v>0.81915198750000018</v>
      </c>
      <c r="S92" s="778">
        <f t="shared" ca="1" si="25"/>
        <v>0.81915198750000018</v>
      </c>
      <c r="T92" s="778">
        <f t="shared" ca="1" si="25"/>
        <v>0.81915198750000018</v>
      </c>
      <c r="U92" s="778">
        <f t="shared" ca="1" si="25"/>
        <v>0.81915198749999996</v>
      </c>
      <c r="V92" s="778">
        <f t="shared" ca="1" si="25"/>
        <v>0.86010958687500016</v>
      </c>
      <c r="W92" s="778">
        <f t="shared" ca="1" si="25"/>
        <v>0.86010958687500039</v>
      </c>
      <c r="X92" s="778">
        <f t="shared" ca="1" si="25"/>
        <v>0.86010958687500016</v>
      </c>
      <c r="Y92" s="778">
        <f t="shared" ca="1" si="25"/>
        <v>0.86010958687500016</v>
      </c>
      <c r="Z92" s="778">
        <f t="shared" ca="1" si="25"/>
        <v>0.86010958687500061</v>
      </c>
    </row>
    <row r="93" spans="2:26" x14ac:dyDescent="0.2">
      <c r="B93" s="779" t="s">
        <v>254</v>
      </c>
      <c r="C93" s="780"/>
      <c r="D93" s="780"/>
      <c r="E93" s="780"/>
      <c r="F93" s="781" t="str">
        <f ca="1">+IFERROR(F92/F86,"")</f>
        <v/>
      </c>
      <c r="G93" s="781" t="str">
        <f t="shared" ref="G93:Z93" ca="1" si="26">+IFERROR(G92/G86,"")</f>
        <v/>
      </c>
      <c r="H93" s="781" t="str">
        <f t="shared" ca="1" si="26"/>
        <v/>
      </c>
      <c r="I93" s="782">
        <f t="shared" ca="1" si="26"/>
        <v>0.45854911857310732</v>
      </c>
      <c r="J93" s="782">
        <f t="shared" ca="1" si="26"/>
        <v>0.45185023471776414</v>
      </c>
      <c r="K93" s="782">
        <f t="shared" ca="1" si="26"/>
        <v>0.44641796344345774</v>
      </c>
      <c r="L93" s="782">
        <f t="shared" ca="1" si="26"/>
        <v>0.45301741352727531</v>
      </c>
      <c r="M93" s="782">
        <f t="shared" ca="1" si="26"/>
        <v>0.44630123269366606</v>
      </c>
      <c r="N93" s="782">
        <f t="shared" ca="1" si="26"/>
        <v>0.44078775956056615</v>
      </c>
      <c r="O93" s="782">
        <f t="shared" ca="1" si="26"/>
        <v>0.43524950785804406</v>
      </c>
      <c r="P93" s="782">
        <f t="shared" ca="1" si="26"/>
        <v>0.42856019695100339</v>
      </c>
      <c r="Q93" s="782">
        <f t="shared" ca="1" si="26"/>
        <v>0.43495916565694109</v>
      </c>
      <c r="R93" s="782">
        <f t="shared" ca="1" si="26"/>
        <v>0.42934886601495481</v>
      </c>
      <c r="S93" s="782">
        <f t="shared" ca="1" si="26"/>
        <v>0.42265340589771555</v>
      </c>
      <c r="T93" s="782">
        <f t="shared" ca="1" si="26"/>
        <v>0.41703569607419116</v>
      </c>
      <c r="U93" s="782">
        <f t="shared" ca="1" si="26"/>
        <v>0.41140346967030655</v>
      </c>
      <c r="V93" s="782">
        <f t="shared" ca="1" si="26"/>
        <v>0.4165693453574994</v>
      </c>
      <c r="W93" s="782">
        <f t="shared" ca="1" si="26"/>
        <v>0.4108920805309863</v>
      </c>
      <c r="X93" s="782">
        <f t="shared" ca="1" si="26"/>
        <v>0.4052040380047941</v>
      </c>
      <c r="Y93" s="782">
        <f t="shared" ca="1" si="26"/>
        <v>0.39856837845523663</v>
      </c>
      <c r="Z93" s="782">
        <f t="shared" ca="1" si="26"/>
        <v>0.39289276744381785</v>
      </c>
    </row>
    <row r="94" spans="2:26" x14ac:dyDescent="0.2">
      <c r="B94" s="779" t="s">
        <v>188</v>
      </c>
      <c r="C94" s="780"/>
      <c r="D94" s="780"/>
      <c r="E94" s="780"/>
      <c r="F94" s="783">
        <f ca="1">+'Phase III Pro Forma'!F93/1000000</f>
        <v>0</v>
      </c>
      <c r="G94" s="783">
        <f ca="1">+'Phase III Pro Forma'!G93/1000000</f>
        <v>0</v>
      </c>
      <c r="H94" s="783">
        <f ca="1">+'Phase III Pro Forma'!H93/1000000</f>
        <v>0</v>
      </c>
      <c r="I94" s="783">
        <f ca="1">+'Phase III Pro Forma'!I93/1000000</f>
        <v>5.5036666666666667</v>
      </c>
      <c r="J94" s="783">
        <f ca="1">+'Phase III Pro Forma'!J93/1000000</f>
        <v>11.007333333333335</v>
      </c>
      <c r="K94" s="783">
        <f ca="1">+'Phase III Pro Forma'!K93/1000000</f>
        <v>11.007333333333337</v>
      </c>
      <c r="L94" s="783">
        <f ca="1">+'Phase III Pro Forma'!L93/1000000</f>
        <v>11.557700000000002</v>
      </c>
      <c r="M94" s="783">
        <f ca="1">+'Phase III Pro Forma'!M93/1000000</f>
        <v>11.557700000000002</v>
      </c>
      <c r="N94" s="783">
        <f ca="1">+'Phase III Pro Forma'!N93/1000000</f>
        <v>11.557700000000002</v>
      </c>
      <c r="O94" s="783">
        <f ca="1">+'Phase III Pro Forma'!O93/1000000</f>
        <v>11.557700000000004</v>
      </c>
      <c r="P94" s="783">
        <f ca="1">+'Phase III Pro Forma'!P93/1000000</f>
        <v>11.557700000000001</v>
      </c>
      <c r="Q94" s="783">
        <f ca="1">+'Phase III Pro Forma'!Q93/1000000</f>
        <v>12.135585000000004</v>
      </c>
      <c r="R94" s="783">
        <f ca="1">+'Phase III Pro Forma'!R93/1000000</f>
        <v>12.135585000000004</v>
      </c>
      <c r="S94" s="783">
        <f ca="1">+'Phase III Pro Forma'!S93/1000000</f>
        <v>12.135585000000004</v>
      </c>
      <c r="T94" s="783">
        <f ca="1">+'Phase III Pro Forma'!T93/1000000</f>
        <v>12.135585000000001</v>
      </c>
      <c r="U94" s="783">
        <f ca="1">+'Phase III Pro Forma'!U93/1000000</f>
        <v>12.135585000000001</v>
      </c>
      <c r="V94" s="783">
        <f ca="1">+'Phase III Pro Forma'!V93/1000000</f>
        <v>12.742364250000003</v>
      </c>
      <c r="W94" s="783">
        <f ca="1">+'Phase III Pro Forma'!W93/1000000</f>
        <v>12.742364250000003</v>
      </c>
      <c r="X94" s="783">
        <f ca="1">+'Phase III Pro Forma'!X93/1000000</f>
        <v>12.74236425</v>
      </c>
      <c r="Y94" s="783">
        <f ca="1">+'Phase III Pro Forma'!Y93/1000000</f>
        <v>12.742364250000003</v>
      </c>
      <c r="Z94" s="783">
        <f ca="1">+'Phase III Pro Forma'!Z93/1000000</f>
        <v>12.742364250000007</v>
      </c>
    </row>
    <row r="95" spans="2:26" ht="5" customHeight="1" x14ac:dyDescent="0.2"/>
    <row r="96" spans="2:26" x14ac:dyDescent="0.2">
      <c r="B96" s="147" t="s">
        <v>146</v>
      </c>
      <c r="C96" s="148"/>
      <c r="D96" s="148"/>
      <c r="E96" s="148"/>
      <c r="F96" s="776">
        <f>+F75</f>
        <v>45657</v>
      </c>
      <c r="G96" s="776">
        <f t="shared" ref="G96:Z96" si="27">+G75</f>
        <v>46022</v>
      </c>
      <c r="H96" s="776">
        <f t="shared" si="27"/>
        <v>46387</v>
      </c>
      <c r="I96" s="776">
        <f t="shared" si="27"/>
        <v>46752</v>
      </c>
      <c r="J96" s="776">
        <f t="shared" si="27"/>
        <v>47118</v>
      </c>
      <c r="K96" s="776">
        <f t="shared" si="27"/>
        <v>47483</v>
      </c>
      <c r="L96" s="776">
        <f t="shared" si="27"/>
        <v>47848</v>
      </c>
      <c r="M96" s="776">
        <f t="shared" si="27"/>
        <v>48213</v>
      </c>
      <c r="N96" s="776">
        <f t="shared" si="27"/>
        <v>48579</v>
      </c>
      <c r="O96" s="776">
        <f t="shared" si="27"/>
        <v>48944</v>
      </c>
      <c r="P96" s="776">
        <f t="shared" si="27"/>
        <v>49309</v>
      </c>
      <c r="Q96" s="776">
        <f t="shared" si="27"/>
        <v>49674</v>
      </c>
      <c r="R96" s="776">
        <f t="shared" si="27"/>
        <v>50040</v>
      </c>
      <c r="S96" s="776">
        <f t="shared" si="27"/>
        <v>50405</v>
      </c>
      <c r="T96" s="776">
        <f t="shared" si="27"/>
        <v>50770</v>
      </c>
      <c r="U96" s="776">
        <f t="shared" si="27"/>
        <v>51135</v>
      </c>
      <c r="V96" s="776">
        <f t="shared" si="27"/>
        <v>51501</v>
      </c>
      <c r="W96" s="776">
        <f t="shared" si="27"/>
        <v>51866</v>
      </c>
      <c r="X96" s="776">
        <f t="shared" si="27"/>
        <v>52231</v>
      </c>
      <c r="Y96" s="776">
        <f t="shared" si="27"/>
        <v>52596</v>
      </c>
      <c r="Z96" s="776">
        <f t="shared" si="27"/>
        <v>52962</v>
      </c>
    </row>
    <row r="97" spans="2:26" hidden="1" x14ac:dyDescent="0.2">
      <c r="B97" s="788" t="s">
        <v>245</v>
      </c>
      <c r="C97" s="788"/>
      <c r="D97" s="791"/>
      <c r="E97" s="791"/>
      <c r="F97" s="789">
        <f>+'Phase III Pro Forma'!F96</f>
        <v>0</v>
      </c>
      <c r="G97" s="789">
        <f>+'Phase III Pro Forma'!G96</f>
        <v>0</v>
      </c>
      <c r="H97" s="789">
        <f>+'Phase III Pro Forma'!H96</f>
        <v>0</v>
      </c>
      <c r="I97" s="789">
        <f>+'Phase III Pro Forma'!I96</f>
        <v>294484.54999999993</v>
      </c>
      <c r="J97" s="789">
        <f>+'Phase III Pro Forma'!J96</f>
        <v>294484.54999999993</v>
      </c>
      <c r="K97" s="789">
        <f>+'Phase III Pro Forma'!K96</f>
        <v>0</v>
      </c>
      <c r="L97" s="789">
        <f>+'Phase III Pro Forma'!L96</f>
        <v>0</v>
      </c>
      <c r="M97" s="789">
        <f>+'Phase III Pro Forma'!M96</f>
        <v>0</v>
      </c>
      <c r="N97" s="789">
        <f>+'Phase III Pro Forma'!N96</f>
        <v>0</v>
      </c>
      <c r="O97" s="789">
        <f>+'Phase III Pro Forma'!O96</f>
        <v>0</v>
      </c>
      <c r="P97" s="789">
        <f>+'Phase III Pro Forma'!P96</f>
        <v>0</v>
      </c>
      <c r="Q97" s="789">
        <f>+'Phase III Pro Forma'!Q96</f>
        <v>0</v>
      </c>
      <c r="R97" s="789">
        <f>+'Phase III Pro Forma'!R96</f>
        <v>0</v>
      </c>
      <c r="S97" s="789">
        <f>+'Phase III Pro Forma'!S96</f>
        <v>0</v>
      </c>
      <c r="T97" s="789">
        <f>+'Phase III Pro Forma'!T96</f>
        <v>0</v>
      </c>
      <c r="U97" s="789">
        <f>+'Phase III Pro Forma'!U96</f>
        <v>0</v>
      </c>
      <c r="V97" s="789">
        <f>+'Phase III Pro Forma'!V96</f>
        <v>0</v>
      </c>
      <c r="W97" s="789">
        <f>+'Phase III Pro Forma'!W96</f>
        <v>0</v>
      </c>
      <c r="X97" s="789">
        <f>+'Phase III Pro Forma'!X96</f>
        <v>0</v>
      </c>
      <c r="Y97" s="789">
        <f>+'Phase III Pro Forma'!Y96</f>
        <v>0</v>
      </c>
      <c r="Z97" s="789">
        <f>+'Phase III Pro Forma'!Z96</f>
        <v>0</v>
      </c>
    </row>
    <row r="98" spans="2:26" x14ac:dyDescent="0.2">
      <c r="B98" s="32" t="s">
        <v>784</v>
      </c>
      <c r="C98" s="32"/>
      <c r="D98" s="41">
        <v>0</v>
      </c>
      <c r="E98" s="41"/>
      <c r="F98" s="41">
        <f>+D98+F97</f>
        <v>0</v>
      </c>
      <c r="G98" s="41">
        <f t="shared" ref="G98:Z98" si="28">+F98+G97</f>
        <v>0</v>
      </c>
      <c r="H98" s="41">
        <f t="shared" si="28"/>
        <v>0</v>
      </c>
      <c r="I98" s="41">
        <f t="shared" si="28"/>
        <v>294484.54999999993</v>
      </c>
      <c r="J98" s="41">
        <f t="shared" si="28"/>
        <v>588969.09999999986</v>
      </c>
      <c r="K98" s="41">
        <f t="shared" si="28"/>
        <v>588969.09999999986</v>
      </c>
      <c r="L98" s="41">
        <f t="shared" si="28"/>
        <v>588969.09999999986</v>
      </c>
      <c r="M98" s="41">
        <f t="shared" si="28"/>
        <v>588969.09999999986</v>
      </c>
      <c r="N98" s="41">
        <f t="shared" si="28"/>
        <v>588969.09999999986</v>
      </c>
      <c r="O98" s="41">
        <f t="shared" si="28"/>
        <v>588969.09999999986</v>
      </c>
      <c r="P98" s="41">
        <f t="shared" si="28"/>
        <v>588969.09999999986</v>
      </c>
      <c r="Q98" s="41">
        <f t="shared" si="28"/>
        <v>588969.09999999986</v>
      </c>
      <c r="R98" s="41">
        <f t="shared" si="28"/>
        <v>588969.09999999986</v>
      </c>
      <c r="S98" s="41">
        <f t="shared" si="28"/>
        <v>588969.09999999986</v>
      </c>
      <c r="T98" s="41">
        <f t="shared" si="28"/>
        <v>588969.09999999986</v>
      </c>
      <c r="U98" s="41">
        <f t="shared" si="28"/>
        <v>588969.09999999986</v>
      </c>
      <c r="V98" s="41">
        <f t="shared" si="28"/>
        <v>588969.09999999986</v>
      </c>
      <c r="W98" s="41">
        <f t="shared" si="28"/>
        <v>588969.09999999986</v>
      </c>
      <c r="X98" s="41">
        <f t="shared" si="28"/>
        <v>588969.09999999986</v>
      </c>
      <c r="Y98" s="41">
        <f t="shared" si="28"/>
        <v>588969.09999999986</v>
      </c>
      <c r="Z98" s="41">
        <f t="shared" si="28"/>
        <v>588969.09999999986</v>
      </c>
    </row>
    <row r="99" spans="2:26" hidden="1" x14ac:dyDescent="0.2">
      <c r="B99" s="788" t="s">
        <v>301</v>
      </c>
      <c r="C99" s="788"/>
      <c r="D99" s="789"/>
      <c r="E99" s="789"/>
      <c r="F99" s="790">
        <f>+'Phase III Pro Forma'!F98</f>
        <v>0</v>
      </c>
      <c r="G99" s="790">
        <f>+'Phase III Pro Forma'!G98</f>
        <v>0</v>
      </c>
      <c r="H99" s="790">
        <f>+'Phase III Pro Forma'!H98</f>
        <v>0</v>
      </c>
      <c r="I99" s="790">
        <f>+'Phase III Pro Forma'!I98</f>
        <v>0.5</v>
      </c>
      <c r="J99" s="790">
        <f>+'Phase III Pro Forma'!J98</f>
        <v>1</v>
      </c>
      <c r="K99" s="790">
        <f>+'Phase III Pro Forma'!K98</f>
        <v>1</v>
      </c>
      <c r="L99" s="790">
        <f>+'Phase III Pro Forma'!L98</f>
        <v>1</v>
      </c>
      <c r="M99" s="790">
        <f>+'Phase III Pro Forma'!M98</f>
        <v>1</v>
      </c>
      <c r="N99" s="790">
        <f>+'Phase III Pro Forma'!N98</f>
        <v>1</v>
      </c>
      <c r="O99" s="790">
        <f>+'Phase III Pro Forma'!O98</f>
        <v>1</v>
      </c>
      <c r="P99" s="790">
        <f>+'Phase III Pro Forma'!P98</f>
        <v>1</v>
      </c>
      <c r="Q99" s="790">
        <f>+'Phase III Pro Forma'!Q98</f>
        <v>1</v>
      </c>
      <c r="R99" s="790">
        <f>+'Phase III Pro Forma'!R98</f>
        <v>1</v>
      </c>
      <c r="S99" s="790">
        <f>+'Phase III Pro Forma'!S98</f>
        <v>1</v>
      </c>
      <c r="T99" s="790">
        <f>+'Phase III Pro Forma'!T98</f>
        <v>1</v>
      </c>
      <c r="U99" s="790">
        <f>+'Phase III Pro Forma'!U98</f>
        <v>1</v>
      </c>
      <c r="V99" s="790">
        <f>+'Phase III Pro Forma'!V98</f>
        <v>1</v>
      </c>
      <c r="W99" s="790">
        <f>+'Phase III Pro Forma'!W98</f>
        <v>1</v>
      </c>
      <c r="X99" s="790">
        <f>+'Phase III Pro Forma'!X98</f>
        <v>1</v>
      </c>
      <c r="Y99" s="790">
        <f>+'Phase III Pro Forma'!Y98</f>
        <v>1</v>
      </c>
      <c r="Z99" s="790">
        <f>+'Phase III Pro Forma'!Z98</f>
        <v>1</v>
      </c>
    </row>
    <row r="100" spans="2:26" hidden="1" x14ac:dyDescent="0.2">
      <c r="B100" s="788"/>
      <c r="C100" s="788"/>
      <c r="D100" s="791"/>
      <c r="E100" s="791"/>
      <c r="F100" s="792"/>
      <c r="G100" s="792"/>
      <c r="H100" s="792"/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  <c r="S100" s="792"/>
      <c r="T100" s="792"/>
      <c r="U100" s="792"/>
      <c r="V100" s="792"/>
      <c r="W100" s="792"/>
      <c r="X100" s="792"/>
      <c r="Y100" s="792"/>
      <c r="Z100" s="792"/>
    </row>
    <row r="101" spans="2:26" hidden="1" x14ac:dyDescent="0.2">
      <c r="B101" s="788" t="s">
        <v>251</v>
      </c>
      <c r="C101" s="788"/>
      <c r="D101" s="789"/>
      <c r="E101" s="789"/>
      <c r="F101" s="790">
        <f>+'Phase III Pro Forma'!F100</f>
        <v>1</v>
      </c>
      <c r="G101" s="790">
        <f>+'Phase III Pro Forma'!G100</f>
        <v>1</v>
      </c>
      <c r="H101" s="790">
        <f>+'Phase III Pro Forma'!H100</f>
        <v>1</v>
      </c>
      <c r="I101" s="790">
        <f>+'Phase III Pro Forma'!I100</f>
        <v>1</v>
      </c>
      <c r="J101" s="790">
        <f>+'Phase III Pro Forma'!J100</f>
        <v>1</v>
      </c>
      <c r="K101" s="790">
        <f>+'Phase III Pro Forma'!K100</f>
        <v>1</v>
      </c>
      <c r="L101" s="790">
        <f>+'Phase III Pro Forma'!L100</f>
        <v>1.1000000000000001</v>
      </c>
      <c r="M101" s="790">
        <f>+'Phase III Pro Forma'!M100</f>
        <v>1.1000000000000001</v>
      </c>
      <c r="N101" s="790">
        <f>+'Phase III Pro Forma'!N100</f>
        <v>1.1000000000000001</v>
      </c>
      <c r="O101" s="790">
        <f>+'Phase III Pro Forma'!O100</f>
        <v>1.1000000000000001</v>
      </c>
      <c r="P101" s="790">
        <f>+'Phase III Pro Forma'!P100</f>
        <v>1.1000000000000001</v>
      </c>
      <c r="Q101" s="790">
        <f>+'Phase III Pro Forma'!Q100</f>
        <v>1.2100000000000002</v>
      </c>
      <c r="R101" s="790">
        <f>+'Phase III Pro Forma'!R100</f>
        <v>1.2100000000000002</v>
      </c>
      <c r="S101" s="790">
        <f>+'Phase III Pro Forma'!S100</f>
        <v>1.2100000000000002</v>
      </c>
      <c r="T101" s="790">
        <f>+'Phase III Pro Forma'!T100</f>
        <v>1.2100000000000002</v>
      </c>
      <c r="U101" s="790">
        <f>+'Phase III Pro Forma'!U100</f>
        <v>1.2100000000000002</v>
      </c>
      <c r="V101" s="790">
        <f>+'Phase III Pro Forma'!V100</f>
        <v>1.3310000000000004</v>
      </c>
      <c r="W101" s="790">
        <f>+'Phase III Pro Forma'!W100</f>
        <v>1.3310000000000004</v>
      </c>
      <c r="X101" s="790">
        <f>+'Phase III Pro Forma'!X100</f>
        <v>1.3310000000000004</v>
      </c>
      <c r="Y101" s="790">
        <f>+'Phase III Pro Forma'!Y100</f>
        <v>1.3310000000000004</v>
      </c>
      <c r="Z101" s="790">
        <f>+'Phase III Pro Forma'!Z100</f>
        <v>1.3310000000000004</v>
      </c>
    </row>
    <row r="102" spans="2:26" hidden="1" x14ac:dyDescent="0.2">
      <c r="B102" s="788" t="s">
        <v>252</v>
      </c>
      <c r="C102" s="788"/>
      <c r="D102" s="789"/>
      <c r="E102" s="789"/>
      <c r="F102" s="790">
        <f>+'Phase III Pro Forma'!F101</f>
        <v>1</v>
      </c>
      <c r="G102" s="790">
        <f>+'Phase III Pro Forma'!G101</f>
        <v>1.03</v>
      </c>
      <c r="H102" s="790">
        <f>+'Phase III Pro Forma'!H101</f>
        <v>1.0609</v>
      </c>
      <c r="I102" s="790">
        <f>+'Phase III Pro Forma'!I101</f>
        <v>1.092727</v>
      </c>
      <c r="J102" s="790">
        <f>+'Phase III Pro Forma'!J101</f>
        <v>1.1255088100000001</v>
      </c>
      <c r="K102" s="790">
        <f>+'Phase III Pro Forma'!K101</f>
        <v>1.1592740743000001</v>
      </c>
      <c r="L102" s="790">
        <f>+'Phase III Pro Forma'!L101</f>
        <v>1.1940522965290001</v>
      </c>
      <c r="M102" s="790">
        <f>+'Phase III Pro Forma'!M101</f>
        <v>1.2298738654248702</v>
      </c>
      <c r="N102" s="790">
        <f>+'Phase III Pro Forma'!N101</f>
        <v>1.2667700813876164</v>
      </c>
      <c r="O102" s="790">
        <f>+'Phase III Pro Forma'!O101</f>
        <v>1.3047731838292449</v>
      </c>
      <c r="P102" s="790">
        <f>+'Phase III Pro Forma'!P101</f>
        <v>1.3439163793441222</v>
      </c>
      <c r="Q102" s="790">
        <f>+'Phase III Pro Forma'!Q101</f>
        <v>1.3842338707244459</v>
      </c>
      <c r="R102" s="790">
        <f>+'Phase III Pro Forma'!R101</f>
        <v>1.4257608868461793</v>
      </c>
      <c r="S102" s="790">
        <f>+'Phase III Pro Forma'!S101</f>
        <v>1.4685337134515648</v>
      </c>
      <c r="T102" s="790">
        <f>+'Phase III Pro Forma'!T101</f>
        <v>1.5125897248551119</v>
      </c>
      <c r="U102" s="790">
        <f>+'Phase III Pro Forma'!U101</f>
        <v>1.5579674166007653</v>
      </c>
      <c r="V102" s="790">
        <f>+'Phase III Pro Forma'!V101</f>
        <v>1.6047064390987884</v>
      </c>
      <c r="W102" s="790">
        <f>+'Phase III Pro Forma'!W101</f>
        <v>1.652847632271752</v>
      </c>
      <c r="X102" s="790">
        <f>+'Phase III Pro Forma'!X101</f>
        <v>1.7024330612399046</v>
      </c>
      <c r="Y102" s="790">
        <f>+'Phase III Pro Forma'!Y101</f>
        <v>1.7535060530771018</v>
      </c>
      <c r="Z102" s="790">
        <f>+'Phase III Pro Forma'!Z101</f>
        <v>1.806111234669415</v>
      </c>
    </row>
    <row r="103" spans="2:26" ht="5" customHeight="1" x14ac:dyDescent="0.2">
      <c r="B103" s="32"/>
      <c r="C103" s="32"/>
      <c r="D103" s="39"/>
      <c r="E103" s="39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 spans="2:26" x14ac:dyDescent="0.2">
      <c r="B104" s="32" t="s">
        <v>243</v>
      </c>
      <c r="C104" s="32"/>
      <c r="D104" s="39"/>
      <c r="E104" s="39"/>
      <c r="F104" s="48">
        <f>+'Phase III Pro Forma'!F103/1000000</f>
        <v>0</v>
      </c>
      <c r="G104" s="48">
        <f>+'Phase III Pro Forma'!G103/1000000</f>
        <v>0</v>
      </c>
      <c r="H104" s="48">
        <f>+'Phase III Pro Forma'!H103/1000000</f>
        <v>0</v>
      </c>
      <c r="I104" s="48">
        <f>+'Phase III Pro Forma'!I103/1000000</f>
        <v>7.6502291410350702</v>
      </c>
      <c r="J104" s="48">
        <f>+'Phase III Pro Forma'!J103/1000000</f>
        <v>15.30045828207014</v>
      </c>
      <c r="K104" s="48">
        <f>+'Phase III Pro Forma'!K103/1000000</f>
        <v>15.30045828207014</v>
      </c>
      <c r="L104" s="48">
        <f>+'Phase III Pro Forma'!L103/1000000</f>
        <v>16.830504110277158</v>
      </c>
      <c r="M104" s="48">
        <f>+'Phase III Pro Forma'!M103/1000000</f>
        <v>16.830504110277158</v>
      </c>
      <c r="N104" s="48">
        <f>+'Phase III Pro Forma'!N103/1000000</f>
        <v>16.830504110277158</v>
      </c>
      <c r="O104" s="48">
        <f>+'Phase III Pro Forma'!O103/1000000</f>
        <v>16.830504110277158</v>
      </c>
      <c r="P104" s="48">
        <f>+'Phase III Pro Forma'!P103/1000000</f>
        <v>16.830504110277158</v>
      </c>
      <c r="Q104" s="48">
        <f>+'Phase III Pro Forma'!Q103/1000000</f>
        <v>18.513554521304876</v>
      </c>
      <c r="R104" s="48">
        <f>+'Phase III Pro Forma'!R103/1000000</f>
        <v>18.513554521304876</v>
      </c>
      <c r="S104" s="48">
        <f>+'Phase III Pro Forma'!S103/1000000</f>
        <v>18.513554521304876</v>
      </c>
      <c r="T104" s="48">
        <f>+'Phase III Pro Forma'!T103/1000000</f>
        <v>18.513554521304876</v>
      </c>
      <c r="U104" s="48">
        <f>+'Phase III Pro Forma'!U103/1000000</f>
        <v>18.513554521304876</v>
      </c>
      <c r="V104" s="48">
        <f>+'Phase III Pro Forma'!V103/1000000</f>
        <v>20.364909973435363</v>
      </c>
      <c r="W104" s="48">
        <f>+'Phase III Pro Forma'!W103/1000000</f>
        <v>20.364909973435363</v>
      </c>
      <c r="X104" s="48">
        <f>+'Phase III Pro Forma'!X103/1000000</f>
        <v>20.364909973435363</v>
      </c>
      <c r="Y104" s="48">
        <f>+'Phase III Pro Forma'!Y103/1000000</f>
        <v>20.364909973435363</v>
      </c>
      <c r="Z104" s="48">
        <f>+'Phase III Pro Forma'!Z103/1000000</f>
        <v>20.364909973435363</v>
      </c>
    </row>
    <row r="105" spans="2:26" x14ac:dyDescent="0.2">
      <c r="B105" s="32" t="s">
        <v>244</v>
      </c>
      <c r="C105" s="32"/>
      <c r="D105" s="39"/>
      <c r="E105" s="39"/>
      <c r="F105" s="771">
        <f>+'Phase III Pro Forma'!F104/1000000</f>
        <v>0</v>
      </c>
      <c r="G105" s="771">
        <f>+'Phase III Pro Forma'!G104/1000000</f>
        <v>0</v>
      </c>
      <c r="H105" s="771">
        <f>+'Phase III Pro Forma'!H104/1000000</f>
        <v>0</v>
      </c>
      <c r="I105" s="771">
        <f>+'Phase III Pro Forma'!I104/1000000</f>
        <v>-0.76502291410350709</v>
      </c>
      <c r="J105" s="771">
        <f>+'Phase III Pro Forma'!J104/1000000</f>
        <v>-1.5300458282070142</v>
      </c>
      <c r="K105" s="771">
        <f>+'Phase III Pro Forma'!K104/1000000</f>
        <v>-1.5300458282070142</v>
      </c>
      <c r="L105" s="771">
        <f>+'Phase III Pro Forma'!L104/1000000</f>
        <v>-1.6830504110277158</v>
      </c>
      <c r="M105" s="771">
        <f>+'Phase III Pro Forma'!M104/1000000</f>
        <v>-1.6830504110277158</v>
      </c>
      <c r="N105" s="771">
        <f>+'Phase III Pro Forma'!N104/1000000</f>
        <v>-1.6830504110277158</v>
      </c>
      <c r="O105" s="771">
        <f>+'Phase III Pro Forma'!O104/1000000</f>
        <v>-1.6830504110277158</v>
      </c>
      <c r="P105" s="771">
        <f>+'Phase III Pro Forma'!P104/1000000</f>
        <v>-1.6830504110277158</v>
      </c>
      <c r="Q105" s="771">
        <f>+'Phase III Pro Forma'!Q104/1000000</f>
        <v>-1.8513554521304876</v>
      </c>
      <c r="R105" s="771">
        <f>+'Phase III Pro Forma'!R104/1000000</f>
        <v>-1.8513554521304876</v>
      </c>
      <c r="S105" s="771">
        <f>+'Phase III Pro Forma'!S104/1000000</f>
        <v>-1.8513554521304876</v>
      </c>
      <c r="T105" s="771">
        <f>+'Phase III Pro Forma'!T104/1000000</f>
        <v>-1.8513554521304876</v>
      </c>
      <c r="U105" s="771">
        <f>+'Phase III Pro Forma'!U104/1000000</f>
        <v>-1.8513554521304876</v>
      </c>
      <c r="V105" s="771">
        <f>+'Phase III Pro Forma'!V104/1000000</f>
        <v>-2.0364909973435363</v>
      </c>
      <c r="W105" s="771">
        <f>+'Phase III Pro Forma'!W104/1000000</f>
        <v>-2.0364909973435363</v>
      </c>
      <c r="X105" s="771">
        <f>+'Phase III Pro Forma'!X104/1000000</f>
        <v>-2.0364909973435363</v>
      </c>
      <c r="Y105" s="771">
        <f>+'Phase III Pro Forma'!Y104/1000000</f>
        <v>-2.0364909973435363</v>
      </c>
      <c r="Z105" s="771">
        <f>+'Phase III Pro Forma'!Z104/1000000</f>
        <v>-2.0364909973435363</v>
      </c>
    </row>
    <row r="106" spans="2:26" x14ac:dyDescent="0.2">
      <c r="B106" s="32" t="s">
        <v>259</v>
      </c>
      <c r="C106" s="32"/>
      <c r="D106" s="39"/>
      <c r="E106" s="39"/>
      <c r="F106" s="772">
        <f ca="1">+'Phase III Pro Forma'!F105/1000000</f>
        <v>0</v>
      </c>
      <c r="G106" s="772">
        <f ca="1">+'Phase III Pro Forma'!G105/1000000</f>
        <v>0</v>
      </c>
      <c r="H106" s="772">
        <f ca="1">+'Phase III Pro Forma'!H105/1000000</f>
        <v>0</v>
      </c>
      <c r="I106" s="772">
        <f ca="1">+'Phase III Pro Forma'!I105/1000000</f>
        <v>4.1341025259460444</v>
      </c>
      <c r="J106" s="772">
        <f ca="1">+'Phase III Pro Forma'!J105/1000000</f>
        <v>8.4805919700845322</v>
      </c>
      <c r="K106" s="772">
        <f ca="1">+'Phase III Pro Forma'!K105/1000000</f>
        <v>8.6258924750922521</v>
      </c>
      <c r="L106" s="772">
        <f ca="1">+'Phase III Pro Forma'!L105/1000000</f>
        <v>8.7755519952502024</v>
      </c>
      <c r="M106" s="772">
        <f ca="1">+'Phase III Pro Forma'!M105/1000000</f>
        <v>9.0024461370761042</v>
      </c>
      <c r="N106" s="772">
        <f ca="1">+'Phase III Pro Forma'!N105/1000000</f>
        <v>9.1612199220116732</v>
      </c>
      <c r="O106" s="772">
        <f ca="1">+'Phase III Pro Forma'!O105/1000000</f>
        <v>9.3247569204953091</v>
      </c>
      <c r="P106" s="772">
        <f ca="1">+'Phase III Pro Forma'!P105/1000000</f>
        <v>9.5673997617179332</v>
      </c>
      <c r="Q106" s="772">
        <f ca="1">+'Phase III Pro Forma'!Q105/1000000</f>
        <v>9.7408961634092215</v>
      </c>
      <c r="R106" s="772">
        <f ca="1">+'Phase III Pro Forma'!R105/1000000</f>
        <v>9.9195974571512515</v>
      </c>
      <c r="S106" s="772">
        <f ca="1">+'Phase III Pro Forma'!S105/1000000</f>
        <v>10.179343517145705</v>
      </c>
      <c r="T106" s="772">
        <f ca="1">+'Phase III Pro Forma'!T105/1000000</f>
        <v>10.368927719676623</v>
      </c>
      <c r="U106" s="772">
        <f ca="1">+'Phase III Pro Forma'!U105/1000000</f>
        <v>10.564199448283469</v>
      </c>
      <c r="V106" s="772">
        <f ca="1">+'Phase III Pro Forma'!V105/1000000</f>
        <v>10.842526730737491</v>
      </c>
      <c r="W106" s="772">
        <f ca="1">+'Phase III Pro Forma'!W105/1000000</f>
        <v>11.049690507616495</v>
      </c>
      <c r="X106" s="772">
        <f ca="1">+'Phase III Pro Forma'!X105/1000000</f>
        <v>11.263069197801867</v>
      </c>
      <c r="Y106" s="772">
        <f ca="1">+'Phase III Pro Forma'!Y105/1000000</f>
        <v>11.561590598721551</v>
      </c>
      <c r="Z106" s="772">
        <f ca="1">+'Phase III Pro Forma'!Z105/1000000</f>
        <v>11.787964051139213</v>
      </c>
    </row>
    <row r="107" spans="2:26" x14ac:dyDescent="0.2">
      <c r="B107" s="136" t="s">
        <v>253</v>
      </c>
      <c r="C107" s="136"/>
      <c r="D107" s="136"/>
      <c r="E107" s="136"/>
      <c r="F107" s="773">
        <f ca="1">+'Phase III Pro Forma'!F106/1000000</f>
        <v>0</v>
      </c>
      <c r="G107" s="773">
        <f ca="1">+'Phase III Pro Forma'!G106/1000000</f>
        <v>0</v>
      </c>
      <c r="H107" s="773">
        <f ca="1">+'Phase III Pro Forma'!H106/1000000</f>
        <v>0</v>
      </c>
      <c r="I107" s="773">
        <f ca="1">+'Phase III Pro Forma'!I106/1000000</f>
        <v>11.019308752877608</v>
      </c>
      <c r="J107" s="773">
        <f ca="1">+'Phase III Pro Forma'!J106/1000000</f>
        <v>22.251004423947663</v>
      </c>
      <c r="K107" s="773">
        <f ca="1">+'Phase III Pro Forma'!K106/1000000</f>
        <v>22.396304928955381</v>
      </c>
      <c r="L107" s="773">
        <f ca="1">+'Phase III Pro Forma'!L106/1000000</f>
        <v>23.923005694499643</v>
      </c>
      <c r="M107" s="773">
        <f ca="1">+'Phase III Pro Forma'!M106/1000000</f>
        <v>24.149899836325545</v>
      </c>
      <c r="N107" s="773">
        <f ca="1">+'Phase III Pro Forma'!N106/1000000</f>
        <v>24.308673621261111</v>
      </c>
      <c r="O107" s="773">
        <f ca="1">+'Phase III Pro Forma'!O106/1000000</f>
        <v>24.472210619744747</v>
      </c>
      <c r="P107" s="773">
        <f ca="1">+'Phase III Pro Forma'!P106/1000000</f>
        <v>24.714853460967372</v>
      </c>
      <c r="Q107" s="773">
        <f ca="1">+'Phase III Pro Forma'!Q106/1000000</f>
        <v>26.403095232583613</v>
      </c>
      <c r="R107" s="773">
        <f ca="1">+'Phase III Pro Forma'!R106/1000000</f>
        <v>26.58179652632564</v>
      </c>
      <c r="S107" s="773">
        <f ca="1">+'Phase III Pro Forma'!S106/1000000</f>
        <v>26.841542586320095</v>
      </c>
      <c r="T107" s="773">
        <f ca="1">+'Phase III Pro Forma'!T106/1000000</f>
        <v>27.031126788851012</v>
      </c>
      <c r="U107" s="773">
        <f ca="1">+'Phase III Pro Forma'!U106/1000000</f>
        <v>27.226398517457859</v>
      </c>
      <c r="V107" s="773">
        <f ca="1">+'Phase III Pro Forma'!V106/1000000</f>
        <v>29.170945706829318</v>
      </c>
      <c r="W107" s="773">
        <f ca="1">+'Phase III Pro Forma'!W106/1000000</f>
        <v>29.378109483708322</v>
      </c>
      <c r="X107" s="773">
        <f ca="1">+'Phase III Pro Forma'!X106/1000000</f>
        <v>29.591488173893698</v>
      </c>
      <c r="Y107" s="773">
        <f ca="1">+'Phase III Pro Forma'!Y106/1000000</f>
        <v>29.89000957481338</v>
      </c>
      <c r="Z107" s="773">
        <f ca="1">+'Phase III Pro Forma'!Z106/1000000</f>
        <v>30.116383027231041</v>
      </c>
    </row>
    <row r="108" spans="2:26" ht="5" customHeight="1" x14ac:dyDescent="0.2"/>
    <row r="109" spans="2:26" x14ac:dyDescent="0.2">
      <c r="B109" s="32" t="s">
        <v>389</v>
      </c>
      <c r="F109" s="48">
        <f>+'Phase III Pro Forma'!F108/1000000</f>
        <v>0</v>
      </c>
      <c r="G109" s="48">
        <f>+'Phase III Pro Forma'!G108/1000000</f>
        <v>0</v>
      </c>
      <c r="H109" s="48">
        <f>+'Phase III Pro Forma'!H108/1000000</f>
        <v>0</v>
      </c>
      <c r="I109" s="48">
        <f>+'Phase III Pro Forma'!I108/1000000</f>
        <v>2.6123787308111965</v>
      </c>
      <c r="J109" s="48">
        <f>+'Phase III Pro Forma'!J108/1000000</f>
        <v>5.3815001854710651</v>
      </c>
      <c r="K109" s="48">
        <f>+'Phase III Pro Forma'!K108/1000000</f>
        <v>5.542945191035197</v>
      </c>
      <c r="L109" s="48">
        <f>+'Phase III Pro Forma'!L108/1000000</f>
        <v>5.7092335467662529</v>
      </c>
      <c r="M109" s="48">
        <f>+'Phase III Pro Forma'!M108/1000000</f>
        <v>5.8805105531692412</v>
      </c>
      <c r="N109" s="48">
        <f>+'Phase III Pro Forma'!N108/1000000</f>
        <v>6.0569258697643189</v>
      </c>
      <c r="O109" s="48">
        <f>+'Phase III Pro Forma'!O108/1000000</f>
        <v>6.2386336458572487</v>
      </c>
      <c r="P109" s="48">
        <f>+'Phase III Pro Forma'!P108/1000000</f>
        <v>6.4257926552329661</v>
      </c>
      <c r="Q109" s="48">
        <f>+'Phase III Pro Forma'!Q108/1000000</f>
        <v>6.6185664348899547</v>
      </c>
      <c r="R109" s="48">
        <f>+'Phase III Pro Forma'!R108/1000000</f>
        <v>6.8171234279366537</v>
      </c>
      <c r="S109" s="48">
        <f>+'Phase III Pro Forma'!S108/1000000</f>
        <v>7.0216371307747529</v>
      </c>
      <c r="T109" s="48">
        <f>+'Phase III Pro Forma'!T108/1000000</f>
        <v>7.2322862446979963</v>
      </c>
      <c r="U109" s="48">
        <f>+'Phase III Pro Forma'!U108/1000000</f>
        <v>7.4492548320389371</v>
      </c>
      <c r="V109" s="48">
        <f>+'Phase III Pro Forma'!V108/1000000</f>
        <v>7.672732477000106</v>
      </c>
      <c r="W109" s="48">
        <f>+'Phase III Pro Forma'!W108/1000000</f>
        <v>7.9029144513101084</v>
      </c>
      <c r="X109" s="48">
        <f>+'Phase III Pro Forma'!X108/1000000</f>
        <v>8.1400018848494113</v>
      </c>
      <c r="Y109" s="48">
        <f>+'Phase III Pro Forma'!Y108/1000000</f>
        <v>8.3842019413948954</v>
      </c>
      <c r="Z109" s="48">
        <f>+'Phase III Pro Forma'!Z108/1000000</f>
        <v>8.6357279996367424</v>
      </c>
    </row>
    <row r="110" spans="2:26" x14ac:dyDescent="0.2">
      <c r="B110" s="32" t="s">
        <v>325</v>
      </c>
      <c r="F110" s="772">
        <f ca="1">+'Phase III Pro Forma'!F109/1000000</f>
        <v>0</v>
      </c>
      <c r="G110" s="772">
        <f ca="1">+'Phase III Pro Forma'!G109/1000000</f>
        <v>0</v>
      </c>
      <c r="H110" s="772">
        <f ca="1">+'Phase III Pro Forma'!H109/1000000</f>
        <v>0</v>
      </c>
      <c r="I110" s="772">
        <f ca="1">+'Phase III Pro Forma'!I109/1000000</f>
        <v>1.9810685202399632</v>
      </c>
      <c r="J110" s="772">
        <f ca="1">+'Phase III Pro Forma'!J109/1000000</f>
        <v>4.0413797812895256</v>
      </c>
      <c r="K110" s="772">
        <f ca="1">+'Phase III Pro Forma'!K109/1000000</f>
        <v>4.0413797812895256</v>
      </c>
      <c r="L110" s="772">
        <f ca="1">+'Phase III Pro Forma'!L109/1000000</f>
        <v>4.0413797812895256</v>
      </c>
      <c r="M110" s="772">
        <f ca="1">+'Phase III Pro Forma'!M109/1000000</f>
        <v>4.1222073769153154</v>
      </c>
      <c r="N110" s="772">
        <f ca="1">+'Phase III Pro Forma'!N109/1000000</f>
        <v>4.1222073769153154</v>
      </c>
      <c r="O110" s="772">
        <f ca="1">+'Phase III Pro Forma'!O109/1000000</f>
        <v>4.1222073769153154</v>
      </c>
      <c r="P110" s="772">
        <f ca="1">+'Phase III Pro Forma'!P109/1000000</f>
        <v>4.204651524453622</v>
      </c>
      <c r="Q110" s="772">
        <f ca="1">+'Phase III Pro Forma'!Q109/1000000</f>
        <v>4.204651524453622</v>
      </c>
      <c r="R110" s="772">
        <f ca="1">+'Phase III Pro Forma'!R109/1000000</f>
        <v>4.204651524453622</v>
      </c>
      <c r="S110" s="772">
        <f ca="1">+'Phase III Pro Forma'!S109/1000000</f>
        <v>4.2887445549426948</v>
      </c>
      <c r="T110" s="772">
        <f ca="1">+'Phase III Pro Forma'!T109/1000000</f>
        <v>4.2887445549426948</v>
      </c>
      <c r="U110" s="772">
        <f ca="1">+'Phase III Pro Forma'!U109/1000000</f>
        <v>4.2887445549426948</v>
      </c>
      <c r="V110" s="772">
        <f ca="1">+'Phase III Pro Forma'!V109/1000000</f>
        <v>4.3745194460415489</v>
      </c>
      <c r="W110" s="772">
        <f ca="1">+'Phase III Pro Forma'!W109/1000000</f>
        <v>4.3745194460415489</v>
      </c>
      <c r="X110" s="772">
        <f ca="1">+'Phase III Pro Forma'!X109/1000000</f>
        <v>4.3745194460415489</v>
      </c>
      <c r="Y110" s="772">
        <f ca="1">+'Phase III Pro Forma'!Y109/1000000</f>
        <v>4.4620098349623802</v>
      </c>
      <c r="Z110" s="772">
        <f ca="1">+'Phase III Pro Forma'!Z109/1000000</f>
        <v>4.4620098349623802</v>
      </c>
    </row>
    <row r="111" spans="2:26" x14ac:dyDescent="0.2">
      <c r="B111" s="136" t="s">
        <v>249</v>
      </c>
      <c r="C111" s="136"/>
      <c r="D111" s="136"/>
      <c r="E111" s="136"/>
      <c r="F111" s="773">
        <f ca="1">+'Phase III Pro Forma'!F110/1000000</f>
        <v>0</v>
      </c>
      <c r="G111" s="773">
        <f ca="1">+'Phase III Pro Forma'!G110/1000000</f>
        <v>0</v>
      </c>
      <c r="H111" s="773">
        <f ca="1">+'Phase III Pro Forma'!H110/1000000</f>
        <v>0</v>
      </c>
      <c r="I111" s="773">
        <f ca="1">+'Phase III Pro Forma'!I110/1000000</f>
        <v>4.5934472510511597</v>
      </c>
      <c r="J111" s="773">
        <f ca="1">+'Phase III Pro Forma'!J110/1000000</f>
        <v>9.4228799667605898</v>
      </c>
      <c r="K111" s="773">
        <f ca="1">+'Phase III Pro Forma'!K110/1000000</f>
        <v>9.5843249723247208</v>
      </c>
      <c r="L111" s="773">
        <f ca="1">+'Phase III Pro Forma'!L110/1000000</f>
        <v>9.7506133280557794</v>
      </c>
      <c r="M111" s="773">
        <f ca="1">+'Phase III Pro Forma'!M110/1000000</f>
        <v>10.002717930084556</v>
      </c>
      <c r="N111" s="773">
        <f ca="1">+'Phase III Pro Forma'!N110/1000000</f>
        <v>10.179133246679633</v>
      </c>
      <c r="O111" s="773">
        <f ca="1">+'Phase III Pro Forma'!O110/1000000</f>
        <v>10.360841022772563</v>
      </c>
      <c r="P111" s="773">
        <f ca="1">+'Phase III Pro Forma'!P110/1000000</f>
        <v>10.630444179686588</v>
      </c>
      <c r="Q111" s="773">
        <f ca="1">+'Phase III Pro Forma'!Q110/1000000</f>
        <v>10.823217959343577</v>
      </c>
      <c r="R111" s="773">
        <f ca="1">+'Phase III Pro Forma'!R110/1000000</f>
        <v>11.021774952390276</v>
      </c>
      <c r="S111" s="773">
        <f ca="1">+'Phase III Pro Forma'!S110/1000000</f>
        <v>11.310381685717449</v>
      </c>
      <c r="T111" s="773">
        <f ca="1">+'Phase III Pro Forma'!T110/1000000</f>
        <v>11.521030799640691</v>
      </c>
      <c r="U111" s="773">
        <f ca="1">+'Phase III Pro Forma'!U110/1000000</f>
        <v>11.737999386981633</v>
      </c>
      <c r="V111" s="773">
        <f ca="1">+'Phase III Pro Forma'!V110/1000000</f>
        <v>12.047251923041655</v>
      </c>
      <c r="W111" s="773">
        <f ca="1">+'Phase III Pro Forma'!W110/1000000</f>
        <v>12.277433897351656</v>
      </c>
      <c r="X111" s="773">
        <f ca="1">+'Phase III Pro Forma'!X110/1000000</f>
        <v>12.514521330890961</v>
      </c>
      <c r="Y111" s="773">
        <f ca="1">+'Phase III Pro Forma'!Y110/1000000</f>
        <v>12.846211776357274</v>
      </c>
      <c r="Z111" s="773">
        <f ca="1">+'Phase III Pro Forma'!Z110/1000000</f>
        <v>13.097737834599123</v>
      </c>
    </row>
    <row r="112" spans="2:26" ht="5" customHeight="1" x14ac:dyDescent="0.2">
      <c r="B112" s="32"/>
    </row>
    <row r="113" spans="2:26" x14ac:dyDescent="0.2">
      <c r="B113" s="777" t="s">
        <v>248</v>
      </c>
      <c r="C113" s="777"/>
      <c r="D113" s="777"/>
      <c r="E113" s="777"/>
      <c r="F113" s="778">
        <f ca="1">+F107-F111</f>
        <v>0</v>
      </c>
      <c r="G113" s="778">
        <f t="shared" ref="G113:Z113" ca="1" si="29">+G107-G111</f>
        <v>0</v>
      </c>
      <c r="H113" s="778">
        <f t="shared" ca="1" si="29"/>
        <v>0</v>
      </c>
      <c r="I113" s="778">
        <f t="shared" ca="1" si="29"/>
        <v>6.4258615018264482</v>
      </c>
      <c r="J113" s="778">
        <f t="shared" ca="1" si="29"/>
        <v>12.828124457187073</v>
      </c>
      <c r="K113" s="778">
        <f t="shared" ca="1" si="29"/>
        <v>12.81197995663066</v>
      </c>
      <c r="L113" s="778">
        <f t="shared" ca="1" si="29"/>
        <v>14.172392366443864</v>
      </c>
      <c r="M113" s="778">
        <f t="shared" ca="1" si="29"/>
        <v>14.14718190624099</v>
      </c>
      <c r="N113" s="778">
        <f t="shared" ca="1" si="29"/>
        <v>14.129540374581477</v>
      </c>
      <c r="O113" s="778">
        <f t="shared" ca="1" si="29"/>
        <v>14.111369596972184</v>
      </c>
      <c r="P113" s="778">
        <f t="shared" ca="1" si="29"/>
        <v>14.084409281280784</v>
      </c>
      <c r="Q113" s="778">
        <f t="shared" ca="1" si="29"/>
        <v>15.579877273240037</v>
      </c>
      <c r="R113" s="778">
        <f t="shared" ca="1" si="29"/>
        <v>15.560021573935364</v>
      </c>
      <c r="S113" s="778">
        <f t="shared" ca="1" si="29"/>
        <v>15.531160900602647</v>
      </c>
      <c r="T113" s="778">
        <f t="shared" ca="1" si="29"/>
        <v>15.510095989210321</v>
      </c>
      <c r="U113" s="778">
        <f t="shared" ca="1" si="29"/>
        <v>15.488399130476227</v>
      </c>
      <c r="V113" s="778">
        <f t="shared" ca="1" si="29"/>
        <v>17.123693783787665</v>
      </c>
      <c r="W113" s="778">
        <f t="shared" ca="1" si="29"/>
        <v>17.100675586356665</v>
      </c>
      <c r="X113" s="778">
        <f t="shared" ca="1" si="29"/>
        <v>17.076966843002737</v>
      </c>
      <c r="Y113" s="778">
        <f t="shared" ca="1" si="29"/>
        <v>17.043797798456104</v>
      </c>
      <c r="Z113" s="778">
        <f t="shared" ca="1" si="29"/>
        <v>17.018645192631919</v>
      </c>
    </row>
    <row r="114" spans="2:26" x14ac:dyDescent="0.2">
      <c r="B114" s="779" t="s">
        <v>254</v>
      </c>
      <c r="C114" s="780"/>
      <c r="D114" s="780"/>
      <c r="E114" s="780"/>
      <c r="F114" s="781" t="str">
        <f ca="1">+IFERROR(F113/F107,"")</f>
        <v/>
      </c>
      <c r="G114" s="781" t="str">
        <f t="shared" ref="G114:Z114" ca="1" si="30">+IFERROR(G113/G107,"")</f>
        <v/>
      </c>
      <c r="H114" s="781" t="str">
        <f t="shared" ca="1" si="30"/>
        <v/>
      </c>
      <c r="I114" s="782">
        <f t="shared" ca="1" si="30"/>
        <v>0.58314560794463477</v>
      </c>
      <c r="J114" s="782">
        <f t="shared" ca="1" si="30"/>
        <v>0.57651889383387978</v>
      </c>
      <c r="K114" s="782">
        <f t="shared" ca="1" si="30"/>
        <v>0.57205775672693715</v>
      </c>
      <c r="L114" s="782">
        <f t="shared" ca="1" si="30"/>
        <v>0.59241687885826022</v>
      </c>
      <c r="M114" s="782">
        <f t="shared" ca="1" si="30"/>
        <v>0.58580706347117961</v>
      </c>
      <c r="N114" s="782">
        <f t="shared" ca="1" si="30"/>
        <v>0.5812550941579695</v>
      </c>
      <c r="O114" s="782">
        <f t="shared" ca="1" si="30"/>
        <v>0.57662831593917407</v>
      </c>
      <c r="P114" s="782">
        <f t="shared" ca="1" si="30"/>
        <v>0.5698763014526691</v>
      </c>
      <c r="Q114" s="782">
        <f t="shared" ca="1" si="30"/>
        <v>0.59007768354420709</v>
      </c>
      <c r="R114" s="782">
        <f t="shared" ca="1" si="30"/>
        <v>0.58536380558497192</v>
      </c>
      <c r="S114" s="782">
        <f t="shared" ca="1" si="30"/>
        <v>0.57862400607773445</v>
      </c>
      <c r="T114" s="782">
        <f t="shared" ca="1" si="30"/>
        <v>0.57378651324322372</v>
      </c>
      <c r="U114" s="782">
        <f t="shared" ca="1" si="30"/>
        <v>0.56887432689802508</v>
      </c>
      <c r="V114" s="782">
        <f t="shared" ca="1" si="30"/>
        <v>0.58701195209378398</v>
      </c>
      <c r="W114" s="782">
        <f t="shared" ca="1" si="30"/>
        <v>0.58208904136053663</v>
      </c>
      <c r="X114" s="782">
        <f t="shared" ca="1" si="30"/>
        <v>0.57709050462924794</v>
      </c>
      <c r="Y114" s="782">
        <f t="shared" ca="1" si="30"/>
        <v>0.57021720771939621</v>
      </c>
      <c r="Z114" s="782">
        <f t="shared" ca="1" si="30"/>
        <v>0.56509592062379366</v>
      </c>
    </row>
    <row r="115" spans="2:26" x14ac:dyDescent="0.2">
      <c r="B115" s="779" t="s">
        <v>188</v>
      </c>
      <c r="C115" s="780"/>
      <c r="D115" s="780"/>
      <c r="E115" s="780"/>
      <c r="F115" s="783">
        <f ca="1">+'Phase III Pro Forma'!F114/1000000</f>
        <v>0</v>
      </c>
      <c r="G115" s="783">
        <f ca="1">+'Phase III Pro Forma'!G114/1000000</f>
        <v>0</v>
      </c>
      <c r="H115" s="783">
        <f ca="1">+'Phase III Pro Forma'!H114/1000000</f>
        <v>0</v>
      </c>
      <c r="I115" s="783">
        <f ca="1">+'Phase III Pro Forma'!I114/1000000</f>
        <v>98.859407720406892</v>
      </c>
      <c r="J115" s="783">
        <f ca="1">+'Phase III Pro Forma'!J114/1000000</f>
        <v>197.3557608798011</v>
      </c>
      <c r="K115" s="783">
        <f ca="1">+'Phase III Pro Forma'!K114/1000000</f>
        <v>197.10738394816394</v>
      </c>
      <c r="L115" s="783">
        <f ca="1">+'Phase III Pro Forma'!L114/1000000</f>
        <v>218.03680563759789</v>
      </c>
      <c r="M115" s="783">
        <f ca="1">+'Phase III Pro Forma'!M114/1000000</f>
        <v>217.64895240370751</v>
      </c>
      <c r="N115" s="783">
        <f ca="1">+'Phase III Pro Forma'!N114/1000000</f>
        <v>217.37754422433042</v>
      </c>
      <c r="O115" s="783">
        <f ca="1">+'Phase III Pro Forma'!O114/1000000</f>
        <v>217.09799379957204</v>
      </c>
      <c r="P115" s="783">
        <f ca="1">+'Phase III Pro Forma'!P114/1000000</f>
        <v>216.68321971201209</v>
      </c>
      <c r="Q115" s="783">
        <f ca="1">+'Phase III Pro Forma'!Q114/1000000</f>
        <v>239.6904195883082</v>
      </c>
      <c r="R115" s="783">
        <f ca="1">+'Phase III Pro Forma'!R114/1000000</f>
        <v>239.38494729131327</v>
      </c>
      <c r="S115" s="783">
        <f ca="1">+'Phase III Pro Forma'!S114/1000000</f>
        <v>238.94093693234839</v>
      </c>
      <c r="T115" s="783">
        <f ca="1">+'Phase III Pro Forma'!T114/1000000</f>
        <v>238.61686137246647</v>
      </c>
      <c r="U115" s="783">
        <f ca="1">+'Phase III Pro Forma'!U114/1000000</f>
        <v>238.28306354578808</v>
      </c>
      <c r="V115" s="783">
        <f ca="1">+'Phase III Pro Forma'!V114/1000000</f>
        <v>263.44144282750244</v>
      </c>
      <c r="W115" s="783">
        <f ca="1">+'Phase III Pro Forma'!W114/1000000</f>
        <v>263.08731671317946</v>
      </c>
      <c r="X115" s="783">
        <f ca="1">+'Phase III Pro Forma'!X114/1000000</f>
        <v>262.72256681542672</v>
      </c>
      <c r="Y115" s="783">
        <f ca="1">+'Phase III Pro Forma'!Y114/1000000</f>
        <v>262.21227382240158</v>
      </c>
      <c r="Z115" s="783">
        <f ca="1">+'Phase III Pro Forma'!Z114/1000000</f>
        <v>261.82531065587563</v>
      </c>
    </row>
    <row r="116" spans="2:26" ht="5" customHeight="1" x14ac:dyDescent="0.2"/>
    <row r="117" spans="2:26" x14ac:dyDescent="0.2">
      <c r="B117" s="147" t="s">
        <v>221</v>
      </c>
      <c r="C117" s="148"/>
      <c r="D117" s="148"/>
      <c r="E117" s="148"/>
      <c r="F117" s="776">
        <f>+F96</f>
        <v>45657</v>
      </c>
      <c r="G117" s="776">
        <f t="shared" ref="G117:Z117" si="31">+G96</f>
        <v>46022</v>
      </c>
      <c r="H117" s="776">
        <f t="shared" si="31"/>
        <v>46387</v>
      </c>
      <c r="I117" s="776">
        <f t="shared" si="31"/>
        <v>46752</v>
      </c>
      <c r="J117" s="776">
        <f t="shared" si="31"/>
        <v>47118</v>
      </c>
      <c r="K117" s="776">
        <f t="shared" si="31"/>
        <v>47483</v>
      </c>
      <c r="L117" s="776">
        <f t="shared" si="31"/>
        <v>47848</v>
      </c>
      <c r="M117" s="776">
        <f t="shared" si="31"/>
        <v>48213</v>
      </c>
      <c r="N117" s="776">
        <f t="shared" si="31"/>
        <v>48579</v>
      </c>
      <c r="O117" s="776">
        <f t="shared" si="31"/>
        <v>48944</v>
      </c>
      <c r="P117" s="776">
        <f t="shared" si="31"/>
        <v>49309</v>
      </c>
      <c r="Q117" s="776">
        <f t="shared" si="31"/>
        <v>49674</v>
      </c>
      <c r="R117" s="776">
        <f t="shared" si="31"/>
        <v>50040</v>
      </c>
      <c r="S117" s="776">
        <f t="shared" si="31"/>
        <v>50405</v>
      </c>
      <c r="T117" s="776">
        <f t="shared" si="31"/>
        <v>50770</v>
      </c>
      <c r="U117" s="776">
        <f t="shared" si="31"/>
        <v>51135</v>
      </c>
      <c r="V117" s="776">
        <f t="shared" si="31"/>
        <v>51501</v>
      </c>
      <c r="W117" s="776">
        <f t="shared" si="31"/>
        <v>51866</v>
      </c>
      <c r="X117" s="776">
        <f t="shared" si="31"/>
        <v>52231</v>
      </c>
      <c r="Y117" s="776">
        <f t="shared" si="31"/>
        <v>52596</v>
      </c>
      <c r="Z117" s="776">
        <f t="shared" si="31"/>
        <v>52962</v>
      </c>
    </row>
    <row r="118" spans="2:26" hidden="1" x14ac:dyDescent="0.2">
      <c r="B118" s="788" t="s">
        <v>756</v>
      </c>
      <c r="C118" s="788"/>
      <c r="D118" s="791"/>
      <c r="E118" s="791"/>
      <c r="F118" s="789">
        <f>+'Phase III Pro Forma'!F117/1000000</f>
        <v>0</v>
      </c>
      <c r="G118" s="789">
        <f>+'Phase III Pro Forma'!G117/1000000</f>
        <v>0</v>
      </c>
      <c r="H118" s="789">
        <f>+'Phase III Pro Forma'!H117/1000000</f>
        <v>0</v>
      </c>
      <c r="I118" s="789">
        <f>+'Phase III Pro Forma'!I117/1000000</f>
        <v>9.9000000000000005E-2</v>
      </c>
      <c r="J118" s="789">
        <f>+'Phase III Pro Forma'!J117/1000000</f>
        <v>9.9000000000000005E-2</v>
      </c>
      <c r="K118" s="789">
        <f>+'Phase III Pro Forma'!K117/1000000</f>
        <v>0</v>
      </c>
      <c r="L118" s="789">
        <f>+'Phase III Pro Forma'!L117/1000000</f>
        <v>0</v>
      </c>
      <c r="M118" s="789">
        <f>+'Phase III Pro Forma'!M117/1000000</f>
        <v>0</v>
      </c>
      <c r="N118" s="789">
        <f>+'Phase III Pro Forma'!N117/1000000</f>
        <v>0</v>
      </c>
      <c r="O118" s="789">
        <f>+'Phase III Pro Forma'!O117/1000000</f>
        <v>0</v>
      </c>
      <c r="P118" s="789">
        <f>+'Phase III Pro Forma'!P117/1000000</f>
        <v>0</v>
      </c>
      <c r="Q118" s="789">
        <f>+'Phase III Pro Forma'!Q117/1000000</f>
        <v>0</v>
      </c>
      <c r="R118" s="789">
        <f>+'Phase III Pro Forma'!R117/1000000</f>
        <v>0</v>
      </c>
      <c r="S118" s="789">
        <f>+'Phase III Pro Forma'!S117/1000000</f>
        <v>0</v>
      </c>
      <c r="T118" s="789">
        <f>+'Phase III Pro Forma'!T117/1000000</f>
        <v>0</v>
      </c>
      <c r="U118" s="789">
        <f>+'Phase III Pro Forma'!U117/1000000</f>
        <v>0</v>
      </c>
      <c r="V118" s="789">
        <f>+'Phase III Pro Forma'!V117/1000000</f>
        <v>0</v>
      </c>
      <c r="W118" s="789">
        <f>+'Phase III Pro Forma'!W117/1000000</f>
        <v>0</v>
      </c>
      <c r="X118" s="789">
        <f>+'Phase III Pro Forma'!X117/1000000</f>
        <v>0</v>
      </c>
      <c r="Y118" s="789">
        <f>+'Phase III Pro Forma'!Y117/1000000</f>
        <v>0</v>
      </c>
      <c r="Z118" s="789">
        <f>+'Phase III Pro Forma'!Z117/1000000</f>
        <v>0</v>
      </c>
    </row>
    <row r="119" spans="2:26" x14ac:dyDescent="0.2">
      <c r="B119" s="32" t="s">
        <v>490</v>
      </c>
      <c r="C119" s="32"/>
      <c r="D119" s="41"/>
      <c r="E119" s="41"/>
      <c r="F119" s="41">
        <f>+F120-E120</f>
        <v>0</v>
      </c>
      <c r="G119" s="41">
        <f t="shared" ref="G119:Z119" si="32">+G120-F120</f>
        <v>0</v>
      </c>
      <c r="H119" s="41">
        <f t="shared" si="32"/>
        <v>0</v>
      </c>
      <c r="I119" s="41">
        <f t="shared" si="32"/>
        <v>300</v>
      </c>
      <c r="J119" s="41">
        <f t="shared" si="32"/>
        <v>300</v>
      </c>
      <c r="K119" s="41">
        <f t="shared" si="32"/>
        <v>0</v>
      </c>
      <c r="L119" s="41">
        <f t="shared" si="32"/>
        <v>0</v>
      </c>
      <c r="M119" s="41">
        <f t="shared" si="32"/>
        <v>0</v>
      </c>
      <c r="N119" s="41">
        <f t="shared" si="32"/>
        <v>0</v>
      </c>
      <c r="O119" s="41">
        <f t="shared" si="32"/>
        <v>0</v>
      </c>
      <c r="P119" s="41">
        <f t="shared" si="32"/>
        <v>0</v>
      </c>
      <c r="Q119" s="41">
        <f t="shared" si="32"/>
        <v>0</v>
      </c>
      <c r="R119" s="41">
        <f t="shared" si="32"/>
        <v>0</v>
      </c>
      <c r="S119" s="41">
        <f t="shared" si="32"/>
        <v>0</v>
      </c>
      <c r="T119" s="41">
        <f t="shared" si="32"/>
        <v>0</v>
      </c>
      <c r="U119" s="41">
        <f t="shared" si="32"/>
        <v>0</v>
      </c>
      <c r="V119" s="41">
        <f t="shared" si="32"/>
        <v>0</v>
      </c>
      <c r="W119" s="41">
        <f t="shared" si="32"/>
        <v>0</v>
      </c>
      <c r="X119" s="41">
        <f t="shared" si="32"/>
        <v>0</v>
      </c>
      <c r="Y119" s="41">
        <f t="shared" si="32"/>
        <v>0</v>
      </c>
      <c r="Z119" s="41">
        <f t="shared" si="32"/>
        <v>0</v>
      </c>
    </row>
    <row r="120" spans="2:26" hidden="1" x14ac:dyDescent="0.2">
      <c r="B120" s="788" t="s">
        <v>247</v>
      </c>
      <c r="C120" s="788"/>
      <c r="D120" s="791"/>
      <c r="E120" s="791"/>
      <c r="F120" s="789">
        <f>+'Phase III Pro Forma'!F119</f>
        <v>0</v>
      </c>
      <c r="G120" s="789">
        <f>+'Phase III Pro Forma'!G119</f>
        <v>0</v>
      </c>
      <c r="H120" s="789">
        <f>+'Phase III Pro Forma'!H119</f>
        <v>0</v>
      </c>
      <c r="I120" s="789">
        <f>+'Phase III Pro Forma'!I119</f>
        <v>300</v>
      </c>
      <c r="J120" s="789">
        <f>+'Phase III Pro Forma'!J119</f>
        <v>600</v>
      </c>
      <c r="K120" s="789">
        <f>+'Phase III Pro Forma'!K119</f>
        <v>600</v>
      </c>
      <c r="L120" s="789">
        <f>+'Phase III Pro Forma'!L119</f>
        <v>600</v>
      </c>
      <c r="M120" s="789">
        <f>+'Phase III Pro Forma'!M119</f>
        <v>600</v>
      </c>
      <c r="N120" s="789">
        <f>+'Phase III Pro Forma'!N119</f>
        <v>600</v>
      </c>
      <c r="O120" s="789">
        <f>+'Phase III Pro Forma'!O119</f>
        <v>600</v>
      </c>
      <c r="P120" s="789">
        <f>+'Phase III Pro Forma'!P119</f>
        <v>600</v>
      </c>
      <c r="Q120" s="789">
        <f>+'Phase III Pro Forma'!Q119</f>
        <v>600</v>
      </c>
      <c r="R120" s="789">
        <f>+'Phase III Pro Forma'!R119</f>
        <v>600</v>
      </c>
      <c r="S120" s="789">
        <f>+'Phase III Pro Forma'!S119</f>
        <v>600</v>
      </c>
      <c r="T120" s="789">
        <f>+'Phase III Pro Forma'!T119</f>
        <v>600</v>
      </c>
      <c r="U120" s="789">
        <f>+'Phase III Pro Forma'!U119</f>
        <v>600</v>
      </c>
      <c r="V120" s="789">
        <f>+'Phase III Pro Forma'!V119</f>
        <v>600</v>
      </c>
      <c r="W120" s="789">
        <f>+'Phase III Pro Forma'!W119</f>
        <v>600</v>
      </c>
      <c r="X120" s="789">
        <f>+'Phase III Pro Forma'!X119</f>
        <v>600</v>
      </c>
      <c r="Y120" s="789">
        <f>+'Phase III Pro Forma'!Y119</f>
        <v>600</v>
      </c>
      <c r="Z120" s="789">
        <f>+'Phase III Pro Forma'!Z119</f>
        <v>600</v>
      </c>
    </row>
    <row r="121" spans="2:26" hidden="1" x14ac:dyDescent="0.2">
      <c r="B121" s="788" t="s">
        <v>784</v>
      </c>
      <c r="C121" s="788"/>
      <c r="D121" s="789">
        <v>0</v>
      </c>
      <c r="E121" s="789"/>
      <c r="F121" s="789">
        <f>+D121+F118</f>
        <v>0</v>
      </c>
      <c r="G121" s="789">
        <f t="shared" ref="G121:Z121" si="33">+F121+G118</f>
        <v>0</v>
      </c>
      <c r="H121" s="789">
        <f t="shared" si="33"/>
        <v>0</v>
      </c>
      <c r="I121" s="789">
        <f t="shared" si="33"/>
        <v>9.9000000000000005E-2</v>
      </c>
      <c r="J121" s="789">
        <f t="shared" si="33"/>
        <v>0.19800000000000001</v>
      </c>
      <c r="K121" s="789">
        <f t="shared" si="33"/>
        <v>0.19800000000000001</v>
      </c>
      <c r="L121" s="789">
        <f t="shared" si="33"/>
        <v>0.19800000000000001</v>
      </c>
      <c r="M121" s="789">
        <f t="shared" si="33"/>
        <v>0.19800000000000001</v>
      </c>
      <c r="N121" s="789">
        <f t="shared" si="33"/>
        <v>0.19800000000000001</v>
      </c>
      <c r="O121" s="789">
        <f t="shared" si="33"/>
        <v>0.19800000000000001</v>
      </c>
      <c r="P121" s="789">
        <f t="shared" si="33"/>
        <v>0.19800000000000001</v>
      </c>
      <c r="Q121" s="789">
        <f t="shared" si="33"/>
        <v>0.19800000000000001</v>
      </c>
      <c r="R121" s="789">
        <f t="shared" si="33"/>
        <v>0.19800000000000001</v>
      </c>
      <c r="S121" s="789">
        <f t="shared" si="33"/>
        <v>0.19800000000000001</v>
      </c>
      <c r="T121" s="789">
        <f t="shared" si="33"/>
        <v>0.19800000000000001</v>
      </c>
      <c r="U121" s="789">
        <f t="shared" si="33"/>
        <v>0.19800000000000001</v>
      </c>
      <c r="V121" s="789">
        <f t="shared" si="33"/>
        <v>0.19800000000000001</v>
      </c>
      <c r="W121" s="789">
        <f t="shared" si="33"/>
        <v>0.19800000000000001</v>
      </c>
      <c r="X121" s="789">
        <f t="shared" si="33"/>
        <v>0.19800000000000001</v>
      </c>
      <c r="Y121" s="789">
        <f t="shared" si="33"/>
        <v>0.19800000000000001</v>
      </c>
      <c r="Z121" s="789">
        <f t="shared" si="33"/>
        <v>0.19800000000000001</v>
      </c>
    </row>
    <row r="122" spans="2:26" hidden="1" x14ac:dyDescent="0.2">
      <c r="B122" s="788" t="s">
        <v>301</v>
      </c>
      <c r="C122" s="788"/>
      <c r="D122" s="789"/>
      <c r="E122" s="789"/>
      <c r="F122" s="790">
        <f t="shared" ref="F122:Z122" si="34">+F121/SUM($F118:$Z118)</f>
        <v>0</v>
      </c>
      <c r="G122" s="790">
        <f t="shared" si="34"/>
        <v>0</v>
      </c>
      <c r="H122" s="790">
        <f t="shared" si="34"/>
        <v>0</v>
      </c>
      <c r="I122" s="790">
        <f t="shared" si="34"/>
        <v>0.5</v>
      </c>
      <c r="J122" s="790">
        <f t="shared" si="34"/>
        <v>1</v>
      </c>
      <c r="K122" s="790">
        <f t="shared" si="34"/>
        <v>1</v>
      </c>
      <c r="L122" s="790">
        <f t="shared" si="34"/>
        <v>1</v>
      </c>
      <c r="M122" s="790">
        <f t="shared" si="34"/>
        <v>1</v>
      </c>
      <c r="N122" s="790">
        <f t="shared" si="34"/>
        <v>1</v>
      </c>
      <c r="O122" s="790">
        <f t="shared" si="34"/>
        <v>1</v>
      </c>
      <c r="P122" s="790">
        <f t="shared" si="34"/>
        <v>1</v>
      </c>
      <c r="Q122" s="790">
        <f t="shared" si="34"/>
        <v>1</v>
      </c>
      <c r="R122" s="790">
        <f t="shared" si="34"/>
        <v>1</v>
      </c>
      <c r="S122" s="790">
        <f t="shared" si="34"/>
        <v>1</v>
      </c>
      <c r="T122" s="790">
        <f t="shared" si="34"/>
        <v>1</v>
      </c>
      <c r="U122" s="790">
        <f t="shared" si="34"/>
        <v>1</v>
      </c>
      <c r="V122" s="790">
        <f t="shared" si="34"/>
        <v>1</v>
      </c>
      <c r="W122" s="790">
        <f t="shared" si="34"/>
        <v>1</v>
      </c>
      <c r="X122" s="790">
        <f t="shared" si="34"/>
        <v>1</v>
      </c>
      <c r="Y122" s="790">
        <f t="shared" si="34"/>
        <v>1</v>
      </c>
      <c r="Z122" s="790">
        <f t="shared" si="34"/>
        <v>1</v>
      </c>
    </row>
    <row r="123" spans="2:26" hidden="1" x14ac:dyDescent="0.2">
      <c r="B123" s="788"/>
      <c r="C123" s="788"/>
      <c r="D123" s="791"/>
      <c r="E123" s="791"/>
      <c r="F123" s="792"/>
      <c r="G123" s="792"/>
      <c r="H123" s="792"/>
      <c r="I123" s="792"/>
      <c r="J123" s="792"/>
      <c r="K123" s="792"/>
      <c r="L123" s="792"/>
      <c r="M123" s="792"/>
      <c r="N123" s="792"/>
      <c r="O123" s="792"/>
      <c r="P123" s="792"/>
      <c r="Q123" s="792"/>
      <c r="R123" s="792"/>
      <c r="S123" s="792"/>
      <c r="T123" s="792"/>
      <c r="U123" s="792"/>
      <c r="V123" s="792"/>
      <c r="W123" s="792"/>
      <c r="X123" s="792"/>
      <c r="Y123" s="792"/>
      <c r="Z123" s="792"/>
    </row>
    <row r="124" spans="2:26" hidden="1" x14ac:dyDescent="0.2">
      <c r="B124" s="788" t="s">
        <v>251</v>
      </c>
      <c r="C124" s="788"/>
      <c r="D124" s="789"/>
      <c r="E124" s="789"/>
      <c r="F124" s="790">
        <f>+'Phase III Pro Forma'!F123</f>
        <v>1</v>
      </c>
      <c r="G124" s="790">
        <f>+'Phase III Pro Forma'!G123</f>
        <v>1.02</v>
      </c>
      <c r="H124" s="790">
        <f>+'Phase III Pro Forma'!H123</f>
        <v>1.0404</v>
      </c>
      <c r="I124" s="790">
        <f>+'Phase III Pro Forma'!I123</f>
        <v>1.0612079999999999</v>
      </c>
      <c r="J124" s="790">
        <f>+'Phase III Pro Forma'!J123</f>
        <v>1.08243216</v>
      </c>
      <c r="K124" s="790">
        <f>+'Phase III Pro Forma'!K123</f>
        <v>1.1040808032</v>
      </c>
      <c r="L124" s="790">
        <f>+'Phase III Pro Forma'!L123</f>
        <v>1.1261624192640001</v>
      </c>
      <c r="M124" s="790">
        <f>+'Phase III Pro Forma'!M123</f>
        <v>1.14868566764928</v>
      </c>
      <c r="N124" s="790">
        <f>+'Phase III Pro Forma'!N123</f>
        <v>1.1716593810022657</v>
      </c>
      <c r="O124" s="790">
        <f>+'Phase III Pro Forma'!O123</f>
        <v>1.1950925686223111</v>
      </c>
      <c r="P124" s="790">
        <f>+'Phase III Pro Forma'!P123</f>
        <v>1.2189944199947573</v>
      </c>
      <c r="Q124" s="790">
        <f>+'Phase III Pro Forma'!Q123</f>
        <v>1.2433743083946525</v>
      </c>
      <c r="R124" s="790">
        <f>+'Phase III Pro Forma'!R123</f>
        <v>1.2682417945625455</v>
      </c>
      <c r="S124" s="790">
        <f>+'Phase III Pro Forma'!S123</f>
        <v>1.2936066304537963</v>
      </c>
      <c r="T124" s="790">
        <f>+'Phase III Pro Forma'!T123</f>
        <v>1.3194787630628724</v>
      </c>
      <c r="U124" s="790">
        <f>+'Phase III Pro Forma'!U123</f>
        <v>1.3458683383241299</v>
      </c>
      <c r="V124" s="790">
        <f>+'Phase III Pro Forma'!V123</f>
        <v>1.3727857050906125</v>
      </c>
      <c r="W124" s="790">
        <f>+'Phase III Pro Forma'!W123</f>
        <v>1.4002414191924248</v>
      </c>
      <c r="X124" s="790">
        <f>+'Phase III Pro Forma'!X123</f>
        <v>1.4282462475762734</v>
      </c>
      <c r="Y124" s="790">
        <f>+'Phase III Pro Forma'!Y123</f>
        <v>1.4568111725277988</v>
      </c>
      <c r="Z124" s="790">
        <f>+'Phase III Pro Forma'!Z123</f>
        <v>1.4859473959783549</v>
      </c>
    </row>
    <row r="125" spans="2:26" hidden="1" x14ac:dyDescent="0.2">
      <c r="B125" s="788" t="s">
        <v>252</v>
      </c>
      <c r="C125" s="788"/>
      <c r="D125" s="789"/>
      <c r="E125" s="789"/>
      <c r="F125" s="790">
        <f>+'Phase III Pro Forma'!F124</f>
        <v>1</v>
      </c>
      <c r="G125" s="790">
        <f>+'Phase III Pro Forma'!G124</f>
        <v>1.03</v>
      </c>
      <c r="H125" s="790">
        <f>+'Phase III Pro Forma'!H124</f>
        <v>1.0609</v>
      </c>
      <c r="I125" s="790">
        <f>+'Phase III Pro Forma'!I124</f>
        <v>1.092727</v>
      </c>
      <c r="J125" s="790">
        <f>+'Phase III Pro Forma'!J124</f>
        <v>1.1255088100000001</v>
      </c>
      <c r="K125" s="790">
        <f>+'Phase III Pro Forma'!K124</f>
        <v>1.1592740743000001</v>
      </c>
      <c r="L125" s="790">
        <f>+'Phase III Pro Forma'!L124</f>
        <v>1.1940522965290001</v>
      </c>
      <c r="M125" s="790">
        <f>+'Phase III Pro Forma'!M124</f>
        <v>1.2298738654248702</v>
      </c>
      <c r="N125" s="790">
        <f>+'Phase III Pro Forma'!N124</f>
        <v>1.2667700813876164</v>
      </c>
      <c r="O125" s="790">
        <f>+'Phase III Pro Forma'!O124</f>
        <v>1.3047731838292449</v>
      </c>
      <c r="P125" s="790">
        <f>+'Phase III Pro Forma'!P124</f>
        <v>1.3439163793441222</v>
      </c>
      <c r="Q125" s="790">
        <f>+'Phase III Pro Forma'!Q124</f>
        <v>1.3842338707244459</v>
      </c>
      <c r="R125" s="790">
        <f>+'Phase III Pro Forma'!R124</f>
        <v>1.4257608868461793</v>
      </c>
      <c r="S125" s="790">
        <f>+'Phase III Pro Forma'!S124</f>
        <v>1.4685337134515648</v>
      </c>
      <c r="T125" s="790">
        <f>+'Phase III Pro Forma'!T124</f>
        <v>1.5125897248551119</v>
      </c>
      <c r="U125" s="790">
        <f>+'Phase III Pro Forma'!U124</f>
        <v>1.5579674166007653</v>
      </c>
      <c r="V125" s="790">
        <f>+'Phase III Pro Forma'!V124</f>
        <v>1.6047064390987884</v>
      </c>
      <c r="W125" s="790">
        <f>+'Phase III Pro Forma'!W124</f>
        <v>1.652847632271752</v>
      </c>
      <c r="X125" s="790">
        <f>+'Phase III Pro Forma'!X124</f>
        <v>1.7024330612399046</v>
      </c>
      <c r="Y125" s="790">
        <f>+'Phase III Pro Forma'!Y124</f>
        <v>1.7535060530771018</v>
      </c>
      <c r="Z125" s="790">
        <f>+'Phase III Pro Forma'!Z124</f>
        <v>1.806111234669415</v>
      </c>
    </row>
    <row r="126" spans="2:26" ht="5" customHeight="1" x14ac:dyDescent="0.2">
      <c r="B126" s="32"/>
      <c r="C126" s="32"/>
      <c r="D126" s="39"/>
      <c r="E126" s="39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 spans="2:26" x14ac:dyDescent="0.2">
      <c r="B127" s="32" t="s">
        <v>243</v>
      </c>
      <c r="C127" s="32"/>
      <c r="D127" s="39"/>
      <c r="E127" s="39"/>
      <c r="F127" s="48">
        <f>+'Phase III Pro Forma'!F126/1000000</f>
        <v>0</v>
      </c>
      <c r="G127" s="48">
        <f>+'Phase III Pro Forma'!G126/1000000</f>
        <v>0</v>
      </c>
      <c r="H127" s="48">
        <f>+'Phase III Pro Forma'!H126/1000000</f>
        <v>0</v>
      </c>
      <c r="I127" s="48">
        <f>+'Phase III Pro Forma'!I126/1000000</f>
        <v>0.55826123447755016</v>
      </c>
      <c r="J127" s="48">
        <f>+'Phase III Pro Forma'!J126/1000000</f>
        <v>1.1388529183342024</v>
      </c>
      <c r="K127" s="48">
        <f>+'Phase III Pro Forma'!K126/1000000</f>
        <v>1.1616299767008864</v>
      </c>
      <c r="L127" s="48">
        <f>+'Phase III Pro Forma'!L126/1000000</f>
        <v>1.1848625762349041</v>
      </c>
      <c r="M127" s="48">
        <f>+'Phase III Pro Forma'!M126/1000000</f>
        <v>1.2085598277596021</v>
      </c>
      <c r="N127" s="48">
        <f>+'Phase III Pro Forma'!N126/1000000</f>
        <v>1.2327310243147944</v>
      </c>
      <c r="O127" s="48">
        <f>+'Phase III Pro Forma'!O126/1000000</f>
        <v>1.2573856448010903</v>
      </c>
      <c r="P127" s="48">
        <f>+'Phase III Pro Forma'!P126/1000000</f>
        <v>1.2825333576971121</v>
      </c>
      <c r="Q127" s="48">
        <f>+'Phase III Pro Forma'!Q126/1000000</f>
        <v>1.3081840248510543</v>
      </c>
      <c r="R127" s="48">
        <f>+'Phase III Pro Forma'!R126/1000000</f>
        <v>1.3343477053480755</v>
      </c>
      <c r="S127" s="48">
        <f>+'Phase III Pro Forma'!S126/1000000</f>
        <v>1.3610346594550367</v>
      </c>
      <c r="T127" s="48">
        <f>+'Phase III Pro Forma'!T126/1000000</f>
        <v>1.3882553526441375</v>
      </c>
      <c r="U127" s="48">
        <f>+'Phase III Pro Forma'!U126/1000000</f>
        <v>1.4160204596970205</v>
      </c>
      <c r="V127" s="48">
        <f>+'Phase III Pro Forma'!V126/1000000</f>
        <v>1.4443408688909609</v>
      </c>
      <c r="W127" s="48">
        <f>+'Phase III Pro Forma'!W126/1000000</f>
        <v>1.4732276862687801</v>
      </c>
      <c r="X127" s="48">
        <f>+'Phase III Pro Forma'!X126/1000000</f>
        <v>1.502692239994156</v>
      </c>
      <c r="Y127" s="48">
        <f>+'Phase III Pro Forma'!Y126/1000000</f>
        <v>1.5327460847940388</v>
      </c>
      <c r="Z127" s="48">
        <f>+'Phase III Pro Forma'!Z126/1000000</f>
        <v>1.56340100648992</v>
      </c>
    </row>
    <row r="128" spans="2:26" x14ac:dyDescent="0.2">
      <c r="B128" s="32" t="s">
        <v>244</v>
      </c>
      <c r="C128" s="32"/>
      <c r="D128" s="39"/>
      <c r="E128" s="39"/>
      <c r="F128" s="771">
        <f>+'Phase III Pro Forma'!F127/1000000</f>
        <v>0</v>
      </c>
      <c r="G128" s="771">
        <f>+'Phase III Pro Forma'!G127/1000000</f>
        <v>0</v>
      </c>
      <c r="H128" s="771">
        <f>+'Phase III Pro Forma'!H127/1000000</f>
        <v>0</v>
      </c>
      <c r="I128" s="771">
        <f>+'Phase III Pro Forma'!I127/1000000</f>
        <v>-5.5826123447755019E-2</v>
      </c>
      <c r="J128" s="771">
        <f>+'Phase III Pro Forma'!J127/1000000</f>
        <v>-0.11388529183342024</v>
      </c>
      <c r="K128" s="771">
        <f>+'Phase III Pro Forma'!K127/1000000</f>
        <v>-0.11616299767008864</v>
      </c>
      <c r="L128" s="771">
        <f>+'Phase III Pro Forma'!L127/1000000</f>
        <v>-0.11848625762349041</v>
      </c>
      <c r="M128" s="771">
        <f>+'Phase III Pro Forma'!M127/1000000</f>
        <v>-0.12085598277596021</v>
      </c>
      <c r="N128" s="771">
        <f>+'Phase III Pro Forma'!N127/1000000</f>
        <v>-0.12327310243147944</v>
      </c>
      <c r="O128" s="771">
        <f>+'Phase III Pro Forma'!O127/1000000</f>
        <v>-0.12573856448010903</v>
      </c>
      <c r="P128" s="771">
        <f>+'Phase III Pro Forma'!P127/1000000</f>
        <v>-0.12825333576971121</v>
      </c>
      <c r="Q128" s="771">
        <f>+'Phase III Pro Forma'!Q127/1000000</f>
        <v>-0.13081840248510543</v>
      </c>
      <c r="R128" s="771">
        <f>+'Phase III Pro Forma'!R127/1000000</f>
        <v>-0.13343477053480757</v>
      </c>
      <c r="S128" s="771">
        <f>+'Phase III Pro Forma'!S127/1000000</f>
        <v>-0.13610346594550368</v>
      </c>
      <c r="T128" s="771">
        <f>+'Phase III Pro Forma'!T127/1000000</f>
        <v>-0.13882553526441377</v>
      </c>
      <c r="U128" s="771">
        <f>+'Phase III Pro Forma'!U127/1000000</f>
        <v>-0.14160204596970205</v>
      </c>
      <c r="V128" s="771">
        <f>+'Phase III Pro Forma'!V127/1000000</f>
        <v>-0.14443408688909609</v>
      </c>
      <c r="W128" s="771">
        <f>+'Phase III Pro Forma'!W127/1000000</f>
        <v>-0.14732276862687801</v>
      </c>
      <c r="X128" s="771">
        <f>+'Phase III Pro Forma'!X127/1000000</f>
        <v>-0.15026922399941561</v>
      </c>
      <c r="Y128" s="771">
        <f>+'Phase III Pro Forma'!Y127/1000000</f>
        <v>-0.15327460847940388</v>
      </c>
      <c r="Z128" s="771">
        <f>+'Phase III Pro Forma'!Z127/1000000</f>
        <v>-0.15634010064899201</v>
      </c>
    </row>
    <row r="129" spans="2:26" x14ac:dyDescent="0.2">
      <c r="B129" s="136" t="s">
        <v>253</v>
      </c>
      <c r="C129" s="136"/>
      <c r="D129" s="136"/>
      <c r="E129" s="136"/>
      <c r="F129" s="773">
        <f>+'Phase III Pro Forma'!F128/1000000</f>
        <v>0</v>
      </c>
      <c r="G129" s="773">
        <f>+'Phase III Pro Forma'!G128/1000000</f>
        <v>0</v>
      </c>
      <c r="H129" s="773">
        <f>+'Phase III Pro Forma'!H128/1000000</f>
        <v>0</v>
      </c>
      <c r="I129" s="773">
        <f>+'Phase III Pro Forma'!I128/1000000</f>
        <v>0.5024351110297951</v>
      </c>
      <c r="J129" s="773">
        <f>+'Phase III Pro Forma'!J128/1000000</f>
        <v>1.0249676265007821</v>
      </c>
      <c r="K129" s="773">
        <f>+'Phase III Pro Forma'!K128/1000000</f>
        <v>1.0454669790307978</v>
      </c>
      <c r="L129" s="773">
        <f>+'Phase III Pro Forma'!L128/1000000</f>
        <v>1.0663763186114137</v>
      </c>
      <c r="M129" s="773">
        <f>+'Phase III Pro Forma'!M128/1000000</f>
        <v>1.087703844983642</v>
      </c>
      <c r="N129" s="773">
        <f>+'Phase III Pro Forma'!N128/1000000</f>
        <v>1.1094579218833152</v>
      </c>
      <c r="O129" s="773">
        <f>+'Phase III Pro Forma'!O128/1000000</f>
        <v>1.1316470803209813</v>
      </c>
      <c r="P129" s="773">
        <f>+'Phase III Pro Forma'!P128/1000000</f>
        <v>1.1542800219274008</v>
      </c>
      <c r="Q129" s="773">
        <f>+'Phase III Pro Forma'!Q128/1000000</f>
        <v>1.177365622365949</v>
      </c>
      <c r="R129" s="773">
        <f>+'Phase III Pro Forma'!R128/1000000</f>
        <v>1.2009129348132679</v>
      </c>
      <c r="S129" s="773">
        <f>+'Phase III Pro Forma'!S128/1000000</f>
        <v>1.2249311935095331</v>
      </c>
      <c r="T129" s="773">
        <f>+'Phase III Pro Forma'!T128/1000000</f>
        <v>1.2494298173797238</v>
      </c>
      <c r="U129" s="773">
        <f>+'Phase III Pro Forma'!U128/1000000</f>
        <v>1.2744184137273185</v>
      </c>
      <c r="V129" s="773">
        <f>+'Phase III Pro Forma'!V128/1000000</f>
        <v>1.2999067820018648</v>
      </c>
      <c r="W129" s="773">
        <f>+'Phase III Pro Forma'!W128/1000000</f>
        <v>1.3259049176419022</v>
      </c>
      <c r="X129" s="773">
        <f>+'Phase III Pro Forma'!X128/1000000</f>
        <v>1.3524230159947404</v>
      </c>
      <c r="Y129" s="773">
        <f>+'Phase III Pro Forma'!Y128/1000000</f>
        <v>1.379471476314635</v>
      </c>
      <c r="Z129" s="773">
        <f>+'Phase III Pro Forma'!Z128/1000000</f>
        <v>1.407060905840928</v>
      </c>
    </row>
    <row r="130" spans="2:26" ht="5" customHeight="1" x14ac:dyDescent="0.2"/>
    <row r="131" spans="2:26" x14ac:dyDescent="0.2">
      <c r="B131" s="32" t="s">
        <v>389</v>
      </c>
      <c r="F131" s="48">
        <f>+'Phase III Pro Forma'!F130/1000000</f>
        <v>0</v>
      </c>
      <c r="G131" s="48">
        <f>+'Phase III Pro Forma'!G130/1000000</f>
        <v>0</v>
      </c>
      <c r="H131" s="48">
        <f>+'Phase III Pro Forma'!H130/1000000</f>
        <v>0</v>
      </c>
      <c r="I131" s="48">
        <f>+'Phase III Pro Forma'!I130/1000000</f>
        <v>0.17742042703504801</v>
      </c>
      <c r="J131" s="48">
        <f>+'Phase III Pro Forma'!J130/1000000</f>
        <v>0.36548607969219893</v>
      </c>
      <c r="K131" s="48">
        <f>+'Phase III Pro Forma'!K130/1000000</f>
        <v>0.3764506620829649</v>
      </c>
      <c r="L131" s="48">
        <f>+'Phase III Pro Forma'!L130/1000000</f>
        <v>0.38774418194545385</v>
      </c>
      <c r="M131" s="48">
        <f>+'Phase III Pro Forma'!M130/1000000</f>
        <v>0.39937650740381753</v>
      </c>
      <c r="N131" s="48">
        <f>+'Phase III Pro Forma'!N130/1000000</f>
        <v>0.41135780262593208</v>
      </c>
      <c r="O131" s="48">
        <f>+'Phase III Pro Forma'!O130/1000000</f>
        <v>0.42369853670471003</v>
      </c>
      <c r="P131" s="48">
        <f>+'Phase III Pro Forma'!P130/1000000</f>
        <v>0.43640949280585134</v>
      </c>
      <c r="Q131" s="48">
        <f>+'Phase III Pro Forma'!Q130/1000000</f>
        <v>0.44950177759002691</v>
      </c>
      <c r="R131" s="48">
        <f>+'Phase III Pro Forma'!R130/1000000</f>
        <v>0.46298683091772774</v>
      </c>
      <c r="S131" s="48">
        <f>+'Phase III Pro Forma'!S130/1000000</f>
        <v>0.47687643584525957</v>
      </c>
      <c r="T131" s="48">
        <f>+'Phase III Pro Forma'!T130/1000000</f>
        <v>0.49118272892061743</v>
      </c>
      <c r="U131" s="48">
        <f>+'Phase III Pro Forma'!U130/1000000</f>
        <v>0.50591821078823596</v>
      </c>
      <c r="V131" s="48">
        <f>+'Phase III Pro Forma'!V130/1000000</f>
        <v>0.52109575711188305</v>
      </c>
      <c r="W131" s="48">
        <f>+'Phase III Pro Forma'!W130/1000000</f>
        <v>0.5367286298252395</v>
      </c>
      <c r="X131" s="48">
        <f>+'Phase III Pro Forma'!X130/1000000</f>
        <v>0.55283048871999674</v>
      </c>
      <c r="Y131" s="48">
        <f>+'Phase III Pro Forma'!Y130/1000000</f>
        <v>0.56941540338159669</v>
      </c>
      <c r="Z131" s="48">
        <f>+'Phase III Pro Forma'!Z130/1000000</f>
        <v>0.58649786548304461</v>
      </c>
    </row>
    <row r="132" spans="2:26" x14ac:dyDescent="0.2">
      <c r="B132" s="32" t="s">
        <v>325</v>
      </c>
      <c r="F132" s="772">
        <f ca="1">+'Phase III Pro Forma'!F131/1000000</f>
        <v>0</v>
      </c>
      <c r="G132" s="772">
        <f ca="1">+'Phase III Pro Forma'!G131/1000000</f>
        <v>0</v>
      </c>
      <c r="H132" s="772">
        <f ca="1">+'Phase III Pro Forma'!H131/1000000</f>
        <v>0</v>
      </c>
      <c r="I132" s="772">
        <f ca="1">+'Phase III Pro Forma'!I131/1000000</f>
        <v>7.8641124715931141E-2</v>
      </c>
      <c r="J132" s="772">
        <f ca="1">+'Phase III Pro Forma'!J131/1000000</f>
        <v>0.16042789442049957</v>
      </c>
      <c r="K132" s="772">
        <f ca="1">+'Phase III Pro Forma'!K131/1000000</f>
        <v>0.16042789442049957</v>
      </c>
      <c r="L132" s="772">
        <f ca="1">+'Phase III Pro Forma'!L131/1000000</f>
        <v>0.16042789442049957</v>
      </c>
      <c r="M132" s="772">
        <f ca="1">+'Phase III Pro Forma'!M131/1000000</f>
        <v>0.16363645230890952</v>
      </c>
      <c r="N132" s="772">
        <f ca="1">+'Phase III Pro Forma'!N131/1000000</f>
        <v>0.16363645230890952</v>
      </c>
      <c r="O132" s="772">
        <f ca="1">+'Phase III Pro Forma'!O131/1000000</f>
        <v>0.16363645230890952</v>
      </c>
      <c r="P132" s="772">
        <f ca="1">+'Phase III Pro Forma'!P131/1000000</f>
        <v>0.16690918135508775</v>
      </c>
      <c r="Q132" s="772">
        <f ca="1">+'Phase III Pro Forma'!Q131/1000000</f>
        <v>0.16690918135508775</v>
      </c>
      <c r="R132" s="772">
        <f ca="1">+'Phase III Pro Forma'!R131/1000000</f>
        <v>0.16690918135508775</v>
      </c>
      <c r="S132" s="772">
        <f ca="1">+'Phase III Pro Forma'!S131/1000000</f>
        <v>0.17024736498218948</v>
      </c>
      <c r="T132" s="772">
        <f ca="1">+'Phase III Pro Forma'!T131/1000000</f>
        <v>0.17024736498218948</v>
      </c>
      <c r="U132" s="772">
        <f ca="1">+'Phase III Pro Forma'!U131/1000000</f>
        <v>0.17024736498218948</v>
      </c>
      <c r="V132" s="772">
        <f ca="1">+'Phase III Pro Forma'!V131/1000000</f>
        <v>0.17365231228183331</v>
      </c>
      <c r="W132" s="772">
        <f ca="1">+'Phase III Pro Forma'!W131/1000000</f>
        <v>0.17365231228183331</v>
      </c>
      <c r="X132" s="772">
        <f ca="1">+'Phase III Pro Forma'!X131/1000000</f>
        <v>0.17365231228183331</v>
      </c>
      <c r="Y132" s="772">
        <f ca="1">+'Phase III Pro Forma'!Y131/1000000</f>
        <v>0.17712535852746997</v>
      </c>
      <c r="Z132" s="772">
        <f ca="1">+'Phase III Pro Forma'!Z131/1000000</f>
        <v>0.17712535852746997</v>
      </c>
    </row>
    <row r="133" spans="2:26" x14ac:dyDescent="0.2">
      <c r="B133" s="136" t="s">
        <v>249</v>
      </c>
      <c r="C133" s="136"/>
      <c r="D133" s="136"/>
      <c r="E133" s="136"/>
      <c r="F133" s="773">
        <f ca="1">+'Phase III Pro Forma'!F132/1000000</f>
        <v>0</v>
      </c>
      <c r="G133" s="773">
        <f ca="1">+'Phase III Pro Forma'!G132/1000000</f>
        <v>0</v>
      </c>
      <c r="H133" s="773">
        <f ca="1">+'Phase III Pro Forma'!H132/1000000</f>
        <v>0</v>
      </c>
      <c r="I133" s="773">
        <f ca="1">+'Phase III Pro Forma'!I132/1000000</f>
        <v>0.25606155175097917</v>
      </c>
      <c r="J133" s="773">
        <f ca="1">+'Phase III Pro Forma'!J132/1000000</f>
        <v>0.52591397411269858</v>
      </c>
      <c r="K133" s="773">
        <f ca="1">+'Phase III Pro Forma'!K132/1000000</f>
        <v>0.5368785565034645</v>
      </c>
      <c r="L133" s="773">
        <f ca="1">+'Phase III Pro Forma'!L132/1000000</f>
        <v>0.54817207636595344</v>
      </c>
      <c r="M133" s="773">
        <f ca="1">+'Phase III Pro Forma'!M132/1000000</f>
        <v>0.56301295971272713</v>
      </c>
      <c r="N133" s="773">
        <f ca="1">+'Phase III Pro Forma'!N132/1000000</f>
        <v>0.57499425493484169</v>
      </c>
      <c r="O133" s="773">
        <f ca="1">+'Phase III Pro Forma'!O132/1000000</f>
        <v>0.58733498901361958</v>
      </c>
      <c r="P133" s="773">
        <f ca="1">+'Phase III Pro Forma'!P132/1000000</f>
        <v>0.60331867416093909</v>
      </c>
      <c r="Q133" s="773">
        <f ca="1">+'Phase III Pro Forma'!Q132/1000000</f>
        <v>0.61641095894511466</v>
      </c>
      <c r="R133" s="773">
        <f ca="1">+'Phase III Pro Forma'!R132/1000000</f>
        <v>0.62989601227281544</v>
      </c>
      <c r="S133" s="773">
        <f ca="1">+'Phase III Pro Forma'!S132/1000000</f>
        <v>0.64712380082744902</v>
      </c>
      <c r="T133" s="773">
        <f ca="1">+'Phase III Pro Forma'!T132/1000000</f>
        <v>0.66143009390280694</v>
      </c>
      <c r="U133" s="773">
        <f ca="1">+'Phase III Pro Forma'!U132/1000000</f>
        <v>0.67616557577042535</v>
      </c>
      <c r="V133" s="773">
        <f ca="1">+'Phase III Pro Forma'!V132/1000000</f>
        <v>0.69474806939371636</v>
      </c>
      <c r="W133" s="773">
        <f ca="1">+'Phase III Pro Forma'!W132/1000000</f>
        <v>0.71038094210707281</v>
      </c>
      <c r="X133" s="773">
        <f ca="1">+'Phase III Pro Forma'!X132/1000000</f>
        <v>0.72648280100183005</v>
      </c>
      <c r="Y133" s="773">
        <f ca="1">+'Phase III Pro Forma'!Y132/1000000</f>
        <v>0.74654076190906671</v>
      </c>
      <c r="Z133" s="773">
        <f ca="1">+'Phase III Pro Forma'!Z132/1000000</f>
        <v>0.76362322401051452</v>
      </c>
    </row>
    <row r="134" spans="2:26" ht="5" customHeight="1" x14ac:dyDescent="0.2">
      <c r="B134" s="32"/>
    </row>
    <row r="135" spans="2:26" x14ac:dyDescent="0.2">
      <c r="B135" s="777" t="s">
        <v>248</v>
      </c>
      <c r="C135" s="777"/>
      <c r="D135" s="777"/>
      <c r="E135" s="777"/>
      <c r="F135" s="778">
        <f ca="1">+F129-F133</f>
        <v>0</v>
      </c>
      <c r="G135" s="778">
        <f t="shared" ref="G135:Z135" ca="1" si="35">+G129-G133</f>
        <v>0</v>
      </c>
      <c r="H135" s="778">
        <f t="shared" ca="1" si="35"/>
        <v>0</v>
      </c>
      <c r="I135" s="778">
        <f t="shared" ca="1" si="35"/>
        <v>0.24637355927881593</v>
      </c>
      <c r="J135" s="778">
        <f t="shared" ca="1" si="35"/>
        <v>0.49905365238808352</v>
      </c>
      <c r="K135" s="778">
        <f t="shared" ca="1" si="35"/>
        <v>0.50858842252733327</v>
      </c>
      <c r="L135" s="778">
        <f t="shared" ca="1" si="35"/>
        <v>0.51820424224546024</v>
      </c>
      <c r="M135" s="778">
        <f t="shared" ca="1" si="35"/>
        <v>0.5246908852709149</v>
      </c>
      <c r="N135" s="778">
        <f t="shared" ca="1" si="35"/>
        <v>0.53446366694847347</v>
      </c>
      <c r="O135" s="778">
        <f t="shared" ca="1" si="35"/>
        <v>0.54431209130736169</v>
      </c>
      <c r="P135" s="778">
        <f t="shared" ca="1" si="35"/>
        <v>0.55096134776646166</v>
      </c>
      <c r="Q135" s="778">
        <f t="shared" ca="1" si="35"/>
        <v>0.56095466342083433</v>
      </c>
      <c r="R135" s="778">
        <f t="shared" ca="1" si="35"/>
        <v>0.57101692254045244</v>
      </c>
      <c r="S135" s="778">
        <f t="shared" ca="1" si="35"/>
        <v>0.57780739268208403</v>
      </c>
      <c r="T135" s="778">
        <f t="shared" ca="1" si="35"/>
        <v>0.58799972347691687</v>
      </c>
      <c r="U135" s="778">
        <f t="shared" ca="1" si="35"/>
        <v>0.5982528379568931</v>
      </c>
      <c r="V135" s="778">
        <f t="shared" ca="1" si="35"/>
        <v>0.60515871260814846</v>
      </c>
      <c r="W135" s="778">
        <f t="shared" ca="1" si="35"/>
        <v>0.6155239755348294</v>
      </c>
      <c r="X135" s="778">
        <f t="shared" ca="1" si="35"/>
        <v>0.6259402149929103</v>
      </c>
      <c r="Y135" s="778">
        <f t="shared" ca="1" si="35"/>
        <v>0.63293071440556825</v>
      </c>
      <c r="Z135" s="778">
        <f t="shared" ca="1" si="35"/>
        <v>0.6434376818304135</v>
      </c>
    </row>
    <row r="136" spans="2:26" x14ac:dyDescent="0.2">
      <c r="B136" s="779" t="s">
        <v>254</v>
      </c>
      <c r="C136" s="780"/>
      <c r="D136" s="780"/>
      <c r="E136" s="780"/>
      <c r="F136" s="781" t="str">
        <f ca="1">+IFERROR(F135/F129,"")</f>
        <v/>
      </c>
      <c r="G136" s="781" t="str">
        <f t="shared" ref="G136:Z136" ca="1" si="36">+IFERROR(G135/G129,"")</f>
        <v/>
      </c>
      <c r="H136" s="781" t="str">
        <f t="shared" ca="1" si="36"/>
        <v/>
      </c>
      <c r="I136" s="782">
        <f t="shared" ca="1" si="36"/>
        <v>0.49035896152608976</v>
      </c>
      <c r="J136" s="782">
        <f t="shared" ca="1" si="36"/>
        <v>0.48689699019259974</v>
      </c>
      <c r="K136" s="782">
        <f t="shared" ca="1" si="36"/>
        <v>0.48647009683540765</v>
      </c>
      <c r="L136" s="782">
        <f t="shared" ca="1" si="36"/>
        <v>0.48594875298829032</v>
      </c>
      <c r="M136" s="782">
        <f t="shared" ca="1" si="36"/>
        <v>0.48238395744459811</v>
      </c>
      <c r="N136" s="782">
        <f t="shared" ca="1" si="36"/>
        <v>0.48173405805351899</v>
      </c>
      <c r="O136" s="782">
        <f t="shared" ca="1" si="36"/>
        <v>0.48099102694894291</v>
      </c>
      <c r="P136" s="782">
        <f t="shared" ca="1" si="36"/>
        <v>0.47732035320725213</v>
      </c>
      <c r="Q136" s="782">
        <f t="shared" ca="1" si="36"/>
        <v>0.47644899151512538</v>
      </c>
      <c r="R136" s="782">
        <f t="shared" ca="1" si="36"/>
        <v>0.47548569591286888</v>
      </c>
      <c r="S136" s="782">
        <f t="shared" ca="1" si="36"/>
        <v>0.47170599927871559</v>
      </c>
      <c r="T136" s="782">
        <f t="shared" ca="1" si="36"/>
        <v>0.4706144477246883</v>
      </c>
      <c r="U136" s="782">
        <f t="shared" ca="1" si="36"/>
        <v>0.4694320417163233</v>
      </c>
      <c r="V136" s="782">
        <f t="shared" ca="1" si="36"/>
        <v>0.46554008409449188</v>
      </c>
      <c r="W136" s="782">
        <f t="shared" ca="1" si="36"/>
        <v>0.46422934808140509</v>
      </c>
      <c r="X136" s="782">
        <f t="shared" ca="1" si="36"/>
        <v>0.4628287211841895</v>
      </c>
      <c r="Y136" s="782">
        <f t="shared" ca="1" si="36"/>
        <v>0.45882116830461167</v>
      </c>
      <c r="Z136" s="782">
        <f t="shared" ca="1" si="36"/>
        <v>0.4572919901046244</v>
      </c>
    </row>
    <row r="137" spans="2:26" x14ac:dyDescent="0.2">
      <c r="B137" s="779" t="s">
        <v>188</v>
      </c>
      <c r="C137" s="780"/>
      <c r="D137" s="780"/>
      <c r="E137" s="780"/>
      <c r="F137" s="783">
        <f ca="1">+'Phase III Pro Forma'!F136/1000000</f>
        <v>0</v>
      </c>
      <c r="G137" s="783">
        <f ca="1">+'Phase III Pro Forma'!G136/1000000</f>
        <v>0</v>
      </c>
      <c r="H137" s="783">
        <f ca="1">+'Phase III Pro Forma'!H136/1000000</f>
        <v>0</v>
      </c>
      <c r="I137" s="783">
        <f ca="1">+'Phase III Pro Forma'!I136/1000000</f>
        <v>3.7903624504433227</v>
      </c>
      <c r="J137" s="783">
        <f ca="1">+'Phase III Pro Forma'!J136/1000000</f>
        <v>7.6777484982782083</v>
      </c>
      <c r="K137" s="783">
        <f ca="1">+'Phase III Pro Forma'!K136/1000000</f>
        <v>7.8244372696512805</v>
      </c>
      <c r="L137" s="783">
        <f ca="1">+'Phase III Pro Forma'!L136/1000000</f>
        <v>7.9723729576224658</v>
      </c>
      <c r="M137" s="783">
        <f ca="1">+'Phase III Pro Forma'!M136/1000000</f>
        <v>8.0721674657063822</v>
      </c>
      <c r="N137" s="783">
        <f ca="1">+'Phase III Pro Forma'!N136/1000000</f>
        <v>8.2225179530534369</v>
      </c>
      <c r="O137" s="783">
        <f ca="1">+'Phase III Pro Forma'!O136/1000000</f>
        <v>8.3740321739594101</v>
      </c>
      <c r="P137" s="783">
        <f ca="1">+'Phase III Pro Forma'!P136/1000000</f>
        <v>8.4763284271763322</v>
      </c>
      <c r="Q137" s="783">
        <f ca="1">+'Phase III Pro Forma'!Q136/1000000</f>
        <v>8.630071744935913</v>
      </c>
      <c r="R137" s="783">
        <f ca="1">+'Phase III Pro Forma'!R136/1000000</f>
        <v>8.7848757313915726</v>
      </c>
      <c r="S137" s="783">
        <f ca="1">+'Phase III Pro Forma'!S136/1000000</f>
        <v>8.8893445028012916</v>
      </c>
      <c r="T137" s="783">
        <f ca="1">+'Phase III Pro Forma'!T136/1000000</f>
        <v>9.0461495919525667</v>
      </c>
      <c r="U137" s="783">
        <f ca="1">+'Phase III Pro Forma'!U136/1000000</f>
        <v>9.2038898147214319</v>
      </c>
      <c r="V137" s="783">
        <f ca="1">+'Phase III Pro Forma'!V136/1000000</f>
        <v>9.3101340401253605</v>
      </c>
      <c r="W137" s="783">
        <f ca="1">+'Phase III Pro Forma'!W136/1000000</f>
        <v>9.4695996236127584</v>
      </c>
      <c r="X137" s="783">
        <f ca="1">+'Phase III Pro Forma'!X136/1000000</f>
        <v>9.6298494614293908</v>
      </c>
      <c r="Y137" s="783">
        <f ca="1">+'Phase III Pro Forma'!Y136/1000000</f>
        <v>9.7373956062395131</v>
      </c>
      <c r="Z137" s="783">
        <f ca="1">+'Phase III Pro Forma'!Z136/1000000</f>
        <v>9.8990412589294365</v>
      </c>
    </row>
    <row r="138" spans="2:26" ht="5" customHeight="1" x14ac:dyDescent="0.2"/>
    <row r="139" spans="2:26" x14ac:dyDescent="0.2">
      <c r="B139" s="137" t="s">
        <v>770</v>
      </c>
      <c r="C139" s="137"/>
      <c r="D139" s="137"/>
      <c r="E139" s="137"/>
      <c r="F139" s="774">
        <f t="shared" ref="F139:Z139" ca="1" si="37">+F135+F113+F92+F71+F50+F27</f>
        <v>0</v>
      </c>
      <c r="G139" s="774">
        <f t="shared" ca="1" si="37"/>
        <v>0</v>
      </c>
      <c r="H139" s="774">
        <f t="shared" ca="1" si="37"/>
        <v>0</v>
      </c>
      <c r="I139" s="774">
        <f t="shared" ca="1" si="37"/>
        <v>11.161559888533446</v>
      </c>
      <c r="J139" s="774">
        <f t="shared" ca="1" si="37"/>
        <v>22.506312187976441</v>
      </c>
      <c r="K139" s="774">
        <f t="shared" ca="1" si="37"/>
        <v>22.752875065934887</v>
      </c>
      <c r="L139" s="774">
        <f t="shared" ca="1" si="37"/>
        <v>24.578526875471127</v>
      </c>
      <c r="M139" s="774">
        <f t="shared" ca="1" si="37"/>
        <v>24.781412193075656</v>
      </c>
      <c r="N139" s="774">
        <f t="shared" ca="1" si="37"/>
        <v>25.049397797417626</v>
      </c>
      <c r="O139" s="774">
        <f t="shared" ca="1" si="37"/>
        <v>25.324938034431572</v>
      </c>
      <c r="P139" s="774">
        <f t="shared" ca="1" si="37"/>
        <v>25.54933825486248</v>
      </c>
      <c r="Q139" s="774">
        <f t="shared" ca="1" si="37"/>
        <v>27.568151316594726</v>
      </c>
      <c r="R139" s="774">
        <f t="shared" ca="1" si="37"/>
        <v>27.867682535733866</v>
      </c>
      <c r="S139" s="774">
        <f t="shared" ca="1" si="37"/>
        <v>28.115584960395079</v>
      </c>
      <c r="T139" s="774">
        <f t="shared" ca="1" si="37"/>
        <v>28.432281565821874</v>
      </c>
      <c r="U139" s="774">
        <f t="shared" ca="1" si="37"/>
        <v>28.757932953322577</v>
      </c>
      <c r="V139" s="774">
        <f t="shared" ca="1" si="37"/>
        <v>30.929811931179941</v>
      </c>
      <c r="W139" s="774">
        <f t="shared" ca="1" si="37"/>
        <v>31.274153559437561</v>
      </c>
      <c r="X139" s="774">
        <f t="shared" ca="1" si="37"/>
        <v>31.628245893780452</v>
      </c>
      <c r="Y139" s="774">
        <f t="shared" ca="1" si="37"/>
        <v>31.929852414438201</v>
      </c>
      <c r="Z139" s="774">
        <f t="shared" ca="1" si="37"/>
        <v>32.304297148026272</v>
      </c>
    </row>
    <row r="141" spans="2:26" x14ac:dyDescent="0.2">
      <c r="B141" s="147" t="s">
        <v>786</v>
      </c>
      <c r="F141" s="776">
        <f>+F117</f>
        <v>45657</v>
      </c>
      <c r="G141" s="776">
        <f t="shared" ref="G141:Z141" si="38">+G117</f>
        <v>46022</v>
      </c>
      <c r="H141" s="776">
        <f t="shared" si="38"/>
        <v>46387</v>
      </c>
      <c r="I141" s="776">
        <f t="shared" si="38"/>
        <v>46752</v>
      </c>
      <c r="J141" s="776">
        <f t="shared" si="38"/>
        <v>47118</v>
      </c>
      <c r="K141" s="776">
        <f t="shared" si="38"/>
        <v>47483</v>
      </c>
      <c r="L141" s="776">
        <f t="shared" si="38"/>
        <v>47848</v>
      </c>
      <c r="M141" s="776">
        <f t="shared" si="38"/>
        <v>48213</v>
      </c>
      <c r="N141" s="776">
        <f t="shared" si="38"/>
        <v>48579</v>
      </c>
      <c r="O141" s="776">
        <f t="shared" si="38"/>
        <v>48944</v>
      </c>
      <c r="P141" s="776">
        <f t="shared" si="38"/>
        <v>49309</v>
      </c>
      <c r="Q141" s="776">
        <f t="shared" si="38"/>
        <v>49674</v>
      </c>
      <c r="R141" s="776">
        <f t="shared" si="38"/>
        <v>50040</v>
      </c>
      <c r="S141" s="776">
        <f t="shared" si="38"/>
        <v>50405</v>
      </c>
      <c r="T141" s="776">
        <f t="shared" si="38"/>
        <v>50770</v>
      </c>
      <c r="U141" s="776">
        <f t="shared" si="38"/>
        <v>51135</v>
      </c>
      <c r="V141" s="776">
        <f t="shared" si="38"/>
        <v>51501</v>
      </c>
      <c r="W141" s="776">
        <f t="shared" si="38"/>
        <v>51866</v>
      </c>
      <c r="X141" s="776">
        <f t="shared" si="38"/>
        <v>52231</v>
      </c>
      <c r="Y141" s="776">
        <f t="shared" si="38"/>
        <v>52596</v>
      </c>
      <c r="Z141" s="776">
        <f t="shared" si="38"/>
        <v>52962</v>
      </c>
    </row>
    <row r="142" spans="2:26" hidden="1" x14ac:dyDescent="0.2">
      <c r="B142" s="788" t="s">
        <v>331</v>
      </c>
      <c r="C142" s="793"/>
      <c r="D142" s="793"/>
      <c r="E142" s="793"/>
      <c r="F142" s="794">
        <f>+'Phase III Pro Forma'!F141/1000000</f>
        <v>0</v>
      </c>
      <c r="G142" s="794">
        <f ca="1">+'Phase III Pro Forma'!G141/1000000</f>
        <v>0</v>
      </c>
      <c r="H142" s="794">
        <f ca="1">+'Phase III Pro Forma'!H141/1000000</f>
        <v>0</v>
      </c>
      <c r="I142" s="794">
        <f ca="1">+'Phase III Pro Forma'!I141/1000000</f>
        <v>0</v>
      </c>
      <c r="J142" s="794">
        <f ca="1">+'Phase III Pro Forma'!J141/1000000</f>
        <v>234.94600299352854</v>
      </c>
      <c r="K142" s="794">
        <f ca="1">+'Phase III Pro Forma'!K141/1000000</f>
        <v>232.01519313536008</v>
      </c>
      <c r="L142" s="794">
        <f ca="1">+'Phase III Pro Forma'!L141/1000000</f>
        <v>228.8938806364105</v>
      </c>
      <c r="M142" s="794">
        <f ca="1">+'Phase III Pro Forma'!M141/1000000</f>
        <v>225.56968282502936</v>
      </c>
      <c r="N142" s="794">
        <f ca="1">+'Phase III Pro Forma'!N141/1000000</f>
        <v>222.02941215590829</v>
      </c>
      <c r="O142" s="794">
        <f ca="1">+'Phase III Pro Forma'!O141/1000000</f>
        <v>218.25902389329451</v>
      </c>
      <c r="P142" s="794">
        <f ca="1">+'Phase III Pro Forma'!P141/1000000</f>
        <v>214.24356039361069</v>
      </c>
      <c r="Q142" s="794">
        <f ca="1">+'Phase III Pro Forma'!Q141/1000000</f>
        <v>209.96709176644757</v>
      </c>
      <c r="R142" s="794">
        <f ca="1">+'Phase III Pro Forma'!R141/1000000</f>
        <v>205.4126526785187</v>
      </c>
      <c r="S142" s="794">
        <f ca="1">+'Phase III Pro Forma'!S141/1000000</f>
        <v>200.56217504987461</v>
      </c>
      <c r="T142" s="794">
        <f ca="1">+'Phase III Pro Forma'!T141/1000000</f>
        <v>195.39641637536849</v>
      </c>
      <c r="U142" s="794">
        <f ca="1">+'Phase III Pro Forma'!U141/1000000</f>
        <v>189.89488338701963</v>
      </c>
      <c r="V142" s="794">
        <f ca="1">+'Phase III Pro Forma'!V141/1000000</f>
        <v>184.03575075442791</v>
      </c>
      <c r="W142" s="794">
        <f ca="1">+'Phase III Pro Forma'!W141/1000000</f>
        <v>177.7957745007179</v>
      </c>
      <c r="X142" s="794">
        <f ca="1">+'Phase III Pro Forma'!X141/1000000</f>
        <v>171.15019979051658</v>
      </c>
      <c r="Y142" s="794">
        <f ca="1">+'Phase III Pro Forma'!Y141/1000000</f>
        <v>164.07266272415237</v>
      </c>
      <c r="Z142" s="794">
        <f ca="1">+'Phase III Pro Forma'!Z141/1000000</f>
        <v>156.53508574847427</v>
      </c>
    </row>
    <row r="143" spans="2:26" x14ac:dyDescent="0.2">
      <c r="B143" s="32" t="s">
        <v>342</v>
      </c>
      <c r="F143" s="48">
        <f>+'Phase III Pro Forma'!F142/1000000</f>
        <v>0</v>
      </c>
      <c r="G143" s="48">
        <f>+'Phase III Pro Forma'!G142/1000000</f>
        <v>0</v>
      </c>
      <c r="H143" s="48">
        <f>+'Phase III Pro Forma'!H142/1000000</f>
        <v>0</v>
      </c>
      <c r="I143" s="48">
        <f ca="1">+'Phase III Pro Forma'!I142/1000000</f>
        <v>237.697937132654</v>
      </c>
      <c r="J143" s="48">
        <f>+'Phase III Pro Forma'!J142/1000000</f>
        <v>0</v>
      </c>
      <c r="K143" s="48">
        <f>+'Phase III Pro Forma'!K142/1000000</f>
        <v>0</v>
      </c>
      <c r="L143" s="48">
        <f>+'Phase III Pro Forma'!L142/1000000</f>
        <v>0</v>
      </c>
      <c r="M143" s="48">
        <f>+'Phase III Pro Forma'!M142/1000000</f>
        <v>0</v>
      </c>
      <c r="N143" s="48">
        <f>+'Phase III Pro Forma'!N142/1000000</f>
        <v>0</v>
      </c>
      <c r="O143" s="48">
        <f>+'Phase III Pro Forma'!O142/1000000</f>
        <v>0</v>
      </c>
      <c r="P143" s="48">
        <f>+'Phase III Pro Forma'!P142/1000000</f>
        <v>0</v>
      </c>
      <c r="Q143" s="48">
        <f>+'Phase III Pro Forma'!Q142/1000000</f>
        <v>0</v>
      </c>
      <c r="R143" s="48">
        <f>+'Phase III Pro Forma'!R142/1000000</f>
        <v>0</v>
      </c>
      <c r="S143" s="48">
        <f>+'Phase III Pro Forma'!S142/1000000</f>
        <v>0</v>
      </c>
      <c r="T143" s="48">
        <f>+'Phase III Pro Forma'!T142/1000000</f>
        <v>0</v>
      </c>
      <c r="U143" s="48">
        <f>+'Phase III Pro Forma'!U142/1000000</f>
        <v>0</v>
      </c>
      <c r="V143" s="48">
        <f>+'Phase III Pro Forma'!V142/1000000</f>
        <v>0</v>
      </c>
      <c r="W143" s="48">
        <f>+'Phase III Pro Forma'!W142/1000000</f>
        <v>0</v>
      </c>
      <c r="X143" s="48">
        <f>+'Phase III Pro Forma'!X142/1000000</f>
        <v>0</v>
      </c>
      <c r="Y143" s="48">
        <f>+'Phase III Pro Forma'!Y142/1000000</f>
        <v>0</v>
      </c>
      <c r="Z143" s="48">
        <f>+'Phase III Pro Forma'!Z142/1000000</f>
        <v>0</v>
      </c>
    </row>
    <row r="144" spans="2:26" x14ac:dyDescent="0.2">
      <c r="B144" s="32" t="s">
        <v>162</v>
      </c>
      <c r="F144" s="772">
        <f ca="1">+'Phase III Pro Forma'!F143/1000000</f>
        <v>0</v>
      </c>
      <c r="G144" s="772">
        <f ca="1">+'Phase III Pro Forma'!G143/1000000</f>
        <v>0</v>
      </c>
      <c r="H144" s="772">
        <f ca="1">+'Phase III Pro Forma'!H143/1000000</f>
        <v>0</v>
      </c>
      <c r="I144" s="772">
        <f ca="1">+'Phase III Pro Forma'!I143/1000000</f>
        <v>-2.7519341391253875</v>
      </c>
      <c r="J144" s="772">
        <f ca="1">+'Phase III Pro Forma'!J143/1000000</f>
        <v>-2.9308098581685371</v>
      </c>
      <c r="K144" s="772">
        <f ca="1">+'Phase III Pro Forma'!K143/1000000</f>
        <v>-3.1213124989494929</v>
      </c>
      <c r="L144" s="772">
        <f ca="1">+'Phase III Pro Forma'!L143/1000000</f>
        <v>-3.3241978113812096</v>
      </c>
      <c r="M144" s="772">
        <f ca="1">+'Phase III Pro Forma'!M143/1000000</f>
        <v>-3.5402706691209884</v>
      </c>
      <c r="N144" s="772">
        <f ca="1">+'Phase III Pro Forma'!N143/1000000</f>
        <v>-3.7703882626138525</v>
      </c>
      <c r="O144" s="772">
        <f ca="1">+'Phase III Pro Forma'!O143/1000000</f>
        <v>-4.0154634996837526</v>
      </c>
      <c r="P144" s="772">
        <f ca="1">+'Phase III Pro Forma'!P143/1000000</f>
        <v>-4.2764686271631964</v>
      </c>
      <c r="Q144" s="772">
        <f ca="1">+'Phase III Pro Forma'!Q143/1000000</f>
        <v>-4.5544390879288041</v>
      </c>
      <c r="R144" s="772">
        <f ca="1">+'Phase III Pro Forma'!R143/1000000</f>
        <v>-4.8504776286441764</v>
      </c>
      <c r="S144" s="772">
        <f ca="1">+'Phase III Pro Forma'!S143/1000000</f>
        <v>-5.1657586745060495</v>
      </c>
      <c r="T144" s="772">
        <f ca="1">+'Phase III Pro Forma'!T143/1000000</f>
        <v>-5.5015329883489423</v>
      </c>
      <c r="U144" s="772">
        <f ca="1">+'Phase III Pro Forma'!U143/1000000</f>
        <v>-5.8591326325916242</v>
      </c>
      <c r="V144" s="772">
        <f ca="1">+'Phase III Pro Forma'!V143/1000000</f>
        <v>-6.2399762537100791</v>
      </c>
      <c r="W144" s="772">
        <f ca="1">+'Phase III Pro Forma'!W143/1000000</f>
        <v>-6.6455747102012337</v>
      </c>
      <c r="X144" s="772">
        <f ca="1">+'Phase III Pro Forma'!X143/1000000</f>
        <v>-7.0775370663643136</v>
      </c>
      <c r="Y144" s="772">
        <f ca="1">+'Phase III Pro Forma'!Y143/1000000</f>
        <v>-7.537576975677994</v>
      </c>
      <c r="Z144" s="772">
        <f ca="1">+'Phase III Pro Forma'!Z143/1000000</f>
        <v>-8.0275194790970641</v>
      </c>
    </row>
    <row r="145" spans="2:26" x14ac:dyDescent="0.2">
      <c r="B145" s="32" t="s">
        <v>785</v>
      </c>
      <c r="F145" s="772">
        <f t="shared" ref="F145:N145" ca="1" si="39">+SUM(F142:F144)</f>
        <v>0</v>
      </c>
      <c r="G145" s="772">
        <f t="shared" ca="1" si="39"/>
        <v>0</v>
      </c>
      <c r="H145" s="772">
        <f t="shared" ca="1" si="39"/>
        <v>0</v>
      </c>
      <c r="I145" s="772">
        <f t="shared" ca="1" si="39"/>
        <v>234.94600299352862</v>
      </c>
      <c r="J145" s="772">
        <f t="shared" ca="1" si="39"/>
        <v>232.01519313535999</v>
      </c>
      <c r="K145" s="772">
        <f t="shared" ca="1" si="39"/>
        <v>228.89388063641059</v>
      </c>
      <c r="L145" s="772">
        <f t="shared" ca="1" si="39"/>
        <v>225.5696828250293</v>
      </c>
      <c r="M145" s="772">
        <f t="shared" ca="1" si="39"/>
        <v>222.02941215590837</v>
      </c>
      <c r="N145" s="772">
        <f t="shared" ca="1" si="39"/>
        <v>218.25902389329443</v>
      </c>
      <c r="O145" s="772">
        <f t="shared" ref="O145:Z145" ca="1" si="40">+SUM(O142:O144)</f>
        <v>214.24356039361075</v>
      </c>
      <c r="P145" s="772">
        <f t="shared" ca="1" si="40"/>
        <v>209.96709176644751</v>
      </c>
      <c r="Q145" s="772">
        <f t="shared" ca="1" si="40"/>
        <v>205.41265267851875</v>
      </c>
      <c r="R145" s="772">
        <f t="shared" ca="1" si="40"/>
        <v>200.56217504987453</v>
      </c>
      <c r="S145" s="772">
        <f t="shared" ca="1" si="40"/>
        <v>195.39641637536857</v>
      </c>
      <c r="T145" s="772">
        <f t="shared" ca="1" si="40"/>
        <v>189.89488338701955</v>
      </c>
      <c r="U145" s="772">
        <f t="shared" ca="1" si="40"/>
        <v>184.03575075442802</v>
      </c>
      <c r="V145" s="772">
        <f t="shared" ca="1" si="40"/>
        <v>177.79577450071784</v>
      </c>
      <c r="W145" s="772">
        <f t="shared" ca="1" si="40"/>
        <v>171.15019979051667</v>
      </c>
      <c r="X145" s="772">
        <f t="shared" ca="1" si="40"/>
        <v>164.07266272415228</v>
      </c>
      <c r="Y145" s="772">
        <f t="shared" ca="1" si="40"/>
        <v>156.53508574847436</v>
      </c>
      <c r="Z145" s="772">
        <f t="shared" ca="1" si="40"/>
        <v>148.50756626937721</v>
      </c>
    </row>
    <row r="146" spans="2:26" ht="5" customHeight="1" x14ac:dyDescent="0.2"/>
    <row r="147" spans="2:26" x14ac:dyDescent="0.2">
      <c r="B147" s="40" t="s">
        <v>332</v>
      </c>
      <c r="F147" s="48">
        <f ca="1">+'Phase III Pro Forma'!F146/1000000</f>
        <v>0</v>
      </c>
      <c r="G147" s="48">
        <f ca="1">+'Phase III Pro Forma'!G146/1000000</f>
        <v>0</v>
      </c>
      <c r="H147" s="48">
        <f ca="1">+'Phase III Pro Forma'!H146/1000000</f>
        <v>0</v>
      </c>
      <c r="I147" s="48">
        <f ca="1">+'Phase III Pro Forma'!I146/1000000</f>
        <v>15.450365913622509</v>
      </c>
      <c r="J147" s="48">
        <f ca="1">+'Phase III Pro Forma'!J146/1000000</f>
        <v>15.271490194579361</v>
      </c>
      <c r="K147" s="48">
        <f ca="1">+'Phase III Pro Forma'!K146/1000000</f>
        <v>15.080987553798407</v>
      </c>
      <c r="L147" s="48">
        <f ca="1">+'Phase III Pro Forma'!L146/1000000</f>
        <v>14.87810224136669</v>
      </c>
      <c r="M147" s="48">
        <f ca="1">+'Phase III Pro Forma'!M146/1000000</f>
        <v>14.66202938362691</v>
      </c>
      <c r="N147" s="48">
        <f ca="1">+'Phase III Pro Forma'!N146/1000000</f>
        <v>14.431911790134045</v>
      </c>
      <c r="O147" s="48">
        <f ca="1">+'Phase III Pro Forma'!O146/1000000</f>
        <v>14.186836553064145</v>
      </c>
      <c r="P147" s="48">
        <f ca="1">+'Phase III Pro Forma'!P146/1000000</f>
        <v>13.9258314255847</v>
      </c>
      <c r="Q147" s="48">
        <f ca="1">+'Phase III Pro Forma'!Q146/1000000</f>
        <v>13.647860964819092</v>
      </c>
      <c r="R147" s="48">
        <f ca="1">+'Phase III Pro Forma'!R146/1000000</f>
        <v>13.35182242410372</v>
      </c>
      <c r="S147" s="48">
        <f ca="1">+'Phase III Pro Forma'!S146/1000000</f>
        <v>13.03654137824185</v>
      </c>
      <c r="T147" s="48">
        <f ca="1">+'Phase III Pro Forma'!T146/1000000</f>
        <v>12.700767064398956</v>
      </c>
      <c r="U147" s="48">
        <f ca="1">+'Phase III Pro Forma'!U146/1000000</f>
        <v>12.343167420156274</v>
      </c>
      <c r="V147" s="48">
        <f ca="1">+'Phase III Pro Forma'!V146/1000000</f>
        <v>11.96232379903782</v>
      </c>
      <c r="W147" s="48">
        <f ca="1">+'Phase III Pro Forma'!W146/1000000</f>
        <v>11.556725342546665</v>
      </c>
      <c r="X147" s="48">
        <f ca="1">+'Phase III Pro Forma'!X146/1000000</f>
        <v>11.124762986383582</v>
      </c>
      <c r="Y147" s="48">
        <f ca="1">+'Phase III Pro Forma'!Y146/1000000</f>
        <v>10.664723077069901</v>
      </c>
      <c r="Z147" s="48">
        <f ca="1">+'Phase III Pro Forma'!Z146/1000000</f>
        <v>10.174780573650834</v>
      </c>
    </row>
    <row r="148" spans="2:26" x14ac:dyDescent="0.2">
      <c r="B148" s="136" t="s">
        <v>341</v>
      </c>
      <c r="C148" s="136"/>
      <c r="D148" s="136"/>
      <c r="E148" s="136"/>
      <c r="F148" s="773">
        <f t="shared" ref="F148:K148" ca="1" si="41">+F147-F144</f>
        <v>0</v>
      </c>
      <c r="G148" s="773">
        <f t="shared" ca="1" si="41"/>
        <v>0</v>
      </c>
      <c r="H148" s="773">
        <f t="shared" ca="1" si="41"/>
        <v>0</v>
      </c>
      <c r="I148" s="773">
        <f t="shared" ca="1" si="41"/>
        <v>18.202300052747898</v>
      </c>
      <c r="J148" s="773">
        <f t="shared" ca="1" si="41"/>
        <v>18.202300052747898</v>
      </c>
      <c r="K148" s="773">
        <f t="shared" ca="1" si="41"/>
        <v>18.202300052747901</v>
      </c>
      <c r="L148" s="773">
        <f ca="1">+L147-L144</f>
        <v>18.202300052747901</v>
      </c>
      <c r="M148" s="773">
        <f t="shared" ref="M148:Z148" ca="1" si="42">+M147-M144</f>
        <v>18.202300052747898</v>
      </c>
      <c r="N148" s="773">
        <f t="shared" ca="1" si="42"/>
        <v>18.202300052747898</v>
      </c>
      <c r="O148" s="773">
        <f t="shared" ca="1" si="42"/>
        <v>18.202300052747898</v>
      </c>
      <c r="P148" s="773">
        <f t="shared" ca="1" si="42"/>
        <v>18.202300052747898</v>
      </c>
      <c r="Q148" s="773">
        <f t="shared" ca="1" si="42"/>
        <v>18.202300052747894</v>
      </c>
      <c r="R148" s="773">
        <f t="shared" ca="1" si="42"/>
        <v>18.202300052747894</v>
      </c>
      <c r="S148" s="773">
        <f t="shared" ca="1" si="42"/>
        <v>18.202300052747901</v>
      </c>
      <c r="T148" s="773">
        <f t="shared" ca="1" si="42"/>
        <v>18.202300052747898</v>
      </c>
      <c r="U148" s="773">
        <f t="shared" ca="1" si="42"/>
        <v>18.202300052747898</v>
      </c>
      <c r="V148" s="773">
        <f t="shared" ca="1" si="42"/>
        <v>18.202300052747901</v>
      </c>
      <c r="W148" s="773">
        <f t="shared" ca="1" si="42"/>
        <v>18.202300052747898</v>
      </c>
      <c r="X148" s="773">
        <f t="shared" ca="1" si="42"/>
        <v>18.202300052747894</v>
      </c>
      <c r="Y148" s="773">
        <f t="shared" ca="1" si="42"/>
        <v>18.202300052747894</v>
      </c>
      <c r="Z148" s="773">
        <f t="shared" ca="1" si="42"/>
        <v>18.202300052747898</v>
      </c>
    </row>
    <row r="149" spans="2:26" x14ac:dyDescent="0.2">
      <c r="B149" s="145" t="s">
        <v>181</v>
      </c>
      <c r="F149" s="178" t="str">
        <f ca="1">+IFERROR(F139/F148,"")</f>
        <v/>
      </c>
      <c r="G149" s="178" t="str">
        <f t="shared" ref="G149:Z149" ca="1" si="43">+IFERROR(G139/G148,"")</f>
        <v/>
      </c>
      <c r="H149" s="178" t="str">
        <f t="shared" ca="1" si="43"/>
        <v/>
      </c>
      <c r="I149" s="178">
        <f t="shared" ca="1" si="43"/>
        <v>0.61319502789145863</v>
      </c>
      <c r="J149" s="178">
        <f t="shared" ca="1" si="43"/>
        <v>1.2364543009815285</v>
      </c>
      <c r="K149" s="178">
        <f t="shared" ca="1" si="43"/>
        <v>1.2500000000000007</v>
      </c>
      <c r="L149" s="178">
        <f t="shared" ca="1" si="43"/>
        <v>1.3502978636900693</v>
      </c>
      <c r="M149" s="178">
        <f t="shared" ca="1" si="43"/>
        <v>1.3614440000034254</v>
      </c>
      <c r="N149" s="178">
        <f t="shared" ca="1" si="43"/>
        <v>1.3761666231645302</v>
      </c>
      <c r="O149" s="178">
        <f t="shared" ca="1" si="43"/>
        <v>1.3913042835819207</v>
      </c>
      <c r="P149" s="178">
        <f t="shared" ca="1" si="43"/>
        <v>1.4036324080376557</v>
      </c>
      <c r="Q149" s="178">
        <f t="shared" ca="1" si="43"/>
        <v>1.5145421862460138</v>
      </c>
      <c r="R149" s="178">
        <f t="shared" ca="1" si="43"/>
        <v>1.5309978659277648</v>
      </c>
      <c r="S149" s="178">
        <f t="shared" ca="1" si="43"/>
        <v>1.5446171571130991</v>
      </c>
      <c r="T149" s="178">
        <f t="shared" ca="1" si="43"/>
        <v>1.5620158707102301</v>
      </c>
      <c r="U149" s="178">
        <f t="shared" ca="1" si="43"/>
        <v>1.5799065431283863</v>
      </c>
      <c r="V149" s="178">
        <f t="shared" ca="1" si="43"/>
        <v>1.6992254737889918</v>
      </c>
      <c r="W149" s="178">
        <f t="shared" ca="1" si="43"/>
        <v>1.7181429527482315</v>
      </c>
      <c r="X149" s="178">
        <f t="shared" ca="1" si="43"/>
        <v>1.7375961170910224</v>
      </c>
      <c r="Y149" s="178">
        <f t="shared" ca="1" si="43"/>
        <v>1.7541658099201556</v>
      </c>
      <c r="Z149" s="178">
        <f t="shared" ca="1" si="43"/>
        <v>1.7747370966533143</v>
      </c>
    </row>
    <row r="150" spans="2:26" ht="5" customHeight="1" x14ac:dyDescent="0.2"/>
    <row r="151" spans="2:26" x14ac:dyDescent="0.2">
      <c r="B151" s="40" t="s">
        <v>156</v>
      </c>
      <c r="F151" s="48">
        <f>+'Phase III Pro Forma'!F150/1000000</f>
        <v>0</v>
      </c>
      <c r="G151" s="48">
        <f>+'Phase III Pro Forma'!G150/1000000</f>
        <v>0</v>
      </c>
      <c r="H151" s="48">
        <f>+'Phase III Pro Forma'!H150/1000000</f>
        <v>0</v>
      </c>
      <c r="I151" s="48">
        <f ca="1">+'Phase III Pro Forma'!I150/1000000</f>
        <v>1.782734528494905</v>
      </c>
      <c r="J151" s="48">
        <f>+'Phase III Pro Forma'!J150/1000000</f>
        <v>0</v>
      </c>
      <c r="K151" s="48">
        <f>+'Phase III Pro Forma'!K150/1000000</f>
        <v>0</v>
      </c>
      <c r="L151" s="48">
        <f>+'Phase III Pro Forma'!L150/1000000</f>
        <v>0</v>
      </c>
      <c r="M151" s="48">
        <f>+'Phase III Pro Forma'!M150/1000000</f>
        <v>0</v>
      </c>
      <c r="N151" s="48">
        <f>+'Phase III Pro Forma'!N150/1000000</f>
        <v>0</v>
      </c>
      <c r="O151" s="48">
        <f>+'Phase III Pro Forma'!O150/1000000</f>
        <v>0</v>
      </c>
      <c r="P151" s="48">
        <f>+'Phase III Pro Forma'!P150/1000000</f>
        <v>0</v>
      </c>
      <c r="Q151" s="48">
        <f>+'Phase III Pro Forma'!Q150/1000000</f>
        <v>0</v>
      </c>
      <c r="R151" s="48">
        <f>+'Phase III Pro Forma'!R150/1000000</f>
        <v>0</v>
      </c>
      <c r="S151" s="48">
        <f>+'Phase III Pro Forma'!S150/1000000</f>
        <v>0</v>
      </c>
      <c r="T151" s="48">
        <f>+'Phase III Pro Forma'!T150/1000000</f>
        <v>0</v>
      </c>
      <c r="U151" s="48">
        <f>+'Phase III Pro Forma'!U150/1000000</f>
        <v>0</v>
      </c>
      <c r="V151" s="48">
        <f>+'Phase III Pro Forma'!V150/1000000</f>
        <v>0</v>
      </c>
      <c r="W151" s="48">
        <f>+'Phase III Pro Forma'!W150/1000000</f>
        <v>0</v>
      </c>
      <c r="X151" s="48">
        <f>+'Phase III Pro Forma'!X150/1000000</f>
        <v>0</v>
      </c>
      <c r="Y151" s="48">
        <f>+'Phase III Pro Forma'!Y150/1000000</f>
        <v>0</v>
      </c>
      <c r="Z151" s="48">
        <f>+'Phase III Pro Forma'!Z150/1000000</f>
        <v>0</v>
      </c>
    </row>
    <row r="152" spans="2:26" ht="5" customHeight="1" x14ac:dyDescent="0.2"/>
    <row r="153" spans="2:26" s="156" customFormat="1" x14ac:dyDescent="0.2">
      <c r="B153" s="136" t="s">
        <v>334</v>
      </c>
      <c r="C153" s="136"/>
      <c r="D153" s="136"/>
      <c r="E153" s="136"/>
      <c r="F153" s="128">
        <f ca="1">+F139-F148-F151</f>
        <v>0</v>
      </c>
      <c r="G153" s="128">
        <f t="shared" ref="G153:Z153" ca="1" si="44">+G139-G148-G151</f>
        <v>0</v>
      </c>
      <c r="H153" s="128">
        <f t="shared" ca="1" si="44"/>
        <v>0</v>
      </c>
      <c r="I153" s="128">
        <f t="shared" ca="1" si="44"/>
        <v>-8.8234746927093557</v>
      </c>
      <c r="J153" s="128">
        <f t="shared" ca="1" si="44"/>
        <v>4.3040121352285432</v>
      </c>
      <c r="K153" s="128">
        <f t="shared" ca="1" si="44"/>
        <v>4.550575013186986</v>
      </c>
      <c r="L153" s="128">
        <f t="shared" ca="1" si="44"/>
        <v>6.3762268227232255</v>
      </c>
      <c r="M153" s="128">
        <f t="shared" ca="1" si="44"/>
        <v>6.5791121403277586</v>
      </c>
      <c r="N153" s="128">
        <f t="shared" ca="1" si="44"/>
        <v>6.8470977446697283</v>
      </c>
      <c r="O153" s="128">
        <f t="shared" ca="1" si="44"/>
        <v>7.122637981683674</v>
      </c>
      <c r="P153" s="128">
        <f t="shared" ca="1" si="44"/>
        <v>7.3470382021145824</v>
      </c>
      <c r="Q153" s="128">
        <f t="shared" ca="1" si="44"/>
        <v>9.3658512638468316</v>
      </c>
      <c r="R153" s="128">
        <f t="shared" ca="1" si="44"/>
        <v>9.6653824829859722</v>
      </c>
      <c r="S153" s="128">
        <f t="shared" ca="1" si="44"/>
        <v>9.9132849076471778</v>
      </c>
      <c r="T153" s="128">
        <f t="shared" ca="1" si="44"/>
        <v>10.229981513073977</v>
      </c>
      <c r="U153" s="128">
        <f t="shared" ca="1" si="44"/>
        <v>10.555632900574679</v>
      </c>
      <c r="V153" s="128">
        <f t="shared" ca="1" si="44"/>
        <v>12.72751187843204</v>
      </c>
      <c r="W153" s="128">
        <f t="shared" ca="1" si="44"/>
        <v>13.071853506689664</v>
      </c>
      <c r="X153" s="128">
        <f t="shared" ca="1" si="44"/>
        <v>13.425945841032558</v>
      </c>
      <c r="Y153" s="128">
        <f t="shared" ca="1" si="44"/>
        <v>13.727552361690307</v>
      </c>
      <c r="Z153" s="128">
        <f t="shared" ca="1" si="44"/>
        <v>14.101997095278374</v>
      </c>
    </row>
    <row r="154" spans="2:26" ht="5" customHeight="1" x14ac:dyDescent="0.2"/>
    <row r="155" spans="2:26" x14ac:dyDescent="0.2">
      <c r="B155" s="147" t="s">
        <v>335</v>
      </c>
    </row>
    <row r="156" spans="2:26" x14ac:dyDescent="0.2">
      <c r="B156" s="32" t="s">
        <v>336</v>
      </c>
      <c r="F156" s="48">
        <f>+'Phase III Pro Forma'!F155/1000000</f>
        <v>0</v>
      </c>
      <c r="G156" s="48">
        <f>+'Phase III Pro Forma'!G155/1000000</f>
        <v>0</v>
      </c>
      <c r="H156" s="48">
        <f>+'Phase III Pro Forma'!H155/1000000</f>
        <v>0</v>
      </c>
      <c r="I156" s="48">
        <f>+'Phase III Pro Forma'!I155/1000000</f>
        <v>0</v>
      </c>
      <c r="J156" s="48">
        <f>+'Phase III Pro Forma'!J155/1000000</f>
        <v>0</v>
      </c>
      <c r="K156" s="48">
        <f>+'Phase III Pro Forma'!K155/1000000</f>
        <v>0</v>
      </c>
      <c r="L156" s="48">
        <f ca="1">+'Phase III Pro Forma'!L155/1000000</f>
        <v>398.38230555199925</v>
      </c>
      <c r="M156" s="48">
        <f>+'Phase III Pro Forma'!M155/1000000</f>
        <v>0</v>
      </c>
      <c r="N156" s="48">
        <f>+'Phase III Pro Forma'!N155/1000000</f>
        <v>0</v>
      </c>
      <c r="O156" s="48">
        <f>+'Phase III Pro Forma'!O155/1000000</f>
        <v>0</v>
      </c>
      <c r="P156" s="48">
        <f>+'Phase III Pro Forma'!P155/1000000</f>
        <v>0</v>
      </c>
      <c r="Q156" s="48">
        <f>+'Phase III Pro Forma'!Q155/1000000</f>
        <v>0</v>
      </c>
      <c r="R156" s="48">
        <f>+'Phase III Pro Forma'!R155/1000000</f>
        <v>0</v>
      </c>
      <c r="S156" s="48">
        <f>+'Phase III Pro Forma'!S155/1000000</f>
        <v>0</v>
      </c>
      <c r="T156" s="48">
        <f>+'Phase III Pro Forma'!T155/1000000</f>
        <v>0</v>
      </c>
      <c r="U156" s="48">
        <f>+'Phase III Pro Forma'!U155/1000000</f>
        <v>0</v>
      </c>
      <c r="V156" s="48">
        <f>+'Phase III Pro Forma'!V155/1000000</f>
        <v>0</v>
      </c>
      <c r="W156" s="48">
        <f>+'Phase III Pro Forma'!W155/1000000</f>
        <v>0</v>
      </c>
      <c r="X156" s="48">
        <f>+'Phase III Pro Forma'!X155/1000000</f>
        <v>0</v>
      </c>
      <c r="Y156" s="48">
        <f>+'Phase III Pro Forma'!Y155/1000000</f>
        <v>0</v>
      </c>
      <c r="Z156" s="48">
        <f>+'Phase III Pro Forma'!Z155/1000000</f>
        <v>0</v>
      </c>
    </row>
    <row r="157" spans="2:26" x14ac:dyDescent="0.2">
      <c r="B157" s="204" t="s">
        <v>787</v>
      </c>
      <c r="C157" s="204"/>
      <c r="D157" s="204"/>
      <c r="E157" s="204"/>
      <c r="F157" s="772">
        <f>+'Phase III Pro Forma'!F156/1000000</f>
        <v>0</v>
      </c>
      <c r="G157" s="772">
        <f>+'Phase III Pro Forma'!G156/1000000</f>
        <v>0</v>
      </c>
      <c r="H157" s="772">
        <f>+'Phase III Pro Forma'!H156/1000000</f>
        <v>0</v>
      </c>
      <c r="I157" s="772">
        <f ca="1">+'Phase III Pro Forma'!I156/1000000</f>
        <v>44.337854744443057</v>
      </c>
      <c r="J157" s="772">
        <f>+'Phase III Pro Forma'!J156/1000000</f>
        <v>0</v>
      </c>
      <c r="K157" s="772">
        <f>+'Phase III Pro Forma'!K156/1000000</f>
        <v>0</v>
      </c>
      <c r="L157" s="772">
        <f>+'Phase III Pro Forma'!L156/1000000</f>
        <v>0</v>
      </c>
      <c r="M157" s="772">
        <f>+'Phase III Pro Forma'!M156/1000000</f>
        <v>0</v>
      </c>
      <c r="N157" s="772">
        <f>+'Phase III Pro Forma'!N156/1000000</f>
        <v>0</v>
      </c>
      <c r="O157" s="772">
        <f>+'Phase III Pro Forma'!O156/1000000</f>
        <v>0</v>
      </c>
      <c r="P157" s="772">
        <f>+'Phase III Pro Forma'!P156/1000000</f>
        <v>0</v>
      </c>
      <c r="Q157" s="772">
        <f>+'Phase III Pro Forma'!Q156/1000000</f>
        <v>0</v>
      </c>
      <c r="R157" s="772">
        <f>+'Phase III Pro Forma'!R156/1000000</f>
        <v>0</v>
      </c>
      <c r="S157" s="772">
        <f>+'Phase III Pro Forma'!S156/1000000</f>
        <v>0</v>
      </c>
      <c r="T157" s="772">
        <f>+'Phase III Pro Forma'!T156/1000000</f>
        <v>0</v>
      </c>
      <c r="U157" s="772">
        <f>+'Phase III Pro Forma'!U156/1000000</f>
        <v>0</v>
      </c>
      <c r="V157" s="772">
        <f>+'Phase III Pro Forma'!V156/1000000</f>
        <v>0</v>
      </c>
      <c r="W157" s="772">
        <f>+'Phase III Pro Forma'!W156/1000000</f>
        <v>0</v>
      </c>
      <c r="X157" s="772">
        <f>+'Phase III Pro Forma'!X156/1000000</f>
        <v>0</v>
      </c>
      <c r="Y157" s="772">
        <f>+'Phase III Pro Forma'!Y156/1000000</f>
        <v>0</v>
      </c>
      <c r="Z157" s="772">
        <f>+'Phase III Pro Forma'!Z156/1000000</f>
        <v>0</v>
      </c>
    </row>
    <row r="158" spans="2:26" x14ac:dyDescent="0.2">
      <c r="B158" s="32" t="s">
        <v>337</v>
      </c>
      <c r="F158" s="772">
        <f>+'Phase III Pro Forma'!F157/1000000</f>
        <v>0</v>
      </c>
      <c r="G158" s="772">
        <f>+'Phase III Pro Forma'!G157/1000000</f>
        <v>0</v>
      </c>
      <c r="H158" s="772">
        <f>+'Phase III Pro Forma'!H157/1000000</f>
        <v>0</v>
      </c>
      <c r="I158" s="772">
        <f>+'Phase III Pro Forma'!I157/1000000</f>
        <v>0</v>
      </c>
      <c r="J158" s="772">
        <f>+'Phase III Pro Forma'!J157/1000000</f>
        <v>0</v>
      </c>
      <c r="K158" s="772">
        <f>+'Phase III Pro Forma'!K157/1000000</f>
        <v>0</v>
      </c>
      <c r="L158" s="772">
        <f ca="1">+'Phase III Pro Forma'!L157/1000000</f>
        <v>-7.9676461110399863</v>
      </c>
      <c r="M158" s="772">
        <f>+'Phase III Pro Forma'!M157/1000000</f>
        <v>0</v>
      </c>
      <c r="N158" s="772">
        <f>+'Phase III Pro Forma'!N157/1000000</f>
        <v>0</v>
      </c>
      <c r="O158" s="772">
        <f>+'Phase III Pro Forma'!O157/1000000</f>
        <v>0</v>
      </c>
      <c r="P158" s="772">
        <f>+'Phase III Pro Forma'!P157/1000000</f>
        <v>0</v>
      </c>
      <c r="Q158" s="772">
        <f>+'Phase III Pro Forma'!Q157/1000000</f>
        <v>0</v>
      </c>
      <c r="R158" s="772">
        <f>+'Phase III Pro Forma'!R157/1000000</f>
        <v>0</v>
      </c>
      <c r="S158" s="772">
        <f>+'Phase III Pro Forma'!S157/1000000</f>
        <v>0</v>
      </c>
      <c r="T158" s="772">
        <f>+'Phase III Pro Forma'!T157/1000000</f>
        <v>0</v>
      </c>
      <c r="U158" s="772">
        <f>+'Phase III Pro Forma'!U157/1000000</f>
        <v>0</v>
      </c>
      <c r="V158" s="772">
        <f>+'Phase III Pro Forma'!V157/1000000</f>
        <v>0</v>
      </c>
      <c r="W158" s="772">
        <f>+'Phase III Pro Forma'!W157/1000000</f>
        <v>0</v>
      </c>
      <c r="X158" s="772">
        <f>+'Phase III Pro Forma'!X157/1000000</f>
        <v>0</v>
      </c>
      <c r="Y158" s="772">
        <f>+'Phase III Pro Forma'!Y157/1000000</f>
        <v>0</v>
      </c>
      <c r="Z158" s="772">
        <f>+'Phase III Pro Forma'!Z157/1000000</f>
        <v>0</v>
      </c>
    </row>
    <row r="159" spans="2:26" x14ac:dyDescent="0.2">
      <c r="B159" s="32" t="s">
        <v>338</v>
      </c>
      <c r="F159" s="772">
        <f>+'Phase III Pro Forma'!F158/1000000</f>
        <v>0</v>
      </c>
      <c r="G159" s="772">
        <f>+'Phase III Pro Forma'!G158/1000000</f>
        <v>0</v>
      </c>
      <c r="H159" s="772">
        <f>+'Phase III Pro Forma'!H158/1000000</f>
        <v>0</v>
      </c>
      <c r="I159" s="772">
        <f>+'Phase III Pro Forma'!I158/1000000</f>
        <v>0</v>
      </c>
      <c r="J159" s="772">
        <f>+'Phase III Pro Forma'!J158/1000000</f>
        <v>0</v>
      </c>
      <c r="K159" s="772">
        <f>+'Phase III Pro Forma'!K158/1000000</f>
        <v>0</v>
      </c>
      <c r="L159" s="772">
        <f ca="1">+'Phase III Pro Forma'!L158/1000000</f>
        <v>-225.56968282502928</v>
      </c>
      <c r="M159" s="772">
        <f>+'Phase III Pro Forma'!M158/1000000</f>
        <v>0</v>
      </c>
      <c r="N159" s="772">
        <f>+'Phase III Pro Forma'!N158/1000000</f>
        <v>0</v>
      </c>
      <c r="O159" s="772">
        <f>+'Phase III Pro Forma'!O158/1000000</f>
        <v>0</v>
      </c>
      <c r="P159" s="772">
        <f>+'Phase III Pro Forma'!P158/1000000</f>
        <v>0</v>
      </c>
      <c r="Q159" s="772">
        <f>+'Phase III Pro Forma'!Q158/1000000</f>
        <v>0</v>
      </c>
      <c r="R159" s="772">
        <f>+'Phase III Pro Forma'!R158/1000000</f>
        <v>0</v>
      </c>
      <c r="S159" s="772">
        <f>+'Phase III Pro Forma'!S158/1000000</f>
        <v>0</v>
      </c>
      <c r="T159" s="772">
        <f>+'Phase III Pro Forma'!T158/1000000</f>
        <v>0</v>
      </c>
      <c r="U159" s="772">
        <f>+'Phase III Pro Forma'!U158/1000000</f>
        <v>0</v>
      </c>
      <c r="V159" s="772">
        <f>+'Phase III Pro Forma'!V158/1000000</f>
        <v>0</v>
      </c>
      <c r="W159" s="772">
        <f>+'Phase III Pro Forma'!W158/1000000</f>
        <v>0</v>
      </c>
      <c r="X159" s="772">
        <f>+'Phase III Pro Forma'!X158/1000000</f>
        <v>0</v>
      </c>
      <c r="Y159" s="772">
        <f>+'Phase III Pro Forma'!Y158/1000000</f>
        <v>0</v>
      </c>
      <c r="Z159" s="772">
        <f>+'Phase III Pro Forma'!Z158/1000000</f>
        <v>0</v>
      </c>
    </row>
    <row r="160" spans="2:26" x14ac:dyDescent="0.2">
      <c r="B160" s="136" t="s">
        <v>339</v>
      </c>
      <c r="C160" s="136"/>
      <c r="D160" s="136"/>
      <c r="E160" s="136"/>
      <c r="F160" s="773">
        <f>+SUM(F156:F159)</f>
        <v>0</v>
      </c>
      <c r="G160" s="773">
        <f t="shared" ref="G160:Z160" si="45">+SUM(G156:G159)</f>
        <v>0</v>
      </c>
      <c r="H160" s="773">
        <f t="shared" si="45"/>
        <v>0</v>
      </c>
      <c r="I160" s="773">
        <f t="shared" ca="1" si="45"/>
        <v>44.337854744443057</v>
      </c>
      <c r="J160" s="773">
        <f t="shared" si="45"/>
        <v>0</v>
      </c>
      <c r="K160" s="773">
        <f t="shared" si="45"/>
        <v>0</v>
      </c>
      <c r="L160" s="773">
        <f t="shared" ca="1" si="45"/>
        <v>164.84497661592999</v>
      </c>
      <c r="M160" s="773">
        <f t="shared" si="45"/>
        <v>0</v>
      </c>
      <c r="N160" s="773">
        <f t="shared" si="45"/>
        <v>0</v>
      </c>
      <c r="O160" s="773">
        <f t="shared" si="45"/>
        <v>0</v>
      </c>
      <c r="P160" s="773">
        <f t="shared" si="45"/>
        <v>0</v>
      </c>
      <c r="Q160" s="773">
        <f t="shared" si="45"/>
        <v>0</v>
      </c>
      <c r="R160" s="773">
        <f t="shared" si="45"/>
        <v>0</v>
      </c>
      <c r="S160" s="773">
        <f t="shared" si="45"/>
        <v>0</v>
      </c>
      <c r="T160" s="773">
        <f t="shared" si="45"/>
        <v>0</v>
      </c>
      <c r="U160" s="773">
        <f t="shared" si="45"/>
        <v>0</v>
      </c>
      <c r="V160" s="773">
        <f t="shared" si="45"/>
        <v>0</v>
      </c>
      <c r="W160" s="773">
        <f t="shared" si="45"/>
        <v>0</v>
      </c>
      <c r="X160" s="773">
        <f t="shared" si="45"/>
        <v>0</v>
      </c>
      <c r="Y160" s="773">
        <f t="shared" si="45"/>
        <v>0</v>
      </c>
      <c r="Z160" s="773">
        <f t="shared" si="45"/>
        <v>0</v>
      </c>
    </row>
    <row r="161" spans="2:26" hidden="1" x14ac:dyDescent="0.2">
      <c r="B161" s="795" t="s">
        <v>771</v>
      </c>
      <c r="C161" s="793"/>
      <c r="D161" s="793"/>
      <c r="E161" s="793"/>
      <c r="F161" s="793"/>
      <c r="G161" s="793"/>
      <c r="H161" s="793"/>
      <c r="I161" s="793"/>
      <c r="J161" s="793"/>
      <c r="K161" s="793"/>
      <c r="L161" s="793"/>
      <c r="M161" s="793"/>
      <c r="N161" s="793"/>
      <c r="O161" s="793"/>
      <c r="P161" s="793"/>
      <c r="Q161" s="793"/>
      <c r="R161" s="793"/>
      <c r="S161" s="793"/>
      <c r="T161" s="793"/>
      <c r="U161" s="793"/>
      <c r="V161" s="793"/>
      <c r="W161" s="793"/>
      <c r="X161" s="793"/>
      <c r="Y161" s="793"/>
      <c r="Z161" s="793"/>
    </row>
    <row r="162" spans="2:26" ht="5" customHeight="1" x14ac:dyDescent="0.2"/>
    <row r="163" spans="2:26" x14ac:dyDescent="0.2">
      <c r="B163" s="137" t="s">
        <v>788</v>
      </c>
      <c r="C163" s="137"/>
      <c r="D163" s="137"/>
      <c r="E163" s="137"/>
      <c r="F163" s="774">
        <f ca="1">+'Phase III Pro Forma'!F162/1000000</f>
        <v>0</v>
      </c>
      <c r="G163" s="774">
        <f ca="1">+'Phase III Pro Forma'!G162/1000000</f>
        <v>0</v>
      </c>
      <c r="H163" s="774">
        <f ca="1">+'Phase III Pro Forma'!H162/1000000</f>
        <v>0</v>
      </c>
      <c r="I163" s="774">
        <f ca="1">+'Phase III Pro Forma'!I162/1000000</f>
        <v>35.514380051733703</v>
      </c>
      <c r="J163" s="774">
        <f ca="1">+'Phase III Pro Forma'!J162/1000000</f>
        <v>4.3040121352285441</v>
      </c>
      <c r="K163" s="774">
        <f ca="1">+'Phase III Pro Forma'!K162/1000000</f>
        <v>4.5505750131869878</v>
      </c>
      <c r="L163" s="774">
        <f ca="1">+'Phase III Pro Forma'!L162/1000000</f>
        <v>171.22120343865322</v>
      </c>
      <c r="M163" s="774">
        <f>+'Phase III Pro Forma'!M162/1000000</f>
        <v>0</v>
      </c>
      <c r="N163" s="774">
        <f>+'Phase III Pro Forma'!N162/1000000</f>
        <v>0</v>
      </c>
      <c r="O163" s="774">
        <f>+'Phase III Pro Forma'!O162/1000000</f>
        <v>0</v>
      </c>
      <c r="P163" s="774">
        <f>+'Phase III Pro Forma'!P162/1000000</f>
        <v>0</v>
      </c>
      <c r="Q163" s="774">
        <f>+'Phase III Pro Forma'!Q162/1000000</f>
        <v>0</v>
      </c>
      <c r="R163" s="774">
        <f>+'Phase III Pro Forma'!R162/1000000</f>
        <v>0</v>
      </c>
      <c r="S163" s="774">
        <f>+'Phase III Pro Forma'!S162/1000000</f>
        <v>0</v>
      </c>
      <c r="T163" s="774">
        <f>+'Phase III Pro Forma'!T162/1000000</f>
        <v>0</v>
      </c>
      <c r="U163" s="774">
        <f>+'Phase III Pro Forma'!U162/1000000</f>
        <v>0</v>
      </c>
      <c r="V163" s="774">
        <f>+'Phase III Pro Forma'!V162/1000000</f>
        <v>0</v>
      </c>
      <c r="W163" s="774">
        <f>+'Phase III Pro Forma'!W162/1000000</f>
        <v>0</v>
      </c>
      <c r="X163" s="774">
        <f>+'Phase III Pro Forma'!X162/1000000</f>
        <v>0</v>
      </c>
      <c r="Y163" s="774">
        <f>+'Phase III Pro Forma'!Y162/1000000</f>
        <v>0</v>
      </c>
      <c r="Z163" s="774">
        <f>+'Phase III Pro Forma'!Z162/1000000</f>
        <v>0</v>
      </c>
    </row>
    <row r="165" spans="2:26" x14ac:dyDescent="0.2">
      <c r="B165" s="36" t="s">
        <v>768</v>
      </c>
      <c r="C165" s="37"/>
      <c r="D165" s="37"/>
      <c r="E165" s="37"/>
      <c r="F165" s="135">
        <f>+F6</f>
        <v>45657</v>
      </c>
      <c r="G165" s="135">
        <f t="shared" ref="G165:Z165" si="46">+G6</f>
        <v>46022</v>
      </c>
      <c r="H165" s="135">
        <f t="shared" si="46"/>
        <v>46387</v>
      </c>
      <c r="I165" s="135">
        <f t="shared" si="46"/>
        <v>46752</v>
      </c>
      <c r="J165" s="135">
        <f t="shared" si="46"/>
        <v>47118</v>
      </c>
      <c r="K165" s="135">
        <f t="shared" si="46"/>
        <v>47483</v>
      </c>
      <c r="L165" s="135">
        <f t="shared" si="46"/>
        <v>47848</v>
      </c>
      <c r="M165" s="135">
        <f t="shared" si="46"/>
        <v>48213</v>
      </c>
      <c r="N165" s="135">
        <f t="shared" si="46"/>
        <v>48579</v>
      </c>
      <c r="O165" s="135">
        <f t="shared" si="46"/>
        <v>48944</v>
      </c>
      <c r="P165" s="135">
        <f t="shared" si="46"/>
        <v>49309</v>
      </c>
      <c r="Q165" s="135">
        <f t="shared" si="46"/>
        <v>49674</v>
      </c>
      <c r="R165" s="135">
        <f t="shared" si="46"/>
        <v>50040</v>
      </c>
      <c r="S165" s="135">
        <f t="shared" si="46"/>
        <v>50405</v>
      </c>
      <c r="T165" s="135">
        <f t="shared" si="46"/>
        <v>50770</v>
      </c>
      <c r="U165" s="135">
        <f t="shared" si="46"/>
        <v>51135</v>
      </c>
      <c r="V165" s="135">
        <f t="shared" si="46"/>
        <v>51501</v>
      </c>
      <c r="W165" s="135">
        <f t="shared" si="46"/>
        <v>51866</v>
      </c>
      <c r="X165" s="135">
        <f t="shared" si="46"/>
        <v>52231</v>
      </c>
      <c r="Y165" s="135">
        <f t="shared" si="46"/>
        <v>52596</v>
      </c>
      <c r="Z165" s="135">
        <f t="shared" si="46"/>
        <v>52962</v>
      </c>
    </row>
    <row r="166" spans="2:26" hidden="1" x14ac:dyDescent="0.2">
      <c r="B166" s="793"/>
      <c r="C166" s="793"/>
      <c r="D166" s="793"/>
      <c r="E166" s="793"/>
      <c r="F166" s="793"/>
      <c r="G166" s="793"/>
      <c r="H166" s="793"/>
      <c r="I166" s="793"/>
      <c r="J166" s="793"/>
      <c r="K166" s="793"/>
      <c r="L166" s="793"/>
      <c r="M166" s="793"/>
      <c r="N166" s="793"/>
      <c r="O166" s="793"/>
      <c r="P166" s="793"/>
      <c r="Q166" s="793"/>
      <c r="R166" s="793"/>
      <c r="S166" s="793"/>
      <c r="T166" s="793"/>
      <c r="U166" s="793"/>
      <c r="V166" s="793"/>
      <c r="W166" s="793"/>
      <c r="X166" s="793"/>
      <c r="Y166" s="793"/>
      <c r="Z166" s="793"/>
    </row>
    <row r="167" spans="2:26" x14ac:dyDescent="0.2">
      <c r="B167" s="147" t="s">
        <v>26</v>
      </c>
      <c r="C167" s="148"/>
      <c r="D167" s="148"/>
      <c r="E167" s="148"/>
      <c r="F167" s="776">
        <f>+F165</f>
        <v>45657</v>
      </c>
      <c r="G167" s="776">
        <f t="shared" ref="G167:Z167" si="47">+G165</f>
        <v>46022</v>
      </c>
      <c r="H167" s="776">
        <f t="shared" si="47"/>
        <v>46387</v>
      </c>
      <c r="I167" s="776">
        <f t="shared" si="47"/>
        <v>46752</v>
      </c>
      <c r="J167" s="776">
        <f t="shared" si="47"/>
        <v>47118</v>
      </c>
      <c r="K167" s="776">
        <f t="shared" si="47"/>
        <v>47483</v>
      </c>
      <c r="L167" s="776">
        <f t="shared" si="47"/>
        <v>47848</v>
      </c>
      <c r="M167" s="776">
        <f t="shared" si="47"/>
        <v>48213</v>
      </c>
      <c r="N167" s="776">
        <f t="shared" si="47"/>
        <v>48579</v>
      </c>
      <c r="O167" s="776">
        <f t="shared" si="47"/>
        <v>48944</v>
      </c>
      <c r="P167" s="776">
        <f t="shared" si="47"/>
        <v>49309</v>
      </c>
      <c r="Q167" s="776">
        <f t="shared" si="47"/>
        <v>49674</v>
      </c>
      <c r="R167" s="776">
        <f t="shared" si="47"/>
        <v>50040</v>
      </c>
      <c r="S167" s="776">
        <f t="shared" si="47"/>
        <v>50405</v>
      </c>
      <c r="T167" s="776">
        <f t="shared" si="47"/>
        <v>50770</v>
      </c>
      <c r="U167" s="776">
        <f t="shared" si="47"/>
        <v>51135</v>
      </c>
      <c r="V167" s="776">
        <f t="shared" si="47"/>
        <v>51501</v>
      </c>
      <c r="W167" s="776">
        <f t="shared" si="47"/>
        <v>51866</v>
      </c>
      <c r="X167" s="776">
        <f t="shared" si="47"/>
        <v>52231</v>
      </c>
      <c r="Y167" s="776">
        <f t="shared" si="47"/>
        <v>52596</v>
      </c>
      <c r="Z167" s="776">
        <f t="shared" si="47"/>
        <v>52962</v>
      </c>
    </row>
    <row r="168" spans="2:26" hidden="1" x14ac:dyDescent="0.2">
      <c r="B168" s="788" t="s">
        <v>757</v>
      </c>
      <c r="C168" s="788"/>
      <c r="D168" s="791"/>
      <c r="E168" s="791"/>
      <c r="F168" s="789">
        <f>+'Phase III Pro Forma'!F167</f>
        <v>0</v>
      </c>
      <c r="G168" s="789">
        <f>+'Phase III Pro Forma'!G167</f>
        <v>0</v>
      </c>
      <c r="H168" s="789">
        <f>+'Phase III Pro Forma'!H167</f>
        <v>0</v>
      </c>
      <c r="I168" s="789">
        <f>+'Phase III Pro Forma'!I167</f>
        <v>18.638844444444445</v>
      </c>
      <c r="J168" s="789">
        <f>+'Phase III Pro Forma'!J167</f>
        <v>18.638844444444445</v>
      </c>
      <c r="K168" s="789">
        <f>+'Phase III Pro Forma'!K167</f>
        <v>0</v>
      </c>
      <c r="L168" s="789">
        <f>+'Phase III Pro Forma'!L167</f>
        <v>0</v>
      </c>
      <c r="M168" s="789">
        <f>+'Phase III Pro Forma'!M167</f>
        <v>0</v>
      </c>
      <c r="N168" s="789">
        <f>+'Phase III Pro Forma'!N167</f>
        <v>0</v>
      </c>
      <c r="O168" s="789">
        <f>+'Phase III Pro Forma'!O167</f>
        <v>0</v>
      </c>
      <c r="P168" s="789">
        <f>+'Phase III Pro Forma'!P167</f>
        <v>0</v>
      </c>
      <c r="Q168" s="789">
        <f>+'Phase III Pro Forma'!Q167</f>
        <v>0</v>
      </c>
      <c r="R168" s="789">
        <f>+'Phase III Pro Forma'!R167</f>
        <v>0</v>
      </c>
      <c r="S168" s="789">
        <f>+'Phase III Pro Forma'!S167</f>
        <v>0</v>
      </c>
      <c r="T168" s="789">
        <f>+'Phase III Pro Forma'!T167</f>
        <v>0</v>
      </c>
      <c r="U168" s="789">
        <f>+'Phase III Pro Forma'!U167</f>
        <v>0</v>
      </c>
      <c r="V168" s="789">
        <f>+'Phase III Pro Forma'!V167</f>
        <v>0</v>
      </c>
      <c r="W168" s="789">
        <f>+'Phase III Pro Forma'!W167</f>
        <v>0</v>
      </c>
      <c r="X168" s="789">
        <f>+'Phase III Pro Forma'!X167</f>
        <v>0</v>
      </c>
      <c r="Y168" s="789">
        <f>+'Phase III Pro Forma'!Y167</f>
        <v>0</v>
      </c>
      <c r="Z168" s="789">
        <f>+'Phase III Pro Forma'!Z167</f>
        <v>0</v>
      </c>
    </row>
    <row r="169" spans="2:26" x14ac:dyDescent="0.2">
      <c r="B169" s="32" t="s">
        <v>306</v>
      </c>
      <c r="C169" s="32"/>
      <c r="D169" s="39"/>
      <c r="E169" s="39"/>
      <c r="F169" s="41">
        <f>+D169+F168</f>
        <v>0</v>
      </c>
      <c r="G169" s="41">
        <f t="shared" ref="G169:Z169" si="48">+F169+G168</f>
        <v>0</v>
      </c>
      <c r="H169" s="41">
        <f t="shared" si="48"/>
        <v>0</v>
      </c>
      <c r="I169" s="41">
        <f t="shared" si="48"/>
        <v>18.638844444444445</v>
      </c>
      <c r="J169" s="41">
        <f t="shared" si="48"/>
        <v>37.277688888888889</v>
      </c>
      <c r="K169" s="41">
        <f t="shared" si="48"/>
        <v>37.277688888888889</v>
      </c>
      <c r="L169" s="41">
        <f t="shared" si="48"/>
        <v>37.277688888888889</v>
      </c>
      <c r="M169" s="41">
        <f t="shared" si="48"/>
        <v>37.277688888888889</v>
      </c>
      <c r="N169" s="41">
        <f t="shared" si="48"/>
        <v>37.277688888888889</v>
      </c>
      <c r="O169" s="41">
        <f t="shared" si="48"/>
        <v>37.277688888888889</v>
      </c>
      <c r="P169" s="41">
        <f t="shared" si="48"/>
        <v>37.277688888888889</v>
      </c>
      <c r="Q169" s="41">
        <f t="shared" si="48"/>
        <v>37.277688888888889</v>
      </c>
      <c r="R169" s="41">
        <f t="shared" si="48"/>
        <v>37.277688888888889</v>
      </c>
      <c r="S169" s="41">
        <f t="shared" si="48"/>
        <v>37.277688888888889</v>
      </c>
      <c r="T169" s="41">
        <f t="shared" si="48"/>
        <v>37.277688888888889</v>
      </c>
      <c r="U169" s="41">
        <f t="shared" si="48"/>
        <v>37.277688888888889</v>
      </c>
      <c r="V169" s="41">
        <f t="shared" si="48"/>
        <v>37.277688888888889</v>
      </c>
      <c r="W169" s="41">
        <f t="shared" si="48"/>
        <v>37.277688888888889</v>
      </c>
      <c r="X169" s="41">
        <f t="shared" si="48"/>
        <v>37.277688888888889</v>
      </c>
      <c r="Y169" s="41">
        <f t="shared" si="48"/>
        <v>37.277688888888889</v>
      </c>
      <c r="Z169" s="41">
        <f t="shared" si="48"/>
        <v>37.277688888888889</v>
      </c>
    </row>
    <row r="170" spans="2:26" hidden="1" x14ac:dyDescent="0.2">
      <c r="B170" s="788" t="s">
        <v>300</v>
      </c>
      <c r="C170" s="788"/>
      <c r="D170" s="789"/>
      <c r="E170" s="789"/>
      <c r="F170" s="790">
        <f>+'Phase III Pro Forma'!F169</f>
        <v>0</v>
      </c>
      <c r="G170" s="790">
        <f>+'Phase III Pro Forma'!G169</f>
        <v>0</v>
      </c>
      <c r="H170" s="790">
        <f>+'Phase III Pro Forma'!H169</f>
        <v>0</v>
      </c>
      <c r="I170" s="790">
        <f>+'Phase III Pro Forma'!I169</f>
        <v>0.5</v>
      </c>
      <c r="J170" s="790">
        <f>+'Phase III Pro Forma'!J169</f>
        <v>1</v>
      </c>
      <c r="K170" s="790">
        <f>+'Phase III Pro Forma'!K169</f>
        <v>1</v>
      </c>
      <c r="L170" s="790">
        <f>+'Phase III Pro Forma'!L169</f>
        <v>1</v>
      </c>
      <c r="M170" s="790">
        <f>+'Phase III Pro Forma'!M169</f>
        <v>1</v>
      </c>
      <c r="N170" s="790">
        <f>+'Phase III Pro Forma'!N169</f>
        <v>1</v>
      </c>
      <c r="O170" s="790">
        <f>+'Phase III Pro Forma'!O169</f>
        <v>1</v>
      </c>
      <c r="P170" s="790">
        <f>+'Phase III Pro Forma'!P169</f>
        <v>1</v>
      </c>
      <c r="Q170" s="790">
        <f>+'Phase III Pro Forma'!Q169</f>
        <v>1</v>
      </c>
      <c r="R170" s="790">
        <f>+'Phase III Pro Forma'!R169</f>
        <v>1</v>
      </c>
      <c r="S170" s="790">
        <f>+'Phase III Pro Forma'!S169</f>
        <v>1</v>
      </c>
      <c r="T170" s="790">
        <f>+'Phase III Pro Forma'!T169</f>
        <v>1</v>
      </c>
      <c r="U170" s="790">
        <f>+'Phase III Pro Forma'!U169</f>
        <v>1</v>
      </c>
      <c r="V170" s="790">
        <f>+'Phase III Pro Forma'!V169</f>
        <v>1</v>
      </c>
      <c r="W170" s="790">
        <f>+'Phase III Pro Forma'!W169</f>
        <v>1</v>
      </c>
      <c r="X170" s="790">
        <f>+'Phase III Pro Forma'!X169</f>
        <v>1</v>
      </c>
      <c r="Y170" s="790">
        <f>+'Phase III Pro Forma'!Y169</f>
        <v>1</v>
      </c>
      <c r="Z170" s="790">
        <f>+'Phase III Pro Forma'!Z169</f>
        <v>1</v>
      </c>
    </row>
    <row r="171" spans="2:26" ht="5" customHeight="1" x14ac:dyDescent="0.2">
      <c r="B171" s="32"/>
      <c r="C171" s="32"/>
      <c r="D171" s="41"/>
      <c r="E171" s="41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</row>
    <row r="172" spans="2:26" x14ac:dyDescent="0.2">
      <c r="B172" s="32" t="s">
        <v>303</v>
      </c>
      <c r="F172" s="33">
        <f>+'Phase III Pro Forma'!F171</f>
        <v>0</v>
      </c>
      <c r="G172" s="33">
        <f>+'Phase III Pro Forma'!G171</f>
        <v>0</v>
      </c>
      <c r="H172" s="33">
        <f>+'Phase III Pro Forma'!H171</f>
        <v>0</v>
      </c>
      <c r="I172" s="33">
        <f>+'Phase III Pro Forma'!I171</f>
        <v>150</v>
      </c>
      <c r="J172" s="33">
        <f>+'Phase III Pro Forma'!J171</f>
        <v>155</v>
      </c>
      <c r="K172" s="33">
        <f>+'Phase III Pro Forma'!K171</f>
        <v>160</v>
      </c>
      <c r="L172" s="33">
        <f>+'Phase III Pro Forma'!L171</f>
        <v>160</v>
      </c>
      <c r="M172" s="33">
        <f>+'Phase III Pro Forma'!M171</f>
        <v>160</v>
      </c>
      <c r="N172" s="33">
        <f>+'Phase III Pro Forma'!N171</f>
        <v>160</v>
      </c>
      <c r="O172" s="33">
        <f>+'Phase III Pro Forma'!O171</f>
        <v>160</v>
      </c>
      <c r="P172" s="33">
        <f>+'Phase III Pro Forma'!P171</f>
        <v>160</v>
      </c>
      <c r="Q172" s="33">
        <f>+'Phase III Pro Forma'!Q171</f>
        <v>160</v>
      </c>
      <c r="R172" s="33">
        <f>+'Phase III Pro Forma'!R171</f>
        <v>160</v>
      </c>
      <c r="S172" s="33">
        <f>+'Phase III Pro Forma'!S171</f>
        <v>160</v>
      </c>
      <c r="T172" s="33">
        <f>+'Phase III Pro Forma'!T171</f>
        <v>160</v>
      </c>
      <c r="U172" s="33">
        <f>+'Phase III Pro Forma'!U171</f>
        <v>160</v>
      </c>
      <c r="V172" s="33">
        <f>+'Phase III Pro Forma'!V171</f>
        <v>160</v>
      </c>
      <c r="W172" s="33">
        <f>+'Phase III Pro Forma'!W171</f>
        <v>160</v>
      </c>
      <c r="X172" s="33">
        <f>+'Phase III Pro Forma'!X171</f>
        <v>160</v>
      </c>
      <c r="Y172" s="33">
        <f>+'Phase III Pro Forma'!Y171</f>
        <v>160</v>
      </c>
      <c r="Z172" s="33">
        <f>+'Phase III Pro Forma'!Z171</f>
        <v>160</v>
      </c>
    </row>
    <row r="173" spans="2:26" x14ac:dyDescent="0.2">
      <c r="B173" s="32" t="s">
        <v>310</v>
      </c>
      <c r="C173" s="32"/>
      <c r="D173" s="41"/>
      <c r="E173" s="41"/>
      <c r="F173" s="107">
        <f>+'Phase III Pro Forma'!F172</f>
        <v>1</v>
      </c>
      <c r="G173" s="107">
        <f>+'Phase III Pro Forma'!G172</f>
        <v>1.02</v>
      </c>
      <c r="H173" s="107">
        <f>+'Phase III Pro Forma'!H172</f>
        <v>1.0404</v>
      </c>
      <c r="I173" s="107">
        <f>+'Phase III Pro Forma'!I172</f>
        <v>1.0612079999999999</v>
      </c>
      <c r="J173" s="107">
        <f>+'Phase III Pro Forma'!J172</f>
        <v>1.08243216</v>
      </c>
      <c r="K173" s="107">
        <f>+'Phase III Pro Forma'!K172</f>
        <v>1.1040808032</v>
      </c>
      <c r="L173" s="107">
        <f>+'Phase III Pro Forma'!L172</f>
        <v>1.1261624192640001</v>
      </c>
      <c r="M173" s="107">
        <f>+'Phase III Pro Forma'!M172</f>
        <v>1.14868566764928</v>
      </c>
      <c r="N173" s="107">
        <f>+'Phase III Pro Forma'!N172</f>
        <v>1.1716593810022657</v>
      </c>
      <c r="O173" s="107">
        <f>+'Phase III Pro Forma'!O172</f>
        <v>1.1950925686223111</v>
      </c>
      <c r="P173" s="107">
        <f>+'Phase III Pro Forma'!P172</f>
        <v>1.2189944199947573</v>
      </c>
      <c r="Q173" s="107">
        <f>+'Phase III Pro Forma'!Q172</f>
        <v>1.2433743083946525</v>
      </c>
      <c r="R173" s="107">
        <f>+'Phase III Pro Forma'!R172</f>
        <v>1.2682417945625455</v>
      </c>
      <c r="S173" s="107">
        <f>+'Phase III Pro Forma'!S172</f>
        <v>1.2936066304537963</v>
      </c>
      <c r="T173" s="107">
        <f>+'Phase III Pro Forma'!T172</f>
        <v>1.3194787630628724</v>
      </c>
      <c r="U173" s="107">
        <f>+'Phase III Pro Forma'!U172</f>
        <v>1.3458683383241299</v>
      </c>
      <c r="V173" s="107">
        <f>+'Phase III Pro Forma'!V172</f>
        <v>1.3727857050906125</v>
      </c>
      <c r="W173" s="107">
        <f>+'Phase III Pro Forma'!W172</f>
        <v>1.4002414191924248</v>
      </c>
      <c r="X173" s="107">
        <f>+'Phase III Pro Forma'!X172</f>
        <v>1.4282462475762734</v>
      </c>
      <c r="Y173" s="107">
        <f>+'Phase III Pro Forma'!Y172</f>
        <v>1.4568111725277988</v>
      </c>
      <c r="Z173" s="107">
        <f>+'Phase III Pro Forma'!Z172</f>
        <v>1.4859473959783549</v>
      </c>
    </row>
    <row r="174" spans="2:26" x14ac:dyDescent="0.2">
      <c r="B174" s="32" t="s">
        <v>304</v>
      </c>
      <c r="C174" s="32"/>
      <c r="D174" s="41"/>
      <c r="E174" s="41"/>
      <c r="F174" s="33">
        <f>+F172*F173</f>
        <v>0</v>
      </c>
      <c r="G174" s="33">
        <f t="shared" ref="G174:Z174" si="49">+G172*G173</f>
        <v>0</v>
      </c>
      <c r="H174" s="33">
        <f t="shared" si="49"/>
        <v>0</v>
      </c>
      <c r="I174" s="33">
        <f t="shared" si="49"/>
        <v>159.18119999999999</v>
      </c>
      <c r="J174" s="33">
        <f t="shared" si="49"/>
        <v>167.77698480000001</v>
      </c>
      <c r="K174" s="33">
        <f t="shared" si="49"/>
        <v>176.65292851200002</v>
      </c>
      <c r="L174" s="33">
        <f t="shared" si="49"/>
        <v>180.18598708224002</v>
      </c>
      <c r="M174" s="33">
        <f t="shared" si="49"/>
        <v>183.78970682388481</v>
      </c>
      <c r="N174" s="33">
        <f t="shared" si="49"/>
        <v>187.46550096036253</v>
      </c>
      <c r="O174" s="33">
        <f t="shared" si="49"/>
        <v>191.21481097956976</v>
      </c>
      <c r="P174" s="33">
        <f t="shared" si="49"/>
        <v>195.03910719916118</v>
      </c>
      <c r="Q174" s="33">
        <f t="shared" si="49"/>
        <v>198.93988934314439</v>
      </c>
      <c r="R174" s="33">
        <f t="shared" si="49"/>
        <v>202.91868713000727</v>
      </c>
      <c r="S174" s="33">
        <f t="shared" si="49"/>
        <v>206.97706087260741</v>
      </c>
      <c r="T174" s="33">
        <f t="shared" si="49"/>
        <v>211.11660209005959</v>
      </c>
      <c r="U174" s="33">
        <f t="shared" si="49"/>
        <v>215.33893413186078</v>
      </c>
      <c r="V174" s="33">
        <f t="shared" si="49"/>
        <v>219.64571281449798</v>
      </c>
      <c r="W174" s="33">
        <f t="shared" si="49"/>
        <v>224.03862707078798</v>
      </c>
      <c r="X174" s="33">
        <f t="shared" si="49"/>
        <v>228.51939961220376</v>
      </c>
      <c r="Y174" s="33">
        <f t="shared" si="49"/>
        <v>233.08978760444779</v>
      </c>
      <c r="Z174" s="33">
        <f t="shared" si="49"/>
        <v>237.7515833565368</v>
      </c>
    </row>
    <row r="175" spans="2:26" ht="5" customHeight="1" x14ac:dyDescent="0.2">
      <c r="B175" s="32"/>
    </row>
    <row r="176" spans="2:26" x14ac:dyDescent="0.2">
      <c r="B176" s="32" t="s">
        <v>153</v>
      </c>
      <c r="F176" s="107">
        <f>+'Phase III Pro Forma'!F175</f>
        <v>0</v>
      </c>
      <c r="G176" s="107">
        <f>+'Phase III Pro Forma'!G175</f>
        <v>0</v>
      </c>
      <c r="H176" s="107">
        <f>+'Phase III Pro Forma'!H175</f>
        <v>0</v>
      </c>
      <c r="I176" s="107">
        <f>+'Phase III Pro Forma'!I175</f>
        <v>0.65</v>
      </c>
      <c r="J176" s="107">
        <f>+'Phase III Pro Forma'!J175</f>
        <v>0.7</v>
      </c>
      <c r="K176" s="107">
        <f>+'Phase III Pro Forma'!K175</f>
        <v>0.7</v>
      </c>
      <c r="L176" s="107">
        <f>+'Phase III Pro Forma'!L175</f>
        <v>0.7</v>
      </c>
      <c r="M176" s="107">
        <f>+'Phase III Pro Forma'!M175</f>
        <v>0.7</v>
      </c>
      <c r="N176" s="107">
        <f>+'Phase III Pro Forma'!N175</f>
        <v>0.7</v>
      </c>
      <c r="O176" s="107">
        <f>+'Phase III Pro Forma'!O175</f>
        <v>0.7</v>
      </c>
      <c r="P176" s="107">
        <f>+'Phase III Pro Forma'!P175</f>
        <v>0.7</v>
      </c>
      <c r="Q176" s="107">
        <f>+'Phase III Pro Forma'!Q175</f>
        <v>0.7</v>
      </c>
      <c r="R176" s="107">
        <f>+'Phase III Pro Forma'!R175</f>
        <v>0.7</v>
      </c>
      <c r="S176" s="107">
        <f>+'Phase III Pro Forma'!S175</f>
        <v>0.7</v>
      </c>
      <c r="T176" s="107">
        <f>+'Phase III Pro Forma'!T175</f>
        <v>0.7</v>
      </c>
      <c r="U176" s="107">
        <f>+'Phase III Pro Forma'!U175</f>
        <v>0.7</v>
      </c>
      <c r="V176" s="107">
        <f>+'Phase III Pro Forma'!V175</f>
        <v>0.7</v>
      </c>
      <c r="W176" s="107">
        <f>+'Phase III Pro Forma'!W175</f>
        <v>0.7</v>
      </c>
      <c r="X176" s="107">
        <f>+'Phase III Pro Forma'!X175</f>
        <v>0.7</v>
      </c>
      <c r="Y176" s="107">
        <f>+'Phase III Pro Forma'!Y175</f>
        <v>0.7</v>
      </c>
      <c r="Z176" s="107">
        <f>+'Phase III Pro Forma'!Z175</f>
        <v>0.7</v>
      </c>
    </row>
    <row r="177" spans="2:26" x14ac:dyDescent="0.2">
      <c r="B177" s="32" t="s">
        <v>152</v>
      </c>
      <c r="F177" s="33">
        <f>+'Phase III Pro Forma'!F176</f>
        <v>0</v>
      </c>
      <c r="G177" s="33">
        <f>+'Phase III Pro Forma'!G176</f>
        <v>0</v>
      </c>
      <c r="H177" s="33">
        <f>+'Phase III Pro Forma'!H176</f>
        <v>0</v>
      </c>
      <c r="I177" s="33">
        <f>+'Phase III Pro Forma'!I176</f>
        <v>103.46777999999999</v>
      </c>
      <c r="J177" s="33">
        <f>+'Phase III Pro Forma'!J176</f>
        <v>117.44388936</v>
      </c>
      <c r="K177" s="33">
        <f>+'Phase III Pro Forma'!K176</f>
        <v>123.65704995840001</v>
      </c>
      <c r="L177" s="33">
        <f>+'Phase III Pro Forma'!L176</f>
        <v>126.130190957568</v>
      </c>
      <c r="M177" s="33">
        <f>+'Phase III Pro Forma'!M176</f>
        <v>128.65279477671936</v>
      </c>
      <c r="N177" s="33">
        <f>+'Phase III Pro Forma'!N176</f>
        <v>131.22585067225376</v>
      </c>
      <c r="O177" s="33">
        <f>+'Phase III Pro Forma'!O176</f>
        <v>133.85036768569881</v>
      </c>
      <c r="P177" s="33">
        <f>+'Phase III Pro Forma'!P176</f>
        <v>136.52737503941282</v>
      </c>
      <c r="Q177" s="33">
        <f>+'Phase III Pro Forma'!Q176</f>
        <v>139.25792254020106</v>
      </c>
      <c r="R177" s="33">
        <f>+'Phase III Pro Forma'!R176</f>
        <v>142.04308099100507</v>
      </c>
      <c r="S177" s="33">
        <f>+'Phase III Pro Forma'!S176</f>
        <v>144.88394261082519</v>
      </c>
      <c r="T177" s="33">
        <f>+'Phase III Pro Forma'!T176</f>
        <v>147.78162146304169</v>
      </c>
      <c r="U177" s="33">
        <f>+'Phase III Pro Forma'!U176</f>
        <v>150.73725389230253</v>
      </c>
      <c r="V177" s="33">
        <f>+'Phase III Pro Forma'!V176</f>
        <v>153.75199897014858</v>
      </c>
      <c r="W177" s="33">
        <f>+'Phase III Pro Forma'!W176</f>
        <v>156.82703894955156</v>
      </c>
      <c r="X177" s="33">
        <f>+'Phase III Pro Forma'!X176</f>
        <v>159.96357972854261</v>
      </c>
      <c r="Y177" s="33">
        <f>+'Phase III Pro Forma'!Y176</f>
        <v>163.16285132311344</v>
      </c>
      <c r="Z177" s="33">
        <f>+'Phase III Pro Forma'!Z176</f>
        <v>166.42610834957574</v>
      </c>
    </row>
    <row r="178" spans="2:26" x14ac:dyDescent="0.2">
      <c r="B178" s="136" t="s">
        <v>302</v>
      </c>
      <c r="C178" s="136"/>
      <c r="D178" s="136"/>
      <c r="E178" s="136"/>
      <c r="F178" s="773">
        <f>+'Phase III Pro Forma'!F177/1000000</f>
        <v>0</v>
      </c>
      <c r="G178" s="773">
        <f>+'Phase III Pro Forma'!G177/1000000</f>
        <v>0</v>
      </c>
      <c r="H178" s="773">
        <f>+'Phase III Pro Forma'!H177/1000000</f>
        <v>0</v>
      </c>
      <c r="I178" s="773">
        <f>+'Phase III Pro Forma'!I177/1000000</f>
        <v>0.704391877561788</v>
      </c>
      <c r="J178" s="773">
        <f>+'Phase III Pro Forma'!J177/1000000</f>
        <v>1.5990779300464222</v>
      </c>
      <c r="K178" s="773">
        <f>+'Phase III Pro Forma'!K177/1000000</f>
        <v>1.6836743108617815</v>
      </c>
      <c r="L178" s="773">
        <f>+'Phase III Pro Forma'!L177/1000000</f>
        <v>1.717347797079017</v>
      </c>
      <c r="M178" s="773">
        <f>+'Phase III Pro Forma'!M177/1000000</f>
        <v>1.7516947530205971</v>
      </c>
      <c r="N178" s="773">
        <f>+'Phase III Pro Forma'!N177/1000000</f>
        <v>1.7867286480810092</v>
      </c>
      <c r="O178" s="773">
        <f>+'Phase III Pro Forma'!O177/1000000</f>
        <v>1.822463221042629</v>
      </c>
      <c r="P178" s="773">
        <f>+'Phase III Pro Forma'!P177/1000000</f>
        <v>1.8589124854634824</v>
      </c>
      <c r="Q178" s="773">
        <f>+'Phase III Pro Forma'!Q177/1000000</f>
        <v>1.8960907351727518</v>
      </c>
      <c r="R178" s="773">
        <f>+'Phase III Pro Forma'!R177/1000000</f>
        <v>1.9340125498762064</v>
      </c>
      <c r="S178" s="773">
        <f>+'Phase III Pro Forma'!S177/1000000</f>
        <v>1.9726928008737308</v>
      </c>
      <c r="T178" s="773">
        <f>+'Phase III Pro Forma'!T177/1000000</f>
        <v>2.0121466568912054</v>
      </c>
      <c r="U178" s="773">
        <f>+'Phase III Pro Forma'!U177/1000000</f>
        <v>2.0523895900290294</v>
      </c>
      <c r="V178" s="773">
        <f>+'Phase III Pro Forma'!V177/1000000</f>
        <v>2.0934373818296104</v>
      </c>
      <c r="W178" s="773">
        <f>+'Phase III Pro Forma'!W177/1000000</f>
        <v>2.1353061294662026</v>
      </c>
      <c r="X178" s="773">
        <f>+'Phase III Pro Forma'!X177/1000000</f>
        <v>2.1780122520555265</v>
      </c>
      <c r="Y178" s="773">
        <f>+'Phase III Pro Forma'!Y177/1000000</f>
        <v>2.2215724970966368</v>
      </c>
      <c r="Z178" s="773">
        <f>+'Phase III Pro Forma'!Z177/1000000</f>
        <v>2.2660039470385702</v>
      </c>
    </row>
    <row r="179" spans="2:26" ht="5" customHeight="1" x14ac:dyDescent="0.2"/>
    <row r="180" spans="2:26" x14ac:dyDescent="0.2">
      <c r="B180" s="32" t="s">
        <v>308</v>
      </c>
      <c r="F180" s="48">
        <f>+'Phase III Pro Forma'!F179/1000000</f>
        <v>0</v>
      </c>
      <c r="G180" s="48">
        <f>+'Phase III Pro Forma'!G179/1000000</f>
        <v>0</v>
      </c>
      <c r="H180" s="48">
        <f>+'Phase III Pro Forma'!H179/1000000</f>
        <v>0</v>
      </c>
      <c r="I180" s="48">
        <f>+'Phase III Pro Forma'!I179/1000000</f>
        <v>0.20225228371262879</v>
      </c>
      <c r="J180" s="48">
        <f>+'Phase III Pro Forma'!J179/1000000</f>
        <v>0.41259465877376278</v>
      </c>
      <c r="K180" s="48">
        <f>+'Phase III Pro Forma'!K179/1000000</f>
        <v>0.42084655194923803</v>
      </c>
      <c r="L180" s="48">
        <f>+'Phase III Pro Forma'!L179/1000000</f>
        <v>0.42926348298822281</v>
      </c>
      <c r="M180" s="48">
        <f>+'Phase III Pro Forma'!M179/1000000</f>
        <v>0.43784875264798728</v>
      </c>
      <c r="N180" s="48">
        <f>+'Phase III Pro Forma'!N179/1000000</f>
        <v>0.44660572770094703</v>
      </c>
      <c r="O180" s="48">
        <f>+'Phase III Pro Forma'!O179/1000000</f>
        <v>0.45553784225496596</v>
      </c>
      <c r="P180" s="48">
        <f>+'Phase III Pro Forma'!P179/1000000</f>
        <v>0.46464859910006528</v>
      </c>
      <c r="Q180" s="48">
        <f>+'Phase III Pro Forma'!Q179/1000000</f>
        <v>0.47394157108206664</v>
      </c>
      <c r="R180" s="48">
        <f>+'Phase III Pro Forma'!R179/1000000</f>
        <v>0.48342040250370794</v>
      </c>
      <c r="S180" s="48">
        <f>+'Phase III Pro Forma'!S179/1000000</f>
        <v>0.49308881055378212</v>
      </c>
      <c r="T180" s="48">
        <f>+'Phase III Pro Forma'!T179/1000000</f>
        <v>0.50295058676485771</v>
      </c>
      <c r="U180" s="48">
        <f>+'Phase III Pro Forma'!U179/1000000</f>
        <v>0.51300959850015493</v>
      </c>
      <c r="V180" s="48">
        <f>+'Phase III Pro Forma'!V179/1000000</f>
        <v>0.52326979047015809</v>
      </c>
      <c r="W180" s="48">
        <f>+'Phase III Pro Forma'!W179/1000000</f>
        <v>0.53373518627956129</v>
      </c>
      <c r="X180" s="48">
        <f>+'Phase III Pro Forma'!X179/1000000</f>
        <v>0.54440989000515239</v>
      </c>
      <c r="Y180" s="48">
        <f>+'Phase III Pro Forma'!Y179/1000000</f>
        <v>0.55529808780525558</v>
      </c>
      <c r="Z180" s="48">
        <f>+'Phase III Pro Forma'!Z179/1000000</f>
        <v>0.56640404956136059</v>
      </c>
    </row>
    <row r="181" spans="2:26" x14ac:dyDescent="0.2">
      <c r="B181" s="136" t="s">
        <v>311</v>
      </c>
      <c r="C181" s="136"/>
      <c r="D181" s="136"/>
      <c r="E181" s="136"/>
      <c r="F181" s="773">
        <f>+F178+F180</f>
        <v>0</v>
      </c>
      <c r="G181" s="773">
        <f t="shared" ref="G181:Z181" si="50">+G178+G180</f>
        <v>0</v>
      </c>
      <c r="H181" s="773">
        <f t="shared" si="50"/>
        <v>0</v>
      </c>
      <c r="I181" s="773">
        <f t="shared" si="50"/>
        <v>0.90664416127441683</v>
      </c>
      <c r="J181" s="773">
        <f t="shared" si="50"/>
        <v>2.011672588820185</v>
      </c>
      <c r="K181" s="773">
        <f t="shared" si="50"/>
        <v>2.1045208628110195</v>
      </c>
      <c r="L181" s="773">
        <f t="shared" si="50"/>
        <v>2.1466112800672397</v>
      </c>
      <c r="M181" s="773">
        <f t="shared" si="50"/>
        <v>2.1895435056685844</v>
      </c>
      <c r="N181" s="773">
        <f t="shared" si="50"/>
        <v>2.2333343757819564</v>
      </c>
      <c r="O181" s="773">
        <f t="shared" si="50"/>
        <v>2.2780010632975949</v>
      </c>
      <c r="P181" s="773">
        <f t="shared" si="50"/>
        <v>2.3235610845635479</v>
      </c>
      <c r="Q181" s="773">
        <f t="shared" si="50"/>
        <v>2.3700323062548185</v>
      </c>
      <c r="R181" s="773">
        <f t="shared" si="50"/>
        <v>2.4174329523799143</v>
      </c>
      <c r="S181" s="773">
        <f t="shared" si="50"/>
        <v>2.4657816114275128</v>
      </c>
      <c r="T181" s="773">
        <f t="shared" si="50"/>
        <v>2.5150972436560632</v>
      </c>
      <c r="U181" s="773">
        <f t="shared" si="50"/>
        <v>2.5653991885291845</v>
      </c>
      <c r="V181" s="773">
        <f t="shared" si="50"/>
        <v>2.6167071722997686</v>
      </c>
      <c r="W181" s="773">
        <f t="shared" si="50"/>
        <v>2.6690413157457638</v>
      </c>
      <c r="X181" s="773">
        <f t="shared" si="50"/>
        <v>2.7224221420606787</v>
      </c>
      <c r="Y181" s="773">
        <f t="shared" si="50"/>
        <v>2.7768705849018924</v>
      </c>
      <c r="Z181" s="773">
        <f t="shared" si="50"/>
        <v>2.8324079965999309</v>
      </c>
    </row>
    <row r="182" spans="2:26" ht="5" customHeight="1" x14ac:dyDescent="0.2">
      <c r="B182" s="32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 spans="2:26" x14ac:dyDescent="0.2">
      <c r="B183" s="32" t="s">
        <v>309</v>
      </c>
      <c r="F183" s="771">
        <f>+'Phase III Pro Forma'!F182/1000000</f>
        <v>0</v>
      </c>
      <c r="G183" s="771">
        <f>+'Phase III Pro Forma'!G182/1000000</f>
        <v>0</v>
      </c>
      <c r="H183" s="771">
        <f>+'Phase III Pro Forma'!H182/1000000</f>
        <v>0</v>
      </c>
      <c r="I183" s="771">
        <f>+'Phase III Pro Forma'!I182/1000000</f>
        <v>0</v>
      </c>
      <c r="J183" s="771">
        <f>+'Phase III Pro Forma'!J182/1000000</f>
        <v>0</v>
      </c>
      <c r="K183" s="771">
        <f>+'Phase III Pro Forma'!K182/1000000</f>
        <v>0</v>
      </c>
      <c r="L183" s="771">
        <f>+'Phase III Pro Forma'!L182/1000000</f>
        <v>0</v>
      </c>
      <c r="M183" s="771">
        <f>+'Phase III Pro Forma'!M182/1000000</f>
        <v>0</v>
      </c>
      <c r="N183" s="771">
        <f>+'Phase III Pro Forma'!N182/1000000</f>
        <v>0</v>
      </c>
      <c r="O183" s="771">
        <f>+'Phase III Pro Forma'!O182/1000000</f>
        <v>0</v>
      </c>
      <c r="P183" s="771">
        <f>+'Phase III Pro Forma'!P182/1000000</f>
        <v>0</v>
      </c>
      <c r="Q183" s="771">
        <f>+'Phase III Pro Forma'!Q182/1000000</f>
        <v>0</v>
      </c>
      <c r="R183" s="771">
        <f>+'Phase III Pro Forma'!R182/1000000</f>
        <v>0</v>
      </c>
      <c r="S183" s="771">
        <f>+'Phase III Pro Forma'!S182/1000000</f>
        <v>0</v>
      </c>
      <c r="T183" s="771">
        <f>+'Phase III Pro Forma'!T182/1000000</f>
        <v>0</v>
      </c>
      <c r="U183" s="771">
        <f>+'Phase III Pro Forma'!U182/1000000</f>
        <v>0</v>
      </c>
      <c r="V183" s="771">
        <f>+'Phase III Pro Forma'!V182/1000000</f>
        <v>0</v>
      </c>
      <c r="W183" s="771">
        <f>+'Phase III Pro Forma'!W182/1000000</f>
        <v>0</v>
      </c>
      <c r="X183" s="771">
        <f>+'Phase III Pro Forma'!X182/1000000</f>
        <v>0</v>
      </c>
      <c r="Y183" s="771">
        <f>+'Phase III Pro Forma'!Y182/1000000</f>
        <v>0</v>
      </c>
      <c r="Z183" s="771">
        <f>+'Phase III Pro Forma'!Z182/1000000</f>
        <v>0</v>
      </c>
    </row>
    <row r="184" spans="2:26" s="156" customFormat="1" x14ac:dyDescent="0.2">
      <c r="B184" s="136" t="s">
        <v>772</v>
      </c>
      <c r="C184" s="136"/>
      <c r="D184" s="136"/>
      <c r="E184" s="136"/>
      <c r="F184" s="773">
        <f>+F181+F183</f>
        <v>0</v>
      </c>
      <c r="G184" s="773">
        <f t="shared" ref="G184:Z184" si="51">+G181+G183</f>
        <v>0</v>
      </c>
      <c r="H184" s="773">
        <f t="shared" si="51"/>
        <v>0</v>
      </c>
      <c r="I184" s="773">
        <f t="shared" si="51"/>
        <v>0.90664416127441683</v>
      </c>
      <c r="J184" s="773">
        <f t="shared" si="51"/>
        <v>2.011672588820185</v>
      </c>
      <c r="K184" s="773">
        <f t="shared" si="51"/>
        <v>2.1045208628110195</v>
      </c>
      <c r="L184" s="773">
        <f t="shared" si="51"/>
        <v>2.1466112800672397</v>
      </c>
      <c r="M184" s="773">
        <f t="shared" si="51"/>
        <v>2.1895435056685844</v>
      </c>
      <c r="N184" s="773">
        <f t="shared" si="51"/>
        <v>2.2333343757819564</v>
      </c>
      <c r="O184" s="773">
        <f t="shared" si="51"/>
        <v>2.2780010632975949</v>
      </c>
      <c r="P184" s="773">
        <f t="shared" si="51"/>
        <v>2.3235610845635479</v>
      </c>
      <c r="Q184" s="773">
        <f t="shared" si="51"/>
        <v>2.3700323062548185</v>
      </c>
      <c r="R184" s="773">
        <f t="shared" si="51"/>
        <v>2.4174329523799143</v>
      </c>
      <c r="S184" s="773">
        <f t="shared" si="51"/>
        <v>2.4657816114275128</v>
      </c>
      <c r="T184" s="773">
        <f t="shared" si="51"/>
        <v>2.5150972436560632</v>
      </c>
      <c r="U184" s="773">
        <f t="shared" si="51"/>
        <v>2.5653991885291845</v>
      </c>
      <c r="V184" s="773">
        <f t="shared" si="51"/>
        <v>2.6167071722997686</v>
      </c>
      <c r="W184" s="773">
        <f t="shared" si="51"/>
        <v>2.6690413157457638</v>
      </c>
      <c r="X184" s="773">
        <f t="shared" si="51"/>
        <v>2.7224221420606787</v>
      </c>
      <c r="Y184" s="773">
        <f t="shared" si="51"/>
        <v>2.7768705849018924</v>
      </c>
      <c r="Z184" s="773">
        <f t="shared" si="51"/>
        <v>2.8324079965999309</v>
      </c>
    </row>
    <row r="185" spans="2:26" ht="5" customHeight="1" x14ac:dyDescent="0.2"/>
    <row r="186" spans="2:26" hidden="1" x14ac:dyDescent="0.2">
      <c r="B186" s="796" t="s">
        <v>9</v>
      </c>
      <c r="C186" s="793"/>
      <c r="D186" s="793"/>
      <c r="E186" s="793"/>
      <c r="F186" s="793"/>
      <c r="G186" s="793"/>
      <c r="H186" s="793"/>
      <c r="I186" s="793"/>
      <c r="J186" s="793"/>
      <c r="K186" s="793"/>
      <c r="L186" s="793"/>
      <c r="M186" s="793"/>
      <c r="N186" s="793"/>
      <c r="O186" s="793"/>
      <c r="P186" s="793"/>
      <c r="Q186" s="793"/>
      <c r="R186" s="793"/>
      <c r="S186" s="793"/>
      <c r="T186" s="793"/>
      <c r="U186" s="793"/>
      <c r="V186" s="793"/>
      <c r="W186" s="793"/>
      <c r="X186" s="793"/>
      <c r="Y186" s="793"/>
      <c r="Z186" s="793"/>
    </row>
    <row r="187" spans="2:26" hidden="1" x14ac:dyDescent="0.2">
      <c r="B187" s="797" t="s">
        <v>280</v>
      </c>
      <c r="C187" s="793"/>
      <c r="D187" s="798">
        <f>+'Phase III Pro Forma'!D186</f>
        <v>0.25</v>
      </c>
      <c r="E187" s="798"/>
      <c r="F187" s="794">
        <f>F$178*$D187</f>
        <v>0</v>
      </c>
      <c r="G187" s="794">
        <f t="shared" ref="G187:Z187" si="52">G$178*$D187</f>
        <v>0</v>
      </c>
      <c r="H187" s="794">
        <f t="shared" si="52"/>
        <v>0</v>
      </c>
      <c r="I187" s="794">
        <f t="shared" si="52"/>
        <v>0.176097969390447</v>
      </c>
      <c r="J187" s="794">
        <f t="shared" si="52"/>
        <v>0.39976948251160555</v>
      </c>
      <c r="K187" s="794">
        <f t="shared" si="52"/>
        <v>0.42091857771544539</v>
      </c>
      <c r="L187" s="794">
        <f t="shared" si="52"/>
        <v>0.42933694926975424</v>
      </c>
      <c r="M187" s="794">
        <f t="shared" si="52"/>
        <v>0.43792368825514927</v>
      </c>
      <c r="N187" s="794">
        <f t="shared" si="52"/>
        <v>0.44668216202025229</v>
      </c>
      <c r="O187" s="794">
        <f t="shared" si="52"/>
        <v>0.45561580526065726</v>
      </c>
      <c r="P187" s="794">
        <f t="shared" si="52"/>
        <v>0.46472812136587061</v>
      </c>
      <c r="Q187" s="794">
        <f t="shared" si="52"/>
        <v>0.47402268379318796</v>
      </c>
      <c r="R187" s="794">
        <f t="shared" si="52"/>
        <v>0.4835031374690516</v>
      </c>
      <c r="S187" s="794">
        <f t="shared" si="52"/>
        <v>0.49317320021843269</v>
      </c>
      <c r="T187" s="794">
        <f t="shared" si="52"/>
        <v>0.50303666422280136</v>
      </c>
      <c r="U187" s="794">
        <f t="shared" si="52"/>
        <v>0.51309739750725736</v>
      </c>
      <c r="V187" s="794">
        <f t="shared" si="52"/>
        <v>0.52335934545740259</v>
      </c>
      <c r="W187" s="794">
        <f t="shared" si="52"/>
        <v>0.53382653236655064</v>
      </c>
      <c r="X187" s="794">
        <f t="shared" si="52"/>
        <v>0.54450306301388163</v>
      </c>
      <c r="Y187" s="794">
        <f t="shared" si="52"/>
        <v>0.55539312427415921</v>
      </c>
      <c r="Z187" s="794">
        <f t="shared" si="52"/>
        <v>0.56650098675964256</v>
      </c>
    </row>
    <row r="188" spans="2:26" hidden="1" x14ac:dyDescent="0.2">
      <c r="B188" s="797" t="s">
        <v>307</v>
      </c>
      <c r="C188" s="793"/>
      <c r="D188" s="798">
        <f>+'Phase III Pro Forma'!D187</f>
        <v>0.7</v>
      </c>
      <c r="E188" s="798"/>
      <c r="F188" s="799">
        <f>F$180*$D188</f>
        <v>0</v>
      </c>
      <c r="G188" s="799">
        <f t="shared" ref="G188:Z188" si="53">G$180*$D188</f>
        <v>0</v>
      </c>
      <c r="H188" s="799">
        <f t="shared" si="53"/>
        <v>0</v>
      </c>
      <c r="I188" s="799">
        <f t="shared" si="53"/>
        <v>0.14157659859884014</v>
      </c>
      <c r="J188" s="799">
        <f t="shared" si="53"/>
        <v>0.28881626114163395</v>
      </c>
      <c r="K188" s="799">
        <f t="shared" si="53"/>
        <v>0.29459258636446661</v>
      </c>
      <c r="L188" s="799">
        <f t="shared" si="53"/>
        <v>0.30048443809175596</v>
      </c>
      <c r="M188" s="799">
        <f t="shared" si="53"/>
        <v>0.30649412685359106</v>
      </c>
      <c r="N188" s="799">
        <f t="shared" si="53"/>
        <v>0.31262400939066293</v>
      </c>
      <c r="O188" s="799">
        <f t="shared" si="53"/>
        <v>0.31887648957847614</v>
      </c>
      <c r="P188" s="799">
        <f t="shared" si="53"/>
        <v>0.32525401937004567</v>
      </c>
      <c r="Q188" s="799">
        <f t="shared" si="53"/>
        <v>0.33175909975744661</v>
      </c>
      <c r="R188" s="799">
        <f t="shared" si="53"/>
        <v>0.33839428175259556</v>
      </c>
      <c r="S188" s="799">
        <f t="shared" si="53"/>
        <v>0.34516216738764749</v>
      </c>
      <c r="T188" s="799">
        <f t="shared" si="53"/>
        <v>0.35206541073540037</v>
      </c>
      <c r="U188" s="799">
        <f t="shared" si="53"/>
        <v>0.35910671895010843</v>
      </c>
      <c r="V188" s="799">
        <f t="shared" si="53"/>
        <v>0.36628885332911065</v>
      </c>
      <c r="W188" s="799">
        <f t="shared" si="53"/>
        <v>0.37361463039569287</v>
      </c>
      <c r="X188" s="799">
        <f t="shared" si="53"/>
        <v>0.38108692300360664</v>
      </c>
      <c r="Y188" s="799">
        <f t="shared" si="53"/>
        <v>0.38870866146367888</v>
      </c>
      <c r="Z188" s="799">
        <f t="shared" si="53"/>
        <v>0.39648283469295237</v>
      </c>
    </row>
    <row r="189" spans="2:26" x14ac:dyDescent="0.2">
      <c r="B189" s="54" t="s">
        <v>144</v>
      </c>
      <c r="D189" s="114"/>
      <c r="E189" s="114"/>
      <c r="F189" s="48">
        <f>+SUM(F187:F188)</f>
        <v>0</v>
      </c>
      <c r="G189" s="48">
        <f t="shared" ref="G189:Z189" si="54">+SUM(G187:G188)</f>
        <v>0</v>
      </c>
      <c r="H189" s="48">
        <f t="shared" si="54"/>
        <v>0</v>
      </c>
      <c r="I189" s="48">
        <f t="shared" si="54"/>
        <v>0.31767456798928717</v>
      </c>
      <c r="J189" s="48">
        <f t="shared" si="54"/>
        <v>0.68858574365323943</v>
      </c>
      <c r="K189" s="48">
        <f t="shared" si="54"/>
        <v>0.715511164079912</v>
      </c>
      <c r="L189" s="48">
        <f t="shared" si="54"/>
        <v>0.72982138736151025</v>
      </c>
      <c r="M189" s="48">
        <f t="shared" si="54"/>
        <v>0.74441781510874039</v>
      </c>
      <c r="N189" s="48">
        <f t="shared" si="54"/>
        <v>0.75930617141091528</v>
      </c>
      <c r="O189" s="48">
        <f t="shared" si="54"/>
        <v>0.7744922948391334</v>
      </c>
      <c r="P189" s="48">
        <f t="shared" si="54"/>
        <v>0.78998214073591622</v>
      </c>
      <c r="Q189" s="48">
        <f t="shared" si="54"/>
        <v>0.80578178355063457</v>
      </c>
      <c r="R189" s="48">
        <f t="shared" si="54"/>
        <v>0.82189741922164716</v>
      </c>
      <c r="S189" s="48">
        <f t="shared" si="54"/>
        <v>0.83833536760608018</v>
      </c>
      <c r="T189" s="48">
        <f t="shared" si="54"/>
        <v>0.85510207495820167</v>
      </c>
      <c r="U189" s="48">
        <f t="shared" si="54"/>
        <v>0.87220411645736573</v>
      </c>
      <c r="V189" s="48">
        <f t="shared" si="54"/>
        <v>0.88964819878651324</v>
      </c>
      <c r="W189" s="48">
        <f t="shared" si="54"/>
        <v>0.90744116276224351</v>
      </c>
      <c r="X189" s="48">
        <f t="shared" si="54"/>
        <v>0.92558998601748832</v>
      </c>
      <c r="Y189" s="48">
        <f t="shared" si="54"/>
        <v>0.9441017857378381</v>
      </c>
      <c r="Z189" s="48">
        <f t="shared" si="54"/>
        <v>0.96298382145259498</v>
      </c>
    </row>
    <row r="190" spans="2:26" hidden="1" x14ac:dyDescent="0.2">
      <c r="B190" s="796" t="s">
        <v>281</v>
      </c>
      <c r="C190" s="793"/>
      <c r="D190" s="793"/>
      <c r="E190" s="793"/>
      <c r="F190" s="793"/>
      <c r="G190" s="793"/>
      <c r="H190" s="793"/>
      <c r="I190" s="793"/>
      <c r="J190" s="793"/>
      <c r="K190" s="793"/>
      <c r="L190" s="793"/>
      <c r="M190" s="793"/>
      <c r="N190" s="793"/>
      <c r="O190" s="793"/>
      <c r="P190" s="793"/>
      <c r="Q190" s="793"/>
      <c r="R190" s="793"/>
      <c r="S190" s="793"/>
      <c r="T190" s="793"/>
      <c r="U190" s="793"/>
      <c r="V190" s="793"/>
      <c r="W190" s="793"/>
      <c r="X190" s="793"/>
      <c r="Y190" s="793"/>
      <c r="Z190" s="793"/>
    </row>
    <row r="191" spans="2:26" hidden="1" x14ac:dyDescent="0.2">
      <c r="B191" s="797" t="s">
        <v>282</v>
      </c>
      <c r="C191" s="793"/>
      <c r="D191" s="798">
        <f>+'Phase III Pro Forma'!D189</f>
        <v>0.08</v>
      </c>
      <c r="E191" s="798"/>
      <c r="F191" s="789">
        <f>+'Phase III Pro Forma'!F189/1000000</f>
        <v>0</v>
      </c>
      <c r="G191" s="789">
        <f>+'Phase III Pro Forma'!G189/1000000</f>
        <v>0</v>
      </c>
      <c r="H191" s="789">
        <f>+'Phase III Pro Forma'!H189/1000000</f>
        <v>0</v>
      </c>
      <c r="I191" s="789">
        <f>+'Phase III Pro Forma'!I189/1000000</f>
        <v>7.2531532901953341E-2</v>
      </c>
      <c r="J191" s="789">
        <f>+'Phase III Pro Forma'!J189/1000000</f>
        <v>0.16093380710561481</v>
      </c>
      <c r="K191" s="789">
        <f>+'Phase III Pro Forma'!K189/1000000</f>
        <v>0.16836166902488159</v>
      </c>
      <c r="L191" s="789">
        <f>+'Phase III Pro Forma'!L189/1000000</f>
        <v>0.17172890240537919</v>
      </c>
      <c r="M191" s="789">
        <f>+'Phase III Pro Forma'!M189/1000000</f>
        <v>0.17516348045348676</v>
      </c>
      <c r="N191" s="789">
        <f>+'Phase III Pro Forma'!N189/1000000</f>
        <v>0.1786667500625565</v>
      </c>
      <c r="O191" s="789">
        <f>+'Phase III Pro Forma'!O189/1000000</f>
        <v>0.18224008506380762</v>
      </c>
      <c r="P191" s="789">
        <f>+'Phase III Pro Forma'!P189/1000000</f>
        <v>0.18588488676508383</v>
      </c>
      <c r="Q191" s="789">
        <f>+'Phase III Pro Forma'!Q189/1000000</f>
        <v>0.18960258450038547</v>
      </c>
      <c r="R191" s="789">
        <f>+'Phase III Pro Forma'!R189/1000000</f>
        <v>0.19339463619039313</v>
      </c>
      <c r="S191" s="789">
        <f>+'Phase III Pro Forma'!S189/1000000</f>
        <v>0.19726252891420104</v>
      </c>
      <c r="T191" s="789">
        <f>+'Phase III Pro Forma'!T189/1000000</f>
        <v>0.20120777949248508</v>
      </c>
      <c r="U191" s="789">
        <f>+'Phase III Pro Forma'!U189/1000000</f>
        <v>0.20523193508233475</v>
      </c>
      <c r="V191" s="789">
        <f>+'Phase III Pro Forma'!V189/1000000</f>
        <v>0.20933657378398146</v>
      </c>
      <c r="W191" s="789">
        <f>+'Phase III Pro Forma'!W189/1000000</f>
        <v>0.21352330525966112</v>
      </c>
      <c r="X191" s="789">
        <f>+'Phase III Pro Forma'!X189/1000000</f>
        <v>0.21779377136485437</v>
      </c>
      <c r="Y191" s="789">
        <f>+'Phase III Pro Forma'!Y189/1000000</f>
        <v>0.22214964679215141</v>
      </c>
      <c r="Z191" s="789">
        <f>+'Phase III Pro Forma'!Z189/1000000</f>
        <v>0.22659263972799451</v>
      </c>
    </row>
    <row r="192" spans="2:26" hidden="1" x14ac:dyDescent="0.2">
      <c r="B192" s="797" t="s">
        <v>283</v>
      </c>
      <c r="C192" s="793"/>
      <c r="D192" s="798">
        <f>+'Phase III Pro Forma'!D190</f>
        <v>0.01</v>
      </c>
      <c r="E192" s="798"/>
      <c r="F192" s="789">
        <f>+'Phase III Pro Forma'!F190/1000000</f>
        <v>0</v>
      </c>
      <c r="G192" s="789">
        <f>+'Phase III Pro Forma'!G190/1000000</f>
        <v>0</v>
      </c>
      <c r="H192" s="789">
        <f>+'Phase III Pro Forma'!H190/1000000</f>
        <v>0</v>
      </c>
      <c r="I192" s="789">
        <f>+'Phase III Pro Forma'!I190/1000000</f>
        <v>9.0664416127441676E-3</v>
      </c>
      <c r="J192" s="789">
        <f>+'Phase III Pro Forma'!J190/1000000</f>
        <v>2.0116725888201851E-2</v>
      </c>
      <c r="K192" s="789">
        <f>+'Phase III Pro Forma'!K190/1000000</f>
        <v>2.1045208628110199E-2</v>
      </c>
      <c r="L192" s="789">
        <f>+'Phase III Pro Forma'!L190/1000000</f>
        <v>2.1466112800672399E-2</v>
      </c>
      <c r="M192" s="789">
        <f>+'Phase III Pro Forma'!M190/1000000</f>
        <v>2.1895435056685845E-2</v>
      </c>
      <c r="N192" s="789">
        <f>+'Phase III Pro Forma'!N190/1000000</f>
        <v>2.2333343757819563E-2</v>
      </c>
      <c r="O192" s="789">
        <f>+'Phase III Pro Forma'!O190/1000000</f>
        <v>2.2780010632975953E-2</v>
      </c>
      <c r="P192" s="789">
        <f>+'Phase III Pro Forma'!P190/1000000</f>
        <v>2.3235610845635479E-2</v>
      </c>
      <c r="Q192" s="789">
        <f>+'Phase III Pro Forma'!Q190/1000000</f>
        <v>2.3700323062548184E-2</v>
      </c>
      <c r="R192" s="789">
        <f>+'Phase III Pro Forma'!R190/1000000</f>
        <v>2.4174329523799141E-2</v>
      </c>
      <c r="S192" s="789">
        <f>+'Phase III Pro Forma'!S190/1000000</f>
        <v>2.465781611427513E-2</v>
      </c>
      <c r="T192" s="789">
        <f>+'Phase III Pro Forma'!T190/1000000</f>
        <v>2.5150972436560635E-2</v>
      </c>
      <c r="U192" s="789">
        <f>+'Phase III Pro Forma'!U190/1000000</f>
        <v>2.5653991885291844E-2</v>
      </c>
      <c r="V192" s="789">
        <f>+'Phase III Pro Forma'!V190/1000000</f>
        <v>2.6167071722997683E-2</v>
      </c>
      <c r="W192" s="789">
        <f>+'Phase III Pro Forma'!W190/1000000</f>
        <v>2.669041315745764E-2</v>
      </c>
      <c r="X192" s="789">
        <f>+'Phase III Pro Forma'!X190/1000000</f>
        <v>2.7224221420606796E-2</v>
      </c>
      <c r="Y192" s="789">
        <f>+'Phase III Pro Forma'!Y190/1000000</f>
        <v>2.7768705849018926E-2</v>
      </c>
      <c r="Z192" s="789">
        <f>+'Phase III Pro Forma'!Z190/1000000</f>
        <v>2.8324079965999314E-2</v>
      </c>
    </row>
    <row r="193" spans="2:26" hidden="1" x14ac:dyDescent="0.2">
      <c r="B193" s="797" t="s">
        <v>73</v>
      </c>
      <c r="C193" s="793"/>
      <c r="D193" s="798">
        <f>+'Phase III Pro Forma'!D191</f>
        <v>6.5000000000000002E-2</v>
      </c>
      <c r="E193" s="798"/>
      <c r="F193" s="789">
        <f>+'Phase III Pro Forma'!F191/1000000</f>
        <v>0</v>
      </c>
      <c r="G193" s="789">
        <f>+'Phase III Pro Forma'!G191/1000000</f>
        <v>0</v>
      </c>
      <c r="H193" s="789">
        <f>+'Phase III Pro Forma'!H191/1000000</f>
        <v>0</v>
      </c>
      <c r="I193" s="789">
        <f>+'Phase III Pro Forma'!I191/1000000</f>
        <v>5.8931870482837087E-2</v>
      </c>
      <c r="J193" s="789">
        <f>+'Phase III Pro Forma'!J191/1000000</f>
        <v>0.13075871827331204</v>
      </c>
      <c r="K193" s="789">
        <f>+'Phase III Pro Forma'!K191/1000000</f>
        <v>0.1367938560827163</v>
      </c>
      <c r="L193" s="789">
        <f>+'Phase III Pro Forma'!L191/1000000</f>
        <v>0.13952973320437059</v>
      </c>
      <c r="M193" s="789">
        <f>+'Phase III Pro Forma'!M191/1000000</f>
        <v>0.14232032786845797</v>
      </c>
      <c r="N193" s="789">
        <f>+'Phase III Pro Forma'!N191/1000000</f>
        <v>0.14516673442582717</v>
      </c>
      <c r="O193" s="789">
        <f>+'Phase III Pro Forma'!O191/1000000</f>
        <v>0.14807006911434367</v>
      </c>
      <c r="P193" s="789">
        <f>+'Phase III Pro Forma'!P191/1000000</f>
        <v>0.15103147049663063</v>
      </c>
      <c r="Q193" s="789">
        <f>+'Phase III Pro Forma'!Q191/1000000</f>
        <v>0.15405209990656321</v>
      </c>
      <c r="R193" s="789">
        <f>+'Phase III Pro Forma'!R191/1000000</f>
        <v>0.15713314190469441</v>
      </c>
      <c r="S193" s="789">
        <f>+'Phase III Pro Forma'!S191/1000000</f>
        <v>0.16027580474278835</v>
      </c>
      <c r="T193" s="789">
        <f>+'Phase III Pro Forma'!T191/1000000</f>
        <v>0.16348132083764413</v>
      </c>
      <c r="U193" s="789">
        <f>+'Phase III Pro Forma'!U191/1000000</f>
        <v>0.16675094725439701</v>
      </c>
      <c r="V193" s="789">
        <f>+'Phase III Pro Forma'!V191/1000000</f>
        <v>0.17008596619948493</v>
      </c>
      <c r="W193" s="789">
        <f>+'Phase III Pro Forma'!W191/1000000</f>
        <v>0.17348768552347468</v>
      </c>
      <c r="X193" s="789">
        <f>+'Phase III Pro Forma'!X191/1000000</f>
        <v>0.17695743923394416</v>
      </c>
      <c r="Y193" s="789">
        <f>+'Phase III Pro Forma'!Y191/1000000</f>
        <v>0.18049658801862303</v>
      </c>
      <c r="Z193" s="789">
        <f>+'Phase III Pro Forma'!Z191/1000000</f>
        <v>0.18410651977899553</v>
      </c>
    </row>
    <row r="194" spans="2:26" hidden="1" x14ac:dyDescent="0.2">
      <c r="B194" s="797" t="s">
        <v>284</v>
      </c>
      <c r="C194" s="793"/>
      <c r="D194" s="798">
        <f>+'Phase III Pro Forma'!D192</f>
        <v>0.02</v>
      </c>
      <c r="E194" s="798"/>
      <c r="F194" s="789">
        <f>+'Phase III Pro Forma'!F192/1000000</f>
        <v>0</v>
      </c>
      <c r="G194" s="789">
        <f>+'Phase III Pro Forma'!G192/1000000</f>
        <v>0</v>
      </c>
      <c r="H194" s="789">
        <f>+'Phase III Pro Forma'!H192/1000000</f>
        <v>0</v>
      </c>
      <c r="I194" s="789">
        <f>+'Phase III Pro Forma'!I192/1000000</f>
        <v>1.8132883225488335E-2</v>
      </c>
      <c r="J194" s="789">
        <f>+'Phase III Pro Forma'!J192/1000000</f>
        <v>4.0233451776403702E-2</v>
      </c>
      <c r="K194" s="789">
        <f>+'Phase III Pro Forma'!K192/1000000</f>
        <v>4.2090417256220397E-2</v>
      </c>
      <c r="L194" s="789">
        <f>+'Phase III Pro Forma'!L192/1000000</f>
        <v>4.2932225601344798E-2</v>
      </c>
      <c r="M194" s="789">
        <f>+'Phase III Pro Forma'!M192/1000000</f>
        <v>4.379087011337169E-2</v>
      </c>
      <c r="N194" s="789">
        <f>+'Phase III Pro Forma'!N192/1000000</f>
        <v>4.4666687515639125E-2</v>
      </c>
      <c r="O194" s="789">
        <f>+'Phase III Pro Forma'!O192/1000000</f>
        <v>4.5560021265951905E-2</v>
      </c>
      <c r="P194" s="789">
        <f>+'Phase III Pro Forma'!P192/1000000</f>
        <v>4.6471221691270957E-2</v>
      </c>
      <c r="Q194" s="789">
        <f>+'Phase III Pro Forma'!Q192/1000000</f>
        <v>4.7400646125096368E-2</v>
      </c>
      <c r="R194" s="789">
        <f>+'Phase III Pro Forma'!R192/1000000</f>
        <v>4.8348659047598282E-2</v>
      </c>
      <c r="S194" s="789">
        <f>+'Phase III Pro Forma'!S192/1000000</f>
        <v>4.931563222855026E-2</v>
      </c>
      <c r="T194" s="789">
        <f>+'Phase III Pro Forma'!T192/1000000</f>
        <v>5.0301944873121271E-2</v>
      </c>
      <c r="U194" s="789">
        <f>+'Phase III Pro Forma'!U192/1000000</f>
        <v>5.1307983770583689E-2</v>
      </c>
      <c r="V194" s="789">
        <f>+'Phase III Pro Forma'!V192/1000000</f>
        <v>5.2334143445995365E-2</v>
      </c>
      <c r="W194" s="789">
        <f>+'Phase III Pro Forma'!W192/1000000</f>
        <v>5.3380826314915281E-2</v>
      </c>
      <c r="X194" s="789">
        <f>+'Phase III Pro Forma'!X192/1000000</f>
        <v>5.4448442841213592E-2</v>
      </c>
      <c r="Y194" s="789">
        <f>+'Phase III Pro Forma'!Y192/1000000</f>
        <v>5.5537411698037852E-2</v>
      </c>
      <c r="Z194" s="789">
        <f>+'Phase III Pro Forma'!Z192/1000000</f>
        <v>5.6648159931998628E-2</v>
      </c>
    </row>
    <row r="195" spans="2:26" hidden="1" x14ac:dyDescent="0.2">
      <c r="B195" s="797" t="s">
        <v>285</v>
      </c>
      <c r="C195" s="793"/>
      <c r="D195" s="798">
        <f>+'Phase III Pro Forma'!D193</f>
        <v>0.03</v>
      </c>
      <c r="E195" s="798"/>
      <c r="F195" s="789">
        <f>+'Phase III Pro Forma'!F193/1000000</f>
        <v>0</v>
      </c>
      <c r="G195" s="789">
        <f>+'Phase III Pro Forma'!G193/1000000</f>
        <v>0</v>
      </c>
      <c r="H195" s="789">
        <f>+'Phase III Pro Forma'!H193/1000000</f>
        <v>0</v>
      </c>
      <c r="I195" s="789">
        <f>+'Phase III Pro Forma'!I193/1000000</f>
        <v>2.7199324838232501E-2</v>
      </c>
      <c r="J195" s="789">
        <f>+'Phase III Pro Forma'!J193/1000000</f>
        <v>6.0350177664605549E-2</v>
      </c>
      <c r="K195" s="789">
        <f>+'Phase III Pro Forma'!K193/1000000</f>
        <v>6.3135625884330582E-2</v>
      </c>
      <c r="L195" s="789">
        <f>+'Phase III Pro Forma'!L193/1000000</f>
        <v>6.4398338402017197E-2</v>
      </c>
      <c r="M195" s="789">
        <f>+'Phase III Pro Forma'!M193/1000000</f>
        <v>6.5686305170057524E-2</v>
      </c>
      <c r="N195" s="789">
        <f>+'Phase III Pro Forma'!N193/1000000</f>
        <v>6.7000031273458674E-2</v>
      </c>
      <c r="O195" s="789">
        <f>+'Phase III Pro Forma'!O193/1000000</f>
        <v>6.8340031898927844E-2</v>
      </c>
      <c r="P195" s="789">
        <f>+'Phase III Pro Forma'!P193/1000000</f>
        <v>6.9706832536906432E-2</v>
      </c>
      <c r="Q195" s="789">
        <f>+'Phase III Pro Forma'!Q193/1000000</f>
        <v>7.1100969187644553E-2</v>
      </c>
      <c r="R195" s="789">
        <f>+'Phase III Pro Forma'!R193/1000000</f>
        <v>7.2522988571397426E-2</v>
      </c>
      <c r="S195" s="789">
        <f>+'Phase III Pro Forma'!S193/1000000</f>
        <v>7.397344834282539E-2</v>
      </c>
      <c r="T195" s="789">
        <f>+'Phase III Pro Forma'!T193/1000000</f>
        <v>7.5452917309681899E-2</v>
      </c>
      <c r="U195" s="789">
        <f>+'Phase III Pro Forma'!U193/1000000</f>
        <v>7.6961975655875536E-2</v>
      </c>
      <c r="V195" s="789">
        <f>+'Phase III Pro Forma'!V193/1000000</f>
        <v>7.8501215168993041E-2</v>
      </c>
      <c r="W195" s="789">
        <f>+'Phase III Pro Forma'!W193/1000000</f>
        <v>8.0071239472372907E-2</v>
      </c>
      <c r="X195" s="789">
        <f>+'Phase III Pro Forma'!X193/1000000</f>
        <v>8.1672664261820377E-2</v>
      </c>
      <c r="Y195" s="789">
        <f>+'Phase III Pro Forma'!Y193/1000000</f>
        <v>8.3306117547056774E-2</v>
      </c>
      <c r="Z195" s="789">
        <f>+'Phase III Pro Forma'!Z193/1000000</f>
        <v>8.4972239897997931E-2</v>
      </c>
    </row>
    <row r="196" spans="2:26" hidden="1" x14ac:dyDescent="0.2">
      <c r="B196" s="797" t="s">
        <v>286</v>
      </c>
      <c r="C196" s="793"/>
      <c r="D196" s="798">
        <f>+'Phase III Pro Forma'!D194</f>
        <v>0.04</v>
      </c>
      <c r="E196" s="798"/>
      <c r="F196" s="789">
        <f>+'Phase III Pro Forma'!F194/1000000</f>
        <v>0</v>
      </c>
      <c r="G196" s="789">
        <f>+'Phase III Pro Forma'!G194/1000000</f>
        <v>0</v>
      </c>
      <c r="H196" s="789">
        <f>+'Phase III Pro Forma'!H194/1000000</f>
        <v>0</v>
      </c>
      <c r="I196" s="789">
        <f>+'Phase III Pro Forma'!I194/1000000</f>
        <v>3.6265766450976671E-2</v>
      </c>
      <c r="J196" s="789">
        <f>+'Phase III Pro Forma'!J194/1000000</f>
        <v>8.0466903552807403E-2</v>
      </c>
      <c r="K196" s="789">
        <f>+'Phase III Pro Forma'!K194/1000000</f>
        <v>8.4180834512440794E-2</v>
      </c>
      <c r="L196" s="789">
        <f>+'Phase III Pro Forma'!L194/1000000</f>
        <v>8.5864451202689596E-2</v>
      </c>
      <c r="M196" s="789">
        <f>+'Phase III Pro Forma'!M194/1000000</f>
        <v>8.7581740226743379E-2</v>
      </c>
      <c r="N196" s="789">
        <f>+'Phase III Pro Forma'!N194/1000000</f>
        <v>8.933337503127825E-2</v>
      </c>
      <c r="O196" s="789">
        <f>+'Phase III Pro Forma'!O194/1000000</f>
        <v>9.1120042531903811E-2</v>
      </c>
      <c r="P196" s="789">
        <f>+'Phase III Pro Forma'!P194/1000000</f>
        <v>9.2942443382541914E-2</v>
      </c>
      <c r="Q196" s="789">
        <f>+'Phase III Pro Forma'!Q194/1000000</f>
        <v>9.4801292250192737E-2</v>
      </c>
      <c r="R196" s="789">
        <f>+'Phase III Pro Forma'!R194/1000000</f>
        <v>9.6697318095196563E-2</v>
      </c>
      <c r="S196" s="789">
        <f>+'Phase III Pro Forma'!S194/1000000</f>
        <v>9.863126445710052E-2</v>
      </c>
      <c r="T196" s="789">
        <f>+'Phase III Pro Forma'!T194/1000000</f>
        <v>0.10060388974624254</v>
      </c>
      <c r="U196" s="789">
        <f>+'Phase III Pro Forma'!U194/1000000</f>
        <v>0.10261596754116738</v>
      </c>
      <c r="V196" s="789">
        <f>+'Phase III Pro Forma'!V194/1000000</f>
        <v>0.10466828689199073</v>
      </c>
      <c r="W196" s="789">
        <f>+'Phase III Pro Forma'!W194/1000000</f>
        <v>0.10676165262983056</v>
      </c>
      <c r="X196" s="789">
        <f>+'Phase III Pro Forma'!X194/1000000</f>
        <v>0.10889688568242718</v>
      </c>
      <c r="Y196" s="789">
        <f>+'Phase III Pro Forma'!Y194/1000000</f>
        <v>0.1110748233960757</v>
      </c>
      <c r="Z196" s="789">
        <f>+'Phase III Pro Forma'!Z194/1000000</f>
        <v>0.11329631986399726</v>
      </c>
    </row>
    <row r="197" spans="2:26" hidden="1" x14ac:dyDescent="0.2">
      <c r="B197" s="797" t="s">
        <v>59</v>
      </c>
      <c r="C197" s="793"/>
      <c r="D197" s="798">
        <f>+'Phase III Pro Forma'!D195</f>
        <v>0.01</v>
      </c>
      <c r="E197" s="798"/>
      <c r="F197" s="789">
        <f>+'Phase III Pro Forma'!F195/1000000</f>
        <v>0</v>
      </c>
      <c r="G197" s="789">
        <f>+'Phase III Pro Forma'!G195/1000000</f>
        <v>0</v>
      </c>
      <c r="H197" s="789">
        <f>+'Phase III Pro Forma'!H195/1000000</f>
        <v>0</v>
      </c>
      <c r="I197" s="789">
        <f>+'Phase III Pro Forma'!I195/1000000</f>
        <v>9.0664416127441676E-3</v>
      </c>
      <c r="J197" s="789">
        <f>+'Phase III Pro Forma'!J195/1000000</f>
        <v>2.0116725888201851E-2</v>
      </c>
      <c r="K197" s="789">
        <f>+'Phase III Pro Forma'!K195/1000000</f>
        <v>2.1045208628110199E-2</v>
      </c>
      <c r="L197" s="789">
        <f>+'Phase III Pro Forma'!L195/1000000</f>
        <v>2.1466112800672399E-2</v>
      </c>
      <c r="M197" s="789">
        <f>+'Phase III Pro Forma'!M195/1000000</f>
        <v>2.1895435056685845E-2</v>
      </c>
      <c r="N197" s="789">
        <f>+'Phase III Pro Forma'!N195/1000000</f>
        <v>2.2333343757819563E-2</v>
      </c>
      <c r="O197" s="789">
        <f>+'Phase III Pro Forma'!O195/1000000</f>
        <v>2.2780010632975953E-2</v>
      </c>
      <c r="P197" s="789">
        <f>+'Phase III Pro Forma'!P195/1000000</f>
        <v>2.3235610845635479E-2</v>
      </c>
      <c r="Q197" s="789">
        <f>+'Phase III Pro Forma'!Q195/1000000</f>
        <v>2.3700323062548184E-2</v>
      </c>
      <c r="R197" s="789">
        <f>+'Phase III Pro Forma'!R195/1000000</f>
        <v>2.4174329523799141E-2</v>
      </c>
      <c r="S197" s="789">
        <f>+'Phase III Pro Forma'!S195/1000000</f>
        <v>2.465781611427513E-2</v>
      </c>
      <c r="T197" s="789">
        <f>+'Phase III Pro Forma'!T195/1000000</f>
        <v>2.5150972436560635E-2</v>
      </c>
      <c r="U197" s="789">
        <f>+'Phase III Pro Forma'!U195/1000000</f>
        <v>2.5653991885291844E-2</v>
      </c>
      <c r="V197" s="789">
        <f>+'Phase III Pro Forma'!V195/1000000</f>
        <v>2.6167071722997683E-2</v>
      </c>
      <c r="W197" s="789">
        <f>+'Phase III Pro Forma'!W195/1000000</f>
        <v>2.669041315745764E-2</v>
      </c>
      <c r="X197" s="789">
        <f>+'Phase III Pro Forma'!X195/1000000</f>
        <v>2.7224221420606796E-2</v>
      </c>
      <c r="Y197" s="789">
        <f>+'Phase III Pro Forma'!Y195/1000000</f>
        <v>2.7768705849018926E-2</v>
      </c>
      <c r="Z197" s="789">
        <f>+'Phase III Pro Forma'!Z195/1000000</f>
        <v>2.8324079965999314E-2</v>
      </c>
    </row>
    <row r="198" spans="2:26" hidden="1" x14ac:dyDescent="0.2">
      <c r="B198" s="800" t="s">
        <v>325</v>
      </c>
      <c r="C198" s="793"/>
      <c r="D198" s="801">
        <f ca="1">+'Phase III Pro Forma'!D196</f>
        <v>7.4549348376959368E-2</v>
      </c>
      <c r="E198" s="801"/>
      <c r="F198" s="789">
        <f ca="1">+'Phase III Pro Forma'!F196/1000000</f>
        <v>0</v>
      </c>
      <c r="G198" s="789">
        <f ca="1">+'Phase III Pro Forma'!G196/1000000</f>
        <v>0</v>
      </c>
      <c r="H198" s="789">
        <f ca="1">+'Phase III Pro Forma'!H196/1000000</f>
        <v>0</v>
      </c>
      <c r="I198" s="789">
        <f ca="1">+'Phase III Pro Forma'!I196/1000000</f>
        <v>8.4112568676358274E-2</v>
      </c>
      <c r="J198" s="789">
        <f ca="1">+'Phase III Pro Forma'!J196/1000000</f>
        <v>0.17158964009977093</v>
      </c>
      <c r="K198" s="789">
        <f ca="1">+'Phase III Pro Forma'!K196/1000000</f>
        <v>0.17158964009977093</v>
      </c>
      <c r="L198" s="789">
        <f ca="1">+'Phase III Pro Forma'!L196/1000000</f>
        <v>0.17158964009977093</v>
      </c>
      <c r="M198" s="789">
        <f ca="1">+'Phase III Pro Forma'!M196/1000000</f>
        <v>0.17502143290176633</v>
      </c>
      <c r="N198" s="789">
        <f ca="1">+'Phase III Pro Forma'!N196/1000000</f>
        <v>0.17502143290176633</v>
      </c>
      <c r="O198" s="789">
        <f ca="1">+'Phase III Pro Forma'!O196/1000000</f>
        <v>0.17502143290176633</v>
      </c>
      <c r="P198" s="789">
        <f ca="1">+'Phase III Pro Forma'!P196/1000000</f>
        <v>0.17852186155980168</v>
      </c>
      <c r="Q198" s="789">
        <f ca="1">+'Phase III Pro Forma'!Q196/1000000</f>
        <v>0.17852186155980168</v>
      </c>
      <c r="R198" s="789">
        <f ca="1">+'Phase III Pro Forma'!R196/1000000</f>
        <v>0.17852186155980168</v>
      </c>
      <c r="S198" s="789">
        <f ca="1">+'Phase III Pro Forma'!S196/1000000</f>
        <v>0.18209229879099767</v>
      </c>
      <c r="T198" s="789">
        <f ca="1">+'Phase III Pro Forma'!T196/1000000</f>
        <v>0.18209229879099767</v>
      </c>
      <c r="U198" s="789">
        <f ca="1">+'Phase III Pro Forma'!U196/1000000</f>
        <v>0.18209229879099767</v>
      </c>
      <c r="V198" s="789">
        <f ca="1">+'Phase III Pro Forma'!V196/1000000</f>
        <v>0.18573414476681768</v>
      </c>
      <c r="W198" s="789">
        <f ca="1">+'Phase III Pro Forma'!W196/1000000</f>
        <v>0.18573414476681768</v>
      </c>
      <c r="X198" s="789">
        <f ca="1">+'Phase III Pro Forma'!X196/1000000</f>
        <v>0.18573414476681768</v>
      </c>
      <c r="Y198" s="789">
        <f ca="1">+'Phase III Pro Forma'!Y196/1000000</f>
        <v>0.18944882766215404</v>
      </c>
      <c r="Z198" s="789">
        <f ca="1">+'Phase III Pro Forma'!Z196/1000000</f>
        <v>0.18944882766215404</v>
      </c>
    </row>
    <row r="199" spans="2:26" hidden="1" x14ac:dyDescent="0.2">
      <c r="B199" s="797" t="s">
        <v>287</v>
      </c>
      <c r="C199" s="793"/>
      <c r="D199" s="798">
        <f>+'Phase III Pro Forma'!D197</f>
        <v>3.5000000000000003E-2</v>
      </c>
      <c r="E199" s="798"/>
      <c r="F199" s="789">
        <f>+'Phase III Pro Forma'!F197/1000000</f>
        <v>0</v>
      </c>
      <c r="G199" s="789">
        <f>+'Phase III Pro Forma'!G197/1000000</f>
        <v>0</v>
      </c>
      <c r="H199" s="789">
        <f>+'Phase III Pro Forma'!H197/1000000</f>
        <v>0</v>
      </c>
      <c r="I199" s="789">
        <f>+'Phase III Pro Forma'!I197/1000000</f>
        <v>3.1732545644604593E-2</v>
      </c>
      <c r="J199" s="789">
        <f>+'Phase III Pro Forma'!J197/1000000</f>
        <v>7.040854060870648E-2</v>
      </c>
      <c r="K199" s="789">
        <f>+'Phase III Pro Forma'!K197/1000000</f>
        <v>7.3658230198385688E-2</v>
      </c>
      <c r="L199" s="789">
        <f>+'Phase III Pro Forma'!L197/1000000</f>
        <v>7.5131394802353396E-2</v>
      </c>
      <c r="M199" s="789">
        <f>+'Phase III Pro Forma'!M197/1000000</f>
        <v>7.6634022698400459E-2</v>
      </c>
      <c r="N199" s="789">
        <f>+'Phase III Pro Forma'!N197/1000000</f>
        <v>7.8166703152368469E-2</v>
      </c>
      <c r="O199" s="789">
        <f>+'Phase III Pro Forma'!O197/1000000</f>
        <v>7.9730037215415828E-2</v>
      </c>
      <c r="P199" s="789">
        <f>+'Phase III Pro Forma'!P197/1000000</f>
        <v>8.132463795972418E-2</v>
      </c>
      <c r="Q199" s="789">
        <f>+'Phase III Pro Forma'!Q197/1000000</f>
        <v>8.2951130718918659E-2</v>
      </c>
      <c r="R199" s="789">
        <f>+'Phase III Pro Forma'!R197/1000000</f>
        <v>8.4610153333296995E-2</v>
      </c>
      <c r="S199" s="789">
        <f>+'Phase III Pro Forma'!S197/1000000</f>
        <v>8.6302356399962948E-2</v>
      </c>
      <c r="T199" s="789">
        <f>+'Phase III Pro Forma'!T197/1000000</f>
        <v>8.8028403527962235E-2</v>
      </c>
      <c r="U199" s="789">
        <f>+'Phase III Pro Forma'!U197/1000000</f>
        <v>8.9788971598521478E-2</v>
      </c>
      <c r="V199" s="789">
        <f>+'Phase III Pro Forma'!V197/1000000</f>
        <v>9.1584751030491893E-2</v>
      </c>
      <c r="W199" s="789">
        <f>+'Phase III Pro Forma'!W197/1000000</f>
        <v>9.3416446051101748E-2</v>
      </c>
      <c r="X199" s="789">
        <f>+'Phase III Pro Forma'!X197/1000000</f>
        <v>9.5284774972123787E-2</v>
      </c>
      <c r="Y199" s="789">
        <f>+'Phase III Pro Forma'!Y197/1000000</f>
        <v>9.7190470471566245E-2</v>
      </c>
      <c r="Z199" s="789">
        <f>+'Phase III Pro Forma'!Z197/1000000</f>
        <v>9.9134279880997614E-2</v>
      </c>
    </row>
    <row r="200" spans="2:26" x14ac:dyDescent="0.2">
      <c r="B200" s="54" t="s">
        <v>281</v>
      </c>
      <c r="D200" s="114"/>
      <c r="E200" s="114"/>
      <c r="F200" s="771">
        <f ca="1">+SUM(F191:F199)</f>
        <v>0</v>
      </c>
      <c r="G200" s="771">
        <f t="shared" ref="G200:Z200" ca="1" si="55">+SUM(G191:G199)</f>
        <v>0</v>
      </c>
      <c r="H200" s="771">
        <f t="shared" ca="1" si="55"/>
        <v>0</v>
      </c>
      <c r="I200" s="771">
        <f t="shared" ca="1" si="55"/>
        <v>0.34703937544593916</v>
      </c>
      <c r="J200" s="771">
        <f t="shared" ca="1" si="55"/>
        <v>0.75497469085762459</v>
      </c>
      <c r="K200" s="771">
        <f t="shared" ca="1" si="55"/>
        <v>0.78190069031496678</v>
      </c>
      <c r="L200" s="771">
        <f t="shared" ca="1" si="55"/>
        <v>0.79410691131927058</v>
      </c>
      <c r="M200" s="771">
        <f t="shared" ca="1" si="55"/>
        <v>0.80998904954565587</v>
      </c>
      <c r="N200" s="771">
        <f t="shared" ca="1" si="55"/>
        <v>0.82268840187853376</v>
      </c>
      <c r="O200" s="771">
        <f t="shared" ca="1" si="55"/>
        <v>0.83564174125806889</v>
      </c>
      <c r="P200" s="771">
        <f t="shared" ca="1" si="55"/>
        <v>0.85235457608323062</v>
      </c>
      <c r="Q200" s="771">
        <f t="shared" ca="1" si="55"/>
        <v>0.86583123037369913</v>
      </c>
      <c r="R200" s="771">
        <f t="shared" ca="1" si="55"/>
        <v>0.87957741774997678</v>
      </c>
      <c r="S200" s="771">
        <f t="shared" ca="1" si="55"/>
        <v>0.89716896610497632</v>
      </c>
      <c r="T200" s="771">
        <f t="shared" ca="1" si="55"/>
        <v>0.91147049945125613</v>
      </c>
      <c r="U200" s="771">
        <f t="shared" ca="1" si="55"/>
        <v>0.92605806346446129</v>
      </c>
      <c r="V200" s="771">
        <f t="shared" ca="1" si="55"/>
        <v>0.94457922473375044</v>
      </c>
      <c r="W200" s="771">
        <f t="shared" ca="1" si="55"/>
        <v>0.95975612633308938</v>
      </c>
      <c r="X200" s="771">
        <f t="shared" ca="1" si="55"/>
        <v>0.97523656596441466</v>
      </c>
      <c r="Y200" s="771">
        <f t="shared" ca="1" si="55"/>
        <v>0.99474129728370286</v>
      </c>
      <c r="Z200" s="771">
        <f t="shared" ca="1" si="55"/>
        <v>1.010847146676134</v>
      </c>
    </row>
    <row r="201" spans="2:26" s="793" customFormat="1" hidden="1" x14ac:dyDescent="0.2">
      <c r="B201" s="802" t="s">
        <v>180</v>
      </c>
    </row>
    <row r="202" spans="2:26" x14ac:dyDescent="0.2">
      <c r="B202" s="54" t="s">
        <v>789</v>
      </c>
      <c r="D202" s="114">
        <f>+'Phase III Pro Forma'!D199</f>
        <v>0.4</v>
      </c>
      <c r="E202" s="114"/>
      <c r="F202" s="41">
        <f t="shared" ref="F202:Z202" si="56">F$183*$D202</f>
        <v>0</v>
      </c>
      <c r="G202" s="41">
        <f t="shared" si="56"/>
        <v>0</v>
      </c>
      <c r="H202" s="41">
        <f t="shared" si="56"/>
        <v>0</v>
      </c>
      <c r="I202" s="41">
        <f t="shared" si="56"/>
        <v>0</v>
      </c>
      <c r="J202" s="41">
        <f t="shared" si="56"/>
        <v>0</v>
      </c>
      <c r="K202" s="41">
        <f t="shared" si="56"/>
        <v>0</v>
      </c>
      <c r="L202" s="41">
        <f t="shared" si="56"/>
        <v>0</v>
      </c>
      <c r="M202" s="41">
        <f t="shared" si="56"/>
        <v>0</v>
      </c>
      <c r="N202" s="41">
        <f t="shared" si="56"/>
        <v>0</v>
      </c>
      <c r="O202" s="41">
        <f t="shared" si="56"/>
        <v>0</v>
      </c>
      <c r="P202" s="41">
        <f t="shared" si="56"/>
        <v>0</v>
      </c>
      <c r="Q202" s="41">
        <f t="shared" si="56"/>
        <v>0</v>
      </c>
      <c r="R202" s="41">
        <f t="shared" si="56"/>
        <v>0</v>
      </c>
      <c r="S202" s="41">
        <f t="shared" si="56"/>
        <v>0</v>
      </c>
      <c r="T202" s="41">
        <f t="shared" si="56"/>
        <v>0</v>
      </c>
      <c r="U202" s="41">
        <f t="shared" si="56"/>
        <v>0</v>
      </c>
      <c r="V202" s="41">
        <f t="shared" si="56"/>
        <v>0</v>
      </c>
      <c r="W202" s="41">
        <f t="shared" si="56"/>
        <v>0</v>
      </c>
      <c r="X202" s="41">
        <f t="shared" si="56"/>
        <v>0</v>
      </c>
      <c r="Y202" s="41">
        <f t="shared" si="56"/>
        <v>0</v>
      </c>
      <c r="Z202" s="41">
        <f t="shared" si="56"/>
        <v>0</v>
      </c>
    </row>
    <row r="203" spans="2:26" x14ac:dyDescent="0.2">
      <c r="B203" s="136" t="s">
        <v>313</v>
      </c>
      <c r="C203" s="136"/>
      <c r="D203" s="136"/>
      <c r="E203" s="136"/>
      <c r="F203" s="773">
        <f ca="1">+F189+F200+F202</f>
        <v>0</v>
      </c>
      <c r="G203" s="773">
        <f t="shared" ref="G203:Z203" ca="1" si="57">+G189+G200+G202</f>
        <v>0</v>
      </c>
      <c r="H203" s="773">
        <f t="shared" ca="1" si="57"/>
        <v>0</v>
      </c>
      <c r="I203" s="773">
        <f t="shared" ca="1" si="57"/>
        <v>0.66471394343522627</v>
      </c>
      <c r="J203" s="773">
        <f t="shared" ca="1" si="57"/>
        <v>1.4435604345108639</v>
      </c>
      <c r="K203" s="773">
        <f t="shared" ca="1" si="57"/>
        <v>1.4974118543948789</v>
      </c>
      <c r="L203" s="773">
        <f t="shared" ca="1" si="57"/>
        <v>1.5239282986807807</v>
      </c>
      <c r="M203" s="773">
        <f t="shared" ca="1" si="57"/>
        <v>1.5544068646543963</v>
      </c>
      <c r="N203" s="773">
        <f t="shared" ca="1" si="57"/>
        <v>1.5819945732894491</v>
      </c>
      <c r="O203" s="773">
        <f t="shared" ca="1" si="57"/>
        <v>1.6101340360972023</v>
      </c>
      <c r="P203" s="773">
        <f t="shared" ca="1" si="57"/>
        <v>1.6423367168191469</v>
      </c>
      <c r="Q203" s="773">
        <f t="shared" ca="1" si="57"/>
        <v>1.6716130139243337</v>
      </c>
      <c r="R203" s="773">
        <f t="shared" ca="1" si="57"/>
        <v>1.7014748369716239</v>
      </c>
      <c r="S203" s="773">
        <f t="shared" ca="1" si="57"/>
        <v>1.7355043337110565</v>
      </c>
      <c r="T203" s="773">
        <f t="shared" ca="1" si="57"/>
        <v>1.7665725744094578</v>
      </c>
      <c r="U203" s="773">
        <f t="shared" ca="1" si="57"/>
        <v>1.798262179921827</v>
      </c>
      <c r="V203" s="773">
        <f t="shared" ca="1" si="57"/>
        <v>1.8342274235202636</v>
      </c>
      <c r="W203" s="773">
        <f t="shared" ca="1" si="57"/>
        <v>1.867197289095333</v>
      </c>
      <c r="X203" s="773">
        <f t="shared" ca="1" si="57"/>
        <v>1.900826551981903</v>
      </c>
      <c r="Y203" s="773">
        <f t="shared" ca="1" si="57"/>
        <v>1.9388430830215411</v>
      </c>
      <c r="Z203" s="773">
        <f t="shared" ca="1" si="57"/>
        <v>1.9738309681287289</v>
      </c>
    </row>
    <row r="204" spans="2:26" hidden="1" x14ac:dyDescent="0.2">
      <c r="B204" s="793"/>
      <c r="C204" s="793"/>
      <c r="D204" s="793"/>
      <c r="E204" s="793"/>
      <c r="F204" s="793"/>
      <c r="G204" s="793"/>
      <c r="H204" s="793"/>
      <c r="I204" s="793"/>
      <c r="J204" s="793"/>
      <c r="K204" s="793"/>
      <c r="L204" s="793"/>
      <c r="M204" s="793"/>
      <c r="N204" s="793"/>
      <c r="O204" s="793"/>
      <c r="P204" s="793"/>
      <c r="Q204" s="793"/>
      <c r="R204" s="793"/>
      <c r="S204" s="793"/>
      <c r="T204" s="793"/>
      <c r="U204" s="793"/>
      <c r="V204" s="793"/>
      <c r="W204" s="793"/>
      <c r="X204" s="793"/>
      <c r="Y204" s="793"/>
      <c r="Z204" s="793"/>
    </row>
    <row r="205" spans="2:26" hidden="1" x14ac:dyDescent="0.2">
      <c r="B205" s="804" t="s">
        <v>312</v>
      </c>
      <c r="C205" s="804"/>
      <c r="D205" s="804"/>
      <c r="E205" s="804"/>
      <c r="F205" s="805">
        <f t="shared" ref="F205:Z205" ca="1" si="58">+F184-F203</f>
        <v>0</v>
      </c>
      <c r="G205" s="805">
        <f t="shared" ca="1" si="58"/>
        <v>0</v>
      </c>
      <c r="H205" s="805">
        <f t="shared" ca="1" si="58"/>
        <v>0</v>
      </c>
      <c r="I205" s="805">
        <f t="shared" ca="1" si="58"/>
        <v>0.24193021783919055</v>
      </c>
      <c r="J205" s="805">
        <f t="shared" ca="1" si="58"/>
        <v>0.56811215430932105</v>
      </c>
      <c r="K205" s="805">
        <f t="shared" ca="1" si="58"/>
        <v>0.60710900841614057</v>
      </c>
      <c r="L205" s="805">
        <f t="shared" ca="1" si="58"/>
        <v>0.62268298138645894</v>
      </c>
      <c r="M205" s="805">
        <f t="shared" ca="1" si="58"/>
        <v>0.6351366410141881</v>
      </c>
      <c r="N205" s="805">
        <f t="shared" ca="1" si="58"/>
        <v>0.65133980249250722</v>
      </c>
      <c r="O205" s="805">
        <f t="shared" ca="1" si="58"/>
        <v>0.66786702720039259</v>
      </c>
      <c r="P205" s="805">
        <f t="shared" ca="1" si="58"/>
        <v>0.68122436774440098</v>
      </c>
      <c r="Q205" s="805">
        <f t="shared" ca="1" si="58"/>
        <v>0.69841929233048483</v>
      </c>
      <c r="R205" s="805">
        <f t="shared" ca="1" si="58"/>
        <v>0.71595811540829035</v>
      </c>
      <c r="S205" s="805">
        <f t="shared" ca="1" si="58"/>
        <v>0.73027727771645634</v>
      </c>
      <c r="T205" s="805">
        <f t="shared" ca="1" si="58"/>
        <v>0.74852466924660543</v>
      </c>
      <c r="U205" s="805">
        <f t="shared" ca="1" si="58"/>
        <v>0.76713700860735745</v>
      </c>
      <c r="V205" s="805">
        <f t="shared" ca="1" si="58"/>
        <v>0.78247974877950499</v>
      </c>
      <c r="W205" s="805">
        <f t="shared" ca="1" si="58"/>
        <v>0.80184402665043075</v>
      </c>
      <c r="X205" s="805">
        <f t="shared" ca="1" si="58"/>
        <v>0.82159559007877569</v>
      </c>
      <c r="Y205" s="805">
        <f t="shared" ca="1" si="58"/>
        <v>0.83802750188035136</v>
      </c>
      <c r="Z205" s="805">
        <f t="shared" ca="1" si="58"/>
        <v>0.85857702847120199</v>
      </c>
    </row>
    <row r="206" spans="2:26" ht="5" customHeight="1" x14ac:dyDescent="0.2"/>
    <row r="207" spans="2:26" x14ac:dyDescent="0.2">
      <c r="B207" s="155" t="s">
        <v>83</v>
      </c>
    </row>
    <row r="208" spans="2:26" x14ac:dyDescent="0.2">
      <c r="B208" s="54" t="s">
        <v>288</v>
      </c>
      <c r="D208" s="114">
        <f>+'Phase III Pro Forma'!D205</f>
        <v>0.03</v>
      </c>
      <c r="E208" s="114"/>
      <c r="F208" s="771">
        <f t="shared" ref="F208:Z208" si="59">F$181*$D208</f>
        <v>0</v>
      </c>
      <c r="G208" s="771">
        <f t="shared" si="59"/>
        <v>0</v>
      </c>
      <c r="H208" s="771">
        <f t="shared" si="59"/>
        <v>0</v>
      </c>
      <c r="I208" s="771">
        <f t="shared" si="59"/>
        <v>2.7199324838232505E-2</v>
      </c>
      <c r="J208" s="771">
        <f t="shared" si="59"/>
        <v>6.0350177664605549E-2</v>
      </c>
      <c r="K208" s="771">
        <f t="shared" si="59"/>
        <v>6.3135625884330582E-2</v>
      </c>
      <c r="L208" s="771">
        <f t="shared" si="59"/>
        <v>6.4398338402017183E-2</v>
      </c>
      <c r="M208" s="771">
        <f t="shared" si="59"/>
        <v>6.5686305170057524E-2</v>
      </c>
      <c r="N208" s="771">
        <f t="shared" si="59"/>
        <v>6.7000031273458688E-2</v>
      </c>
      <c r="O208" s="771">
        <f t="shared" si="59"/>
        <v>6.8340031898927844E-2</v>
      </c>
      <c r="P208" s="771">
        <f t="shared" si="59"/>
        <v>6.9706832536906432E-2</v>
      </c>
      <c r="Q208" s="771">
        <f t="shared" si="59"/>
        <v>7.1100969187644553E-2</v>
      </c>
      <c r="R208" s="771">
        <f t="shared" si="59"/>
        <v>7.2522988571397426E-2</v>
      </c>
      <c r="S208" s="771">
        <f t="shared" si="59"/>
        <v>7.3973448342825376E-2</v>
      </c>
      <c r="T208" s="771">
        <f t="shared" si="59"/>
        <v>7.5452917309681899E-2</v>
      </c>
      <c r="U208" s="771">
        <f t="shared" si="59"/>
        <v>7.6961975655875536E-2</v>
      </c>
      <c r="V208" s="771">
        <f t="shared" si="59"/>
        <v>7.8501215168993055E-2</v>
      </c>
      <c r="W208" s="771">
        <f t="shared" si="59"/>
        <v>8.0071239472372907E-2</v>
      </c>
      <c r="X208" s="771">
        <f t="shared" si="59"/>
        <v>8.1672664261820363E-2</v>
      </c>
      <c r="Y208" s="771">
        <f t="shared" si="59"/>
        <v>8.3306117547056774E-2</v>
      </c>
      <c r="Z208" s="771">
        <f t="shared" si="59"/>
        <v>8.4972239897997931E-2</v>
      </c>
    </row>
    <row r="209" spans="2:26" x14ac:dyDescent="0.2">
      <c r="B209" s="137" t="s">
        <v>314</v>
      </c>
      <c r="C209" s="137"/>
      <c r="D209" s="137"/>
      <c r="E209" s="137"/>
      <c r="F209" s="774">
        <f ca="1">+F205-F208</f>
        <v>0</v>
      </c>
      <c r="G209" s="774">
        <f t="shared" ref="G209:Z209" ca="1" si="60">+G205-G208</f>
        <v>0</v>
      </c>
      <c r="H209" s="774">
        <f t="shared" ca="1" si="60"/>
        <v>0</v>
      </c>
      <c r="I209" s="774">
        <f t="shared" ca="1" si="60"/>
        <v>0.21473089300095805</v>
      </c>
      <c r="J209" s="774">
        <f t="shared" ca="1" si="60"/>
        <v>0.50776197664471545</v>
      </c>
      <c r="K209" s="774">
        <f t="shared" ca="1" si="60"/>
        <v>0.54397338253181005</v>
      </c>
      <c r="L209" s="774">
        <f t="shared" ca="1" si="60"/>
        <v>0.5582846429844418</v>
      </c>
      <c r="M209" s="774">
        <f t="shared" ca="1" si="60"/>
        <v>0.56945033584413052</v>
      </c>
      <c r="N209" s="774">
        <f t="shared" ca="1" si="60"/>
        <v>0.58433977121904856</v>
      </c>
      <c r="O209" s="774">
        <f t="shared" ca="1" si="60"/>
        <v>0.5995269953014648</v>
      </c>
      <c r="P209" s="774">
        <f t="shared" ca="1" si="60"/>
        <v>0.61151753520749452</v>
      </c>
      <c r="Q209" s="774">
        <f t="shared" ca="1" si="60"/>
        <v>0.62731832314284031</v>
      </c>
      <c r="R209" s="774">
        <f t="shared" ca="1" si="60"/>
        <v>0.64343512683689297</v>
      </c>
      <c r="S209" s="774">
        <f t="shared" ca="1" si="60"/>
        <v>0.65630382937363096</v>
      </c>
      <c r="T209" s="774">
        <f t="shared" ca="1" si="60"/>
        <v>0.67307175193692359</v>
      </c>
      <c r="U209" s="774">
        <f t="shared" ca="1" si="60"/>
        <v>0.69017503295148197</v>
      </c>
      <c r="V209" s="774">
        <f t="shared" ca="1" si="60"/>
        <v>0.70397853361051199</v>
      </c>
      <c r="W209" s="774">
        <f t="shared" ca="1" si="60"/>
        <v>0.72177278717805782</v>
      </c>
      <c r="X209" s="774">
        <f t="shared" ca="1" si="60"/>
        <v>0.73992292581695529</v>
      </c>
      <c r="Y209" s="774">
        <f t="shared" ca="1" si="60"/>
        <v>0.75472138433329461</v>
      </c>
      <c r="Z209" s="774">
        <f t="shared" ca="1" si="60"/>
        <v>0.77360478857320403</v>
      </c>
    </row>
    <row r="210" spans="2:26" x14ac:dyDescent="0.2">
      <c r="B210" s="779" t="s">
        <v>254</v>
      </c>
      <c r="C210" s="780"/>
      <c r="D210" s="780"/>
      <c r="E210" s="780"/>
      <c r="F210" s="781" t="str">
        <f t="shared" ref="F210:Z210" ca="1" si="61">+IFERROR(F209/F184,"")</f>
        <v/>
      </c>
      <c r="G210" s="781" t="str">
        <f t="shared" ca="1" si="61"/>
        <v/>
      </c>
      <c r="H210" s="781" t="str">
        <f t="shared" ca="1" si="61"/>
        <v/>
      </c>
      <c r="I210" s="781">
        <f t="shared" ca="1" si="61"/>
        <v>0.23684142265817204</v>
      </c>
      <c r="J210" s="781">
        <f t="shared" ca="1" si="61"/>
        <v>0.25240786172988022</v>
      </c>
      <c r="K210" s="781">
        <f t="shared" ca="1" si="61"/>
        <v>0.25847849367728387</v>
      </c>
      <c r="L210" s="781">
        <f t="shared" ca="1" si="61"/>
        <v>0.26007719616890967</v>
      </c>
      <c r="M210" s="781">
        <f t="shared" ca="1" si="61"/>
        <v>0.26007719616890962</v>
      </c>
      <c r="N210" s="781">
        <f t="shared" ca="1" si="61"/>
        <v>0.26164455155285643</v>
      </c>
      <c r="O210" s="781">
        <f t="shared" ca="1" si="61"/>
        <v>0.26318117447829453</v>
      </c>
      <c r="P210" s="781">
        <f t="shared" ca="1" si="61"/>
        <v>0.26318117447829459</v>
      </c>
      <c r="Q210" s="781">
        <f t="shared" ca="1" si="61"/>
        <v>0.26468766754244955</v>
      </c>
      <c r="R210" s="781">
        <f t="shared" ca="1" si="61"/>
        <v>0.26616462152691517</v>
      </c>
      <c r="S210" s="781">
        <f t="shared" ca="1" si="61"/>
        <v>0.26616462152691517</v>
      </c>
      <c r="T210" s="781">
        <f t="shared" ca="1" si="61"/>
        <v>0.26761261562933247</v>
      </c>
      <c r="U210" s="781">
        <f t="shared" ca="1" si="61"/>
        <v>0.26903221769052588</v>
      </c>
      <c r="V210" s="781">
        <f t="shared" ca="1" si="61"/>
        <v>0.26903221769052599</v>
      </c>
      <c r="W210" s="781">
        <f t="shared" ca="1" si="61"/>
        <v>0.2704239844171859</v>
      </c>
      <c r="X210" s="781">
        <f t="shared" ca="1" si="61"/>
        <v>0.27178846160018616</v>
      </c>
      <c r="Y210" s="781">
        <f t="shared" ca="1" si="61"/>
        <v>0.27178846160018622</v>
      </c>
      <c r="Z210" s="781">
        <f t="shared" ca="1" si="61"/>
        <v>0.2731261843286179</v>
      </c>
    </row>
    <row r="211" spans="2:26" x14ac:dyDescent="0.2">
      <c r="B211" s="779" t="s">
        <v>188</v>
      </c>
      <c r="C211" s="780"/>
      <c r="D211" s="780"/>
      <c r="E211" s="780"/>
      <c r="F211" s="783">
        <f ca="1">+'Phase III Pro Forma'!F208/1000000</f>
        <v>0</v>
      </c>
      <c r="G211" s="783">
        <f ca="1">+'Phase III Pro Forma'!G208/1000000</f>
        <v>0</v>
      </c>
      <c r="H211" s="783">
        <f ca="1">+'Phase III Pro Forma'!H208/1000000</f>
        <v>0</v>
      </c>
      <c r="I211" s="783">
        <f ca="1">+'Phase III Pro Forma'!I208/1000000</f>
        <v>3.0241277229898795</v>
      </c>
      <c r="J211" s="783">
        <f ca="1">+'Phase III Pro Forma'!J208/1000000</f>
        <v>7.1014019288665153</v>
      </c>
      <c r="K211" s="783">
        <f ca="1">+'Phase III Pro Forma'!K208/1000000</f>
        <v>7.588862605201764</v>
      </c>
      <c r="L211" s="783">
        <f ca="1">+'Phase III Pro Forma'!L208/1000000</f>
        <v>7.783537267330737</v>
      </c>
      <c r="M211" s="783">
        <f ca="1">+'Phase III Pro Forma'!M208/1000000</f>
        <v>7.9392080126773514</v>
      </c>
      <c r="N211" s="783">
        <f ca="1">+'Phase III Pro Forma'!N208/1000000</f>
        <v>8.1417475311563372</v>
      </c>
      <c r="O211" s="783">
        <f ca="1">+'Phase III Pro Forma'!O208/1000000</f>
        <v>8.348337840004902</v>
      </c>
      <c r="P211" s="783">
        <f ca="1">+'Phase III Pro Forma'!P208/1000000</f>
        <v>8.5153045968050076</v>
      </c>
      <c r="Q211" s="783">
        <f ca="1">+'Phase III Pro Forma'!Q208/1000000</f>
        <v>8.7302411541310612</v>
      </c>
      <c r="R211" s="783">
        <f ca="1">+'Phase III Pro Forma'!R208/1000000</f>
        <v>8.9494764426036237</v>
      </c>
      <c r="S211" s="783">
        <f ca="1">+'Phase III Pro Forma'!S208/1000000</f>
        <v>9.1284659714557073</v>
      </c>
      <c r="T211" s="783">
        <f ca="1">+'Phase III Pro Forma'!T208/1000000</f>
        <v>9.3565583655825719</v>
      </c>
      <c r="U211" s="783">
        <f ca="1">+'Phase III Pro Forma'!U208/1000000</f>
        <v>9.5892126075919677</v>
      </c>
      <c r="V211" s="783">
        <f ca="1">+'Phase III Pro Forma'!V208/1000000</f>
        <v>9.7809968597438086</v>
      </c>
      <c r="W211" s="783">
        <f ca="1">+'Phase III Pro Forma'!W208/1000000</f>
        <v>10.023050333130389</v>
      </c>
      <c r="X211" s="783">
        <f ca="1">+'Phase III Pro Forma'!X208/1000000</f>
        <v>10.269944875984701</v>
      </c>
      <c r="Y211" s="783">
        <f ca="1">+'Phase III Pro Forma'!Y208/1000000</f>
        <v>10.475343773504393</v>
      </c>
      <c r="Z211" s="783">
        <f ca="1">+'Phase III Pro Forma'!Z208/1000000</f>
        <v>10.732212855890026</v>
      </c>
    </row>
    <row r="213" spans="2:26" x14ac:dyDescent="0.2">
      <c r="B213" s="147" t="s">
        <v>31</v>
      </c>
      <c r="F213" s="776">
        <f>+F165</f>
        <v>45657</v>
      </c>
      <c r="G213" s="776">
        <f t="shared" ref="G213:Z213" si="62">+G165</f>
        <v>46022</v>
      </c>
      <c r="H213" s="776">
        <f t="shared" si="62"/>
        <v>46387</v>
      </c>
      <c r="I213" s="776">
        <f t="shared" si="62"/>
        <v>46752</v>
      </c>
      <c r="J213" s="776">
        <f t="shared" si="62"/>
        <v>47118</v>
      </c>
      <c r="K213" s="776">
        <f t="shared" si="62"/>
        <v>47483</v>
      </c>
      <c r="L213" s="776">
        <f t="shared" si="62"/>
        <v>47848</v>
      </c>
      <c r="M213" s="776">
        <f t="shared" si="62"/>
        <v>48213</v>
      </c>
      <c r="N213" s="776">
        <f t="shared" si="62"/>
        <v>48579</v>
      </c>
      <c r="O213" s="776">
        <f t="shared" si="62"/>
        <v>48944</v>
      </c>
      <c r="P213" s="776">
        <f t="shared" si="62"/>
        <v>49309</v>
      </c>
      <c r="Q213" s="776">
        <f t="shared" si="62"/>
        <v>49674</v>
      </c>
      <c r="R213" s="776">
        <f t="shared" si="62"/>
        <v>50040</v>
      </c>
      <c r="S213" s="776">
        <f t="shared" si="62"/>
        <v>50405</v>
      </c>
      <c r="T213" s="776">
        <f t="shared" si="62"/>
        <v>50770</v>
      </c>
      <c r="U213" s="776">
        <f t="shared" si="62"/>
        <v>51135</v>
      </c>
      <c r="V213" s="776">
        <f t="shared" si="62"/>
        <v>51501</v>
      </c>
      <c r="W213" s="776">
        <f t="shared" si="62"/>
        <v>51866</v>
      </c>
      <c r="X213" s="776">
        <f t="shared" si="62"/>
        <v>52231</v>
      </c>
      <c r="Y213" s="776">
        <f t="shared" si="62"/>
        <v>52596</v>
      </c>
      <c r="Z213" s="776">
        <f t="shared" si="62"/>
        <v>52962</v>
      </c>
    </row>
    <row r="214" spans="2:26" hidden="1" x14ac:dyDescent="0.2">
      <c r="B214" s="788" t="s">
        <v>331</v>
      </c>
      <c r="C214" s="793"/>
      <c r="D214" s="793"/>
      <c r="E214" s="793"/>
      <c r="F214" s="792">
        <v>0</v>
      </c>
      <c r="G214" s="792">
        <f t="shared" ref="G214:Z214" si="63">+F217</f>
        <v>0</v>
      </c>
      <c r="H214" s="792">
        <f t="shared" si="63"/>
        <v>0</v>
      </c>
      <c r="I214" s="792">
        <f t="shared" si="63"/>
        <v>0</v>
      </c>
      <c r="J214" s="792">
        <f t="shared" ca="1" si="63"/>
        <v>6.0710900841614119</v>
      </c>
      <c r="K214" s="792">
        <f t="shared" ca="1" si="63"/>
        <v>6.0710900841614119</v>
      </c>
      <c r="L214" s="792">
        <f t="shared" ca="1" si="63"/>
        <v>6.0710900841614119</v>
      </c>
      <c r="M214" s="792">
        <f t="shared" ca="1" si="63"/>
        <v>6.0710900841614119</v>
      </c>
      <c r="N214" s="792">
        <f t="shared" ca="1" si="63"/>
        <v>6.0710900841614119</v>
      </c>
      <c r="O214" s="792">
        <f t="shared" ca="1" si="63"/>
        <v>6.0710900841614119</v>
      </c>
      <c r="P214" s="792">
        <f t="shared" ca="1" si="63"/>
        <v>6.0710900841614119</v>
      </c>
      <c r="Q214" s="792">
        <f t="shared" ca="1" si="63"/>
        <v>6.0710900841614119</v>
      </c>
      <c r="R214" s="792">
        <f t="shared" ca="1" si="63"/>
        <v>6.0710900841614119</v>
      </c>
      <c r="S214" s="792">
        <f t="shared" ca="1" si="63"/>
        <v>6.0710900841614119</v>
      </c>
      <c r="T214" s="792">
        <f t="shared" ca="1" si="63"/>
        <v>6.0710900841614119</v>
      </c>
      <c r="U214" s="792">
        <f t="shared" ca="1" si="63"/>
        <v>6.0710900841614119</v>
      </c>
      <c r="V214" s="792">
        <f t="shared" ca="1" si="63"/>
        <v>6.0710900841614119</v>
      </c>
      <c r="W214" s="792">
        <f t="shared" ca="1" si="63"/>
        <v>6.0710900841614119</v>
      </c>
      <c r="X214" s="792">
        <f t="shared" ca="1" si="63"/>
        <v>6.0710900841614119</v>
      </c>
      <c r="Y214" s="792">
        <f t="shared" ca="1" si="63"/>
        <v>6.0710900841614119</v>
      </c>
      <c r="Z214" s="792">
        <f t="shared" ca="1" si="63"/>
        <v>6.0710900841614119</v>
      </c>
    </row>
    <row r="215" spans="2:26" x14ac:dyDescent="0.2">
      <c r="B215" s="32" t="s">
        <v>342</v>
      </c>
      <c r="F215" s="48">
        <f>+'Phase III Pro Forma'!F212/1000000</f>
        <v>0</v>
      </c>
      <c r="G215" s="48">
        <f>+'Phase III Pro Forma'!G212/1000000</f>
        <v>0</v>
      </c>
      <c r="H215" s="48">
        <f>+'Phase III Pro Forma'!H212/1000000</f>
        <v>0</v>
      </c>
      <c r="I215" s="48">
        <f ca="1">+'Phase III Pro Forma'!I212/1000000</f>
        <v>6.0710900841614119</v>
      </c>
      <c r="J215" s="48">
        <f>+'Phase III Pro Forma'!J212/1000000</f>
        <v>0</v>
      </c>
      <c r="K215" s="48">
        <f>+'Phase III Pro Forma'!K212/1000000</f>
        <v>0</v>
      </c>
      <c r="L215" s="48">
        <f>+'Phase III Pro Forma'!L212/1000000</f>
        <v>0</v>
      </c>
      <c r="M215" s="48">
        <f>+'Phase III Pro Forma'!M212/1000000</f>
        <v>0</v>
      </c>
      <c r="N215" s="48">
        <f>+'Phase III Pro Forma'!N212/1000000</f>
        <v>0</v>
      </c>
      <c r="O215" s="48">
        <f>+'Phase III Pro Forma'!O212/1000000</f>
        <v>0</v>
      </c>
      <c r="P215" s="48">
        <f>+'Phase III Pro Forma'!P212/1000000</f>
        <v>0</v>
      </c>
      <c r="Q215" s="48">
        <f>+'Phase III Pro Forma'!Q212/1000000</f>
        <v>0</v>
      </c>
      <c r="R215" s="48">
        <f>+'Phase III Pro Forma'!R212/1000000</f>
        <v>0</v>
      </c>
      <c r="S215" s="48">
        <f>+'Phase III Pro Forma'!S212/1000000</f>
        <v>0</v>
      </c>
      <c r="T215" s="48">
        <f>+'Phase III Pro Forma'!T212/1000000</f>
        <v>0</v>
      </c>
      <c r="U215" s="48">
        <f>+'Phase III Pro Forma'!U212/1000000</f>
        <v>0</v>
      </c>
      <c r="V215" s="48">
        <f>+'Phase III Pro Forma'!V212/1000000</f>
        <v>0</v>
      </c>
      <c r="W215" s="48">
        <f>+'Phase III Pro Forma'!W212/1000000</f>
        <v>0</v>
      </c>
      <c r="X215" s="48">
        <f>+'Phase III Pro Forma'!X212/1000000</f>
        <v>0</v>
      </c>
      <c r="Y215" s="48">
        <f>+'Phase III Pro Forma'!Y212/1000000</f>
        <v>0</v>
      </c>
      <c r="Z215" s="48">
        <f>+'Phase III Pro Forma'!Z212/1000000</f>
        <v>0</v>
      </c>
    </row>
    <row r="216" spans="2:26" x14ac:dyDescent="0.2">
      <c r="B216" s="32" t="s">
        <v>162</v>
      </c>
      <c r="F216" s="772">
        <f>+'Phase III Pro Forma'!F213/1000000</f>
        <v>0</v>
      </c>
      <c r="G216" s="772">
        <f>+'Phase III Pro Forma'!G213/1000000</f>
        <v>0</v>
      </c>
      <c r="H216" s="772">
        <f>+'Phase III Pro Forma'!H213/1000000</f>
        <v>0</v>
      </c>
      <c r="I216" s="772">
        <f>+'Phase III Pro Forma'!I213/1000000</f>
        <v>0</v>
      </c>
      <c r="J216" s="772">
        <f>+'Phase III Pro Forma'!J213/1000000</f>
        <v>0</v>
      </c>
      <c r="K216" s="772">
        <f>+'Phase III Pro Forma'!K213/1000000</f>
        <v>0</v>
      </c>
      <c r="L216" s="772">
        <f>+'Phase III Pro Forma'!L213/1000000</f>
        <v>0</v>
      </c>
      <c r="M216" s="772">
        <f>+'Phase III Pro Forma'!M213/1000000</f>
        <v>0</v>
      </c>
      <c r="N216" s="772">
        <f>+'Phase III Pro Forma'!N213/1000000</f>
        <v>0</v>
      </c>
      <c r="O216" s="772">
        <f>+'Phase III Pro Forma'!O213/1000000</f>
        <v>0</v>
      </c>
      <c r="P216" s="772">
        <f>+'Phase III Pro Forma'!P213/1000000</f>
        <v>0</v>
      </c>
      <c r="Q216" s="772">
        <f>+'Phase III Pro Forma'!Q213/1000000</f>
        <v>0</v>
      </c>
      <c r="R216" s="772">
        <f>+'Phase III Pro Forma'!R213/1000000</f>
        <v>0</v>
      </c>
      <c r="S216" s="772">
        <f>+'Phase III Pro Forma'!S213/1000000</f>
        <v>0</v>
      </c>
      <c r="T216" s="772">
        <f>+'Phase III Pro Forma'!T213/1000000</f>
        <v>0</v>
      </c>
      <c r="U216" s="772">
        <f>+'Phase III Pro Forma'!U213/1000000</f>
        <v>0</v>
      </c>
      <c r="V216" s="772">
        <f>+'Phase III Pro Forma'!V213/1000000</f>
        <v>0</v>
      </c>
      <c r="W216" s="772">
        <f>+'Phase III Pro Forma'!W213/1000000</f>
        <v>0</v>
      </c>
      <c r="X216" s="772">
        <f>+'Phase III Pro Forma'!X213/1000000</f>
        <v>0</v>
      </c>
      <c r="Y216" s="772">
        <f>+'Phase III Pro Forma'!Y213/1000000</f>
        <v>0</v>
      </c>
      <c r="Z216" s="772">
        <f>+'Phase III Pro Forma'!Z213/1000000</f>
        <v>0</v>
      </c>
    </row>
    <row r="217" spans="2:26" x14ac:dyDescent="0.2">
      <c r="B217" s="32" t="s">
        <v>785</v>
      </c>
      <c r="F217" s="772">
        <f t="shared" ref="F217:N217" si="64">+SUM(F214:F216)</f>
        <v>0</v>
      </c>
      <c r="G217" s="772">
        <f t="shared" si="64"/>
        <v>0</v>
      </c>
      <c r="H217" s="772">
        <f t="shared" si="64"/>
        <v>0</v>
      </c>
      <c r="I217" s="772">
        <f t="shared" ca="1" si="64"/>
        <v>6.0710900841614119</v>
      </c>
      <c r="J217" s="772">
        <f t="shared" ca="1" si="64"/>
        <v>6.0710900841614119</v>
      </c>
      <c r="K217" s="772">
        <f t="shared" ca="1" si="64"/>
        <v>6.0710900841614119</v>
      </c>
      <c r="L217" s="772">
        <f t="shared" ca="1" si="64"/>
        <v>6.0710900841614119</v>
      </c>
      <c r="M217" s="772">
        <f t="shared" ca="1" si="64"/>
        <v>6.0710900841614119</v>
      </c>
      <c r="N217" s="772">
        <f t="shared" ca="1" si="64"/>
        <v>6.0710900841614119</v>
      </c>
      <c r="O217" s="772">
        <f t="shared" ref="O217" ca="1" si="65">+SUM(O214:O216)</f>
        <v>6.0710900841614119</v>
      </c>
      <c r="P217" s="772">
        <f t="shared" ref="P217:Z217" ca="1" si="66">+SUM(P214:P216)</f>
        <v>6.0710900841614119</v>
      </c>
      <c r="Q217" s="772">
        <f t="shared" ca="1" si="66"/>
        <v>6.0710900841614119</v>
      </c>
      <c r="R217" s="772">
        <f t="shared" ca="1" si="66"/>
        <v>6.0710900841614119</v>
      </c>
      <c r="S217" s="772">
        <f t="shared" ca="1" si="66"/>
        <v>6.0710900841614119</v>
      </c>
      <c r="T217" s="772">
        <f t="shared" ca="1" si="66"/>
        <v>6.0710900841614119</v>
      </c>
      <c r="U217" s="772">
        <f t="shared" ca="1" si="66"/>
        <v>6.0710900841614119</v>
      </c>
      <c r="V217" s="772">
        <f t="shared" ca="1" si="66"/>
        <v>6.0710900841614119</v>
      </c>
      <c r="W217" s="772">
        <f t="shared" ca="1" si="66"/>
        <v>6.0710900841614119</v>
      </c>
      <c r="X217" s="772">
        <f t="shared" ca="1" si="66"/>
        <v>6.0710900841614119</v>
      </c>
      <c r="Y217" s="772">
        <f t="shared" ca="1" si="66"/>
        <v>6.0710900841614119</v>
      </c>
      <c r="Z217" s="772">
        <f t="shared" ca="1" si="66"/>
        <v>6.0710900841614119</v>
      </c>
    </row>
    <row r="218" spans="2:26" ht="5" customHeight="1" x14ac:dyDescent="0.2"/>
    <row r="219" spans="2:26" x14ac:dyDescent="0.2">
      <c r="B219" s="40" t="s">
        <v>332</v>
      </c>
      <c r="F219" s="48">
        <f>+'Phase III Pro Forma'!F216/1000000</f>
        <v>0</v>
      </c>
      <c r="G219" s="48">
        <f>+'Phase III Pro Forma'!G216/1000000</f>
        <v>0</v>
      </c>
      <c r="H219" s="48">
        <f>+'Phase III Pro Forma'!H216/1000000</f>
        <v>0</v>
      </c>
      <c r="I219" s="48">
        <f ca="1">+'Phase III Pro Forma'!I216/1000000</f>
        <v>0.36426540504968469</v>
      </c>
      <c r="J219" s="48">
        <f ca="1">+'Phase III Pro Forma'!J216/1000000</f>
        <v>0.36426540504968469</v>
      </c>
      <c r="K219" s="48">
        <f ca="1">+'Phase III Pro Forma'!K216/1000000</f>
        <v>0.36426540504968469</v>
      </c>
      <c r="L219" s="48">
        <f ca="1">+'Phase III Pro Forma'!L216/1000000</f>
        <v>0.36426540504968469</v>
      </c>
      <c r="M219" s="48">
        <f ca="1">+'Phase III Pro Forma'!M216/1000000</f>
        <v>0.36426540504968469</v>
      </c>
      <c r="N219" s="48">
        <f ca="1">+'Phase III Pro Forma'!N216/1000000</f>
        <v>0.36426540504968469</v>
      </c>
      <c r="O219" s="48">
        <f ca="1">+'Phase III Pro Forma'!O216/1000000</f>
        <v>0.36426540504968469</v>
      </c>
      <c r="P219" s="48">
        <f ca="1">+'Phase III Pro Forma'!P216/1000000</f>
        <v>0.36426540504968469</v>
      </c>
      <c r="Q219" s="48">
        <f ca="1">+'Phase III Pro Forma'!Q216/1000000</f>
        <v>0.36426540504968469</v>
      </c>
      <c r="R219" s="48">
        <f ca="1">+'Phase III Pro Forma'!R216/1000000</f>
        <v>0.36426540504968469</v>
      </c>
      <c r="S219" s="48">
        <f ca="1">+'Phase III Pro Forma'!S216/1000000</f>
        <v>0.36426540504968469</v>
      </c>
      <c r="T219" s="48">
        <f ca="1">+'Phase III Pro Forma'!T216/1000000</f>
        <v>0.36426540504968469</v>
      </c>
      <c r="U219" s="48">
        <f ca="1">+'Phase III Pro Forma'!U216/1000000</f>
        <v>0.36426540504968469</v>
      </c>
      <c r="V219" s="48">
        <f ca="1">+'Phase III Pro Forma'!V216/1000000</f>
        <v>0.36426540504968469</v>
      </c>
      <c r="W219" s="48">
        <f ca="1">+'Phase III Pro Forma'!W216/1000000</f>
        <v>0.36426540504968469</v>
      </c>
      <c r="X219" s="48">
        <f ca="1">+'Phase III Pro Forma'!X216/1000000</f>
        <v>0.36426540504968469</v>
      </c>
      <c r="Y219" s="48">
        <f ca="1">+'Phase III Pro Forma'!Y216/1000000</f>
        <v>0.36426540504968469</v>
      </c>
      <c r="Z219" s="48">
        <f ca="1">+'Phase III Pro Forma'!Z216/1000000</f>
        <v>0.36426540504968469</v>
      </c>
    </row>
    <row r="220" spans="2:26" x14ac:dyDescent="0.2">
      <c r="B220" s="136" t="s">
        <v>341</v>
      </c>
      <c r="C220" s="136"/>
      <c r="D220" s="136"/>
      <c r="E220" s="136"/>
      <c r="F220" s="773">
        <f t="shared" ref="F220:K220" si="67">+F219-F216</f>
        <v>0</v>
      </c>
      <c r="G220" s="773">
        <f t="shared" si="67"/>
        <v>0</v>
      </c>
      <c r="H220" s="773">
        <f t="shared" si="67"/>
        <v>0</v>
      </c>
      <c r="I220" s="773">
        <f t="shared" ca="1" si="67"/>
        <v>0.36426540504968469</v>
      </c>
      <c r="J220" s="773">
        <f t="shared" ca="1" si="67"/>
        <v>0.36426540504968469</v>
      </c>
      <c r="K220" s="773">
        <f t="shared" ca="1" si="67"/>
        <v>0.36426540504968469</v>
      </c>
      <c r="L220" s="773">
        <f ca="1">+L219-L216</f>
        <v>0.36426540504968469</v>
      </c>
      <c r="M220" s="773">
        <f t="shared" ref="M220:Z220" ca="1" si="68">+M219-M216</f>
        <v>0.36426540504968469</v>
      </c>
      <c r="N220" s="773">
        <f t="shared" ca="1" si="68"/>
        <v>0.36426540504968469</v>
      </c>
      <c r="O220" s="773">
        <f t="shared" ca="1" si="68"/>
        <v>0.36426540504968469</v>
      </c>
      <c r="P220" s="773">
        <f t="shared" ca="1" si="68"/>
        <v>0.36426540504968469</v>
      </c>
      <c r="Q220" s="773">
        <f t="shared" ca="1" si="68"/>
        <v>0.36426540504968469</v>
      </c>
      <c r="R220" s="773">
        <f t="shared" ca="1" si="68"/>
        <v>0.36426540504968469</v>
      </c>
      <c r="S220" s="773">
        <f t="shared" ca="1" si="68"/>
        <v>0.36426540504968469</v>
      </c>
      <c r="T220" s="773">
        <f t="shared" ca="1" si="68"/>
        <v>0.36426540504968469</v>
      </c>
      <c r="U220" s="773">
        <f t="shared" ca="1" si="68"/>
        <v>0.36426540504968469</v>
      </c>
      <c r="V220" s="773">
        <f t="shared" ca="1" si="68"/>
        <v>0.36426540504968469</v>
      </c>
      <c r="W220" s="773">
        <f t="shared" ca="1" si="68"/>
        <v>0.36426540504968469</v>
      </c>
      <c r="X220" s="773">
        <f t="shared" ca="1" si="68"/>
        <v>0.36426540504968469</v>
      </c>
      <c r="Y220" s="773">
        <f t="shared" ca="1" si="68"/>
        <v>0.36426540504968469</v>
      </c>
      <c r="Z220" s="773">
        <f t="shared" ca="1" si="68"/>
        <v>0.36426540504968469</v>
      </c>
    </row>
    <row r="221" spans="2:26" x14ac:dyDescent="0.2">
      <c r="B221" s="145" t="s">
        <v>181</v>
      </c>
      <c r="F221" s="178" t="str">
        <f t="shared" ref="F221:J221" ca="1" si="69">+IFERROR(F209/F220,"")</f>
        <v/>
      </c>
      <c r="G221" s="178" t="str">
        <f t="shared" ca="1" si="69"/>
        <v/>
      </c>
      <c r="H221" s="178" t="str">
        <f t="shared" ca="1" si="69"/>
        <v/>
      </c>
      <c r="I221" s="178">
        <f t="shared" ca="1" si="69"/>
        <v>0.58949021791314338</v>
      </c>
      <c r="J221" s="178">
        <f t="shared" ca="1" si="69"/>
        <v>1.3939341194793349</v>
      </c>
      <c r="K221" s="178">
        <f ca="1">+IFERROR(K209/K220,"")</f>
        <v>1.4933435209352746</v>
      </c>
      <c r="L221" s="178">
        <f t="shared" ref="L221:Z221" ca="1" si="70">+IFERROR(L209/L220,"")</f>
        <v>1.5326315242818447</v>
      </c>
      <c r="M221" s="178">
        <f t="shared" ca="1" si="70"/>
        <v>1.5632841547674812</v>
      </c>
      <c r="N221" s="178">
        <f t="shared" ca="1" si="70"/>
        <v>1.6041593934492528</v>
      </c>
      <c r="O221" s="178">
        <f t="shared" ca="1" si="70"/>
        <v>1.6458521369046593</v>
      </c>
      <c r="P221" s="178">
        <f t="shared" ca="1" si="70"/>
        <v>1.6787691796427535</v>
      </c>
      <c r="Q221" s="178">
        <f t="shared" ca="1" si="70"/>
        <v>1.7221463099337584</v>
      </c>
      <c r="R221" s="178">
        <f t="shared" ca="1" si="70"/>
        <v>1.766390982830583</v>
      </c>
      <c r="S221" s="178">
        <f t="shared" ca="1" si="70"/>
        <v>1.8017188024871951</v>
      </c>
      <c r="T221" s="178">
        <f t="shared" ca="1" si="70"/>
        <v>1.8477509601690523</v>
      </c>
      <c r="U221" s="178">
        <f t="shared" ca="1" si="70"/>
        <v>1.8947037610045461</v>
      </c>
      <c r="V221" s="178">
        <f t="shared" ca="1" si="70"/>
        <v>1.9325978362246381</v>
      </c>
      <c r="W221" s="178">
        <f t="shared" ca="1" si="70"/>
        <v>1.9814475302138841</v>
      </c>
      <c r="X221" s="178">
        <f t="shared" ca="1" si="70"/>
        <v>2.0312742180829169</v>
      </c>
      <c r="Y221" s="178">
        <f t="shared" ca="1" si="70"/>
        <v>2.071899702444576</v>
      </c>
      <c r="Z221" s="178">
        <f t="shared" ca="1" si="70"/>
        <v>2.1237393885035192</v>
      </c>
    </row>
    <row r="222" spans="2:26" ht="5" customHeight="1" x14ac:dyDescent="0.2"/>
    <row r="223" spans="2:26" x14ac:dyDescent="0.2">
      <c r="B223" s="40" t="s">
        <v>156</v>
      </c>
      <c r="F223" s="48">
        <f>+'Phase III Pro Forma'!F220/1000000</f>
        <v>0</v>
      </c>
      <c r="G223" s="48">
        <f>+'Phase III Pro Forma'!G220/1000000</f>
        <v>0</v>
      </c>
      <c r="H223" s="48">
        <f>+'Phase III Pro Forma'!H220/1000000</f>
        <v>0</v>
      </c>
      <c r="I223" s="48">
        <f ca="1">+'Phase III Pro Forma'!I220/1000000</f>
        <v>6.0710900841614124E-2</v>
      </c>
      <c r="J223" s="48">
        <f>+'Phase III Pro Forma'!J220/1000000</f>
        <v>0</v>
      </c>
      <c r="K223" s="48">
        <f>+'Phase III Pro Forma'!K220/1000000</f>
        <v>0</v>
      </c>
      <c r="L223" s="48">
        <f>+'Phase III Pro Forma'!L220/1000000</f>
        <v>0</v>
      </c>
      <c r="M223" s="48">
        <f>+'Phase III Pro Forma'!M220/1000000</f>
        <v>0</v>
      </c>
      <c r="N223" s="48">
        <f>+'Phase III Pro Forma'!N220/1000000</f>
        <v>0</v>
      </c>
      <c r="O223" s="48">
        <f>+'Phase III Pro Forma'!O220/1000000</f>
        <v>0</v>
      </c>
      <c r="P223" s="48">
        <f>+'Phase III Pro Forma'!P220/1000000</f>
        <v>0</v>
      </c>
      <c r="Q223" s="48">
        <f>+'Phase III Pro Forma'!Q220/1000000</f>
        <v>0</v>
      </c>
      <c r="R223" s="48">
        <f>+'Phase III Pro Forma'!R220/1000000</f>
        <v>0</v>
      </c>
      <c r="S223" s="48">
        <f>+'Phase III Pro Forma'!S220/1000000</f>
        <v>0</v>
      </c>
      <c r="T223" s="48">
        <f>+'Phase III Pro Forma'!T220/1000000</f>
        <v>0</v>
      </c>
      <c r="U223" s="48">
        <f>+'Phase III Pro Forma'!U220/1000000</f>
        <v>0</v>
      </c>
      <c r="V223" s="48">
        <f>+'Phase III Pro Forma'!V220/1000000</f>
        <v>0</v>
      </c>
      <c r="W223" s="48">
        <f>+'Phase III Pro Forma'!W220/1000000</f>
        <v>0</v>
      </c>
      <c r="X223" s="48">
        <f>+'Phase III Pro Forma'!X220/1000000</f>
        <v>0</v>
      </c>
      <c r="Y223" s="48">
        <f>+'Phase III Pro Forma'!Y220/1000000</f>
        <v>0</v>
      </c>
      <c r="Z223" s="48">
        <f>+'Phase III Pro Forma'!Z220/1000000</f>
        <v>0</v>
      </c>
    </row>
    <row r="224" spans="2:26" ht="5" customHeight="1" x14ac:dyDescent="0.2"/>
    <row r="225" spans="2:26" x14ac:dyDescent="0.2">
      <c r="B225" s="136" t="s">
        <v>334</v>
      </c>
      <c r="C225" s="136"/>
      <c r="D225" s="136"/>
      <c r="E225" s="136"/>
      <c r="F225" s="773">
        <f ca="1">+F209-F220-F223</f>
        <v>0</v>
      </c>
      <c r="G225" s="773">
        <f t="shared" ref="G225:Z225" ca="1" si="71">+G209-G220-G223</f>
        <v>0</v>
      </c>
      <c r="H225" s="773">
        <f t="shared" ca="1" si="71"/>
        <v>0</v>
      </c>
      <c r="I225" s="773">
        <f t="shared" ca="1" si="71"/>
        <v>-0.21024541289034077</v>
      </c>
      <c r="J225" s="773">
        <f t="shared" ca="1" si="71"/>
        <v>0.14349657159503076</v>
      </c>
      <c r="K225" s="773">
        <f t="shared" ca="1" si="71"/>
        <v>0.17970797748212536</v>
      </c>
      <c r="L225" s="773">
        <f t="shared" ca="1" si="71"/>
        <v>0.19401923793475712</v>
      </c>
      <c r="M225" s="773">
        <f t="shared" ca="1" si="71"/>
        <v>0.20518493079444583</v>
      </c>
      <c r="N225" s="773">
        <f t="shared" ca="1" si="71"/>
        <v>0.22007436616936388</v>
      </c>
      <c r="O225" s="773">
        <f t="shared" ca="1" si="71"/>
        <v>0.23526159025178012</v>
      </c>
      <c r="P225" s="773">
        <f t="shared" ca="1" si="71"/>
        <v>0.24725213015780984</v>
      </c>
      <c r="Q225" s="773">
        <f t="shared" ca="1" si="71"/>
        <v>0.26305291809315562</v>
      </c>
      <c r="R225" s="773">
        <f t="shared" ca="1" si="71"/>
        <v>0.27916972178720828</v>
      </c>
      <c r="S225" s="773">
        <f t="shared" ca="1" si="71"/>
        <v>0.29203842432394628</v>
      </c>
      <c r="T225" s="773">
        <f t="shared" ca="1" si="71"/>
        <v>0.3088063468872389</v>
      </c>
      <c r="U225" s="773">
        <f t="shared" ca="1" si="71"/>
        <v>0.32590962790179728</v>
      </c>
      <c r="V225" s="773">
        <f t="shared" ca="1" si="71"/>
        <v>0.3397131285608273</v>
      </c>
      <c r="W225" s="773">
        <f t="shared" ca="1" si="71"/>
        <v>0.35750738212837313</v>
      </c>
      <c r="X225" s="773">
        <f t="shared" ca="1" si="71"/>
        <v>0.3756575207672706</v>
      </c>
      <c r="Y225" s="773">
        <f t="shared" ca="1" si="71"/>
        <v>0.39045597928360992</v>
      </c>
      <c r="Z225" s="773">
        <f t="shared" ca="1" si="71"/>
        <v>0.40933938352351934</v>
      </c>
    </row>
    <row r="226" spans="2:26" ht="5" customHeight="1" x14ac:dyDescent="0.2"/>
    <row r="227" spans="2:26" x14ac:dyDescent="0.2">
      <c r="B227" s="147" t="s">
        <v>335</v>
      </c>
    </row>
    <row r="228" spans="2:26" x14ac:dyDescent="0.2">
      <c r="B228" s="32" t="s">
        <v>336</v>
      </c>
      <c r="F228" s="48">
        <f>+'Phase III Pro Forma'!F225/1000000</f>
        <v>0</v>
      </c>
      <c r="G228" s="48">
        <f>+'Phase III Pro Forma'!G225/1000000</f>
        <v>0</v>
      </c>
      <c r="H228" s="48">
        <f>+'Phase III Pro Forma'!H225/1000000</f>
        <v>0</v>
      </c>
      <c r="I228" s="48">
        <f>+'Phase III Pro Forma'!I225/1000000</f>
        <v>0</v>
      </c>
      <c r="J228" s="48">
        <f>+'Phase III Pro Forma'!J225/1000000</f>
        <v>0</v>
      </c>
      <c r="K228" s="48">
        <f>+'Phase III Pro Forma'!K225/1000000</f>
        <v>0</v>
      </c>
      <c r="L228" s="48">
        <f ca="1">+'Phase III Pro Forma'!L225/1000000</f>
        <v>7.783537267330737</v>
      </c>
      <c r="M228" s="48">
        <f>+'Phase III Pro Forma'!M225/1000000</f>
        <v>0</v>
      </c>
      <c r="N228" s="48">
        <f>+'Phase III Pro Forma'!N225/1000000</f>
        <v>0</v>
      </c>
      <c r="O228" s="48">
        <f>+'Phase III Pro Forma'!O225/1000000</f>
        <v>0</v>
      </c>
      <c r="P228" s="48">
        <f>+'Phase III Pro Forma'!P225/1000000</f>
        <v>0</v>
      </c>
      <c r="Q228" s="48">
        <f>+'Phase III Pro Forma'!Q225/1000000</f>
        <v>0</v>
      </c>
      <c r="R228" s="48">
        <f>+'Phase III Pro Forma'!R225/1000000</f>
        <v>0</v>
      </c>
      <c r="S228" s="48">
        <f>+'Phase III Pro Forma'!S225/1000000</f>
        <v>0</v>
      </c>
      <c r="T228" s="48">
        <f>+'Phase III Pro Forma'!T225/1000000</f>
        <v>0</v>
      </c>
      <c r="U228" s="48">
        <f>+'Phase III Pro Forma'!U225/1000000</f>
        <v>0</v>
      </c>
      <c r="V228" s="48">
        <f>+'Phase III Pro Forma'!V225/1000000</f>
        <v>0</v>
      </c>
      <c r="W228" s="48">
        <f>+'Phase III Pro Forma'!W225/1000000</f>
        <v>0</v>
      </c>
      <c r="X228" s="48">
        <f>+'Phase III Pro Forma'!X225/1000000</f>
        <v>0</v>
      </c>
      <c r="Y228" s="48">
        <f>+'Phase III Pro Forma'!Y225/1000000</f>
        <v>0</v>
      </c>
      <c r="Z228" s="48">
        <f>+'Phase III Pro Forma'!Z225/1000000</f>
        <v>0</v>
      </c>
    </row>
    <row r="229" spans="2:26" x14ac:dyDescent="0.2">
      <c r="B229" s="32" t="s">
        <v>337</v>
      </c>
      <c r="F229" s="772">
        <f>+'Phase III Pro Forma'!F226/1000000</f>
        <v>0</v>
      </c>
      <c r="G229" s="772">
        <f>+'Phase III Pro Forma'!G226/1000000</f>
        <v>0</v>
      </c>
      <c r="H229" s="772">
        <f>+'Phase III Pro Forma'!H226/1000000</f>
        <v>0</v>
      </c>
      <c r="I229" s="772">
        <f>+'Phase III Pro Forma'!I226/1000000</f>
        <v>0</v>
      </c>
      <c r="J229" s="772">
        <f>+'Phase III Pro Forma'!J226/1000000</f>
        <v>0</v>
      </c>
      <c r="K229" s="772">
        <f>+'Phase III Pro Forma'!K226/1000000</f>
        <v>0</v>
      </c>
      <c r="L229" s="772">
        <f ca="1">+'Phase III Pro Forma'!L226/1000000</f>
        <v>-0.15567074534661474</v>
      </c>
      <c r="M229" s="772">
        <f>+'Phase III Pro Forma'!M226/1000000</f>
        <v>0</v>
      </c>
      <c r="N229" s="772">
        <f>+'Phase III Pro Forma'!N226/1000000</f>
        <v>0</v>
      </c>
      <c r="O229" s="772">
        <f>+'Phase III Pro Forma'!O226/1000000</f>
        <v>0</v>
      </c>
      <c r="P229" s="772">
        <f>+'Phase III Pro Forma'!P226/1000000</f>
        <v>0</v>
      </c>
      <c r="Q229" s="772">
        <f>+'Phase III Pro Forma'!Q226/1000000</f>
        <v>0</v>
      </c>
      <c r="R229" s="772">
        <f>+'Phase III Pro Forma'!R226/1000000</f>
        <v>0</v>
      </c>
      <c r="S229" s="772">
        <f>+'Phase III Pro Forma'!S226/1000000</f>
        <v>0</v>
      </c>
      <c r="T229" s="772">
        <f>+'Phase III Pro Forma'!T226/1000000</f>
        <v>0</v>
      </c>
      <c r="U229" s="772">
        <f>+'Phase III Pro Forma'!U226/1000000</f>
        <v>0</v>
      </c>
      <c r="V229" s="772">
        <f>+'Phase III Pro Forma'!V226/1000000</f>
        <v>0</v>
      </c>
      <c r="W229" s="772">
        <f>+'Phase III Pro Forma'!W226/1000000</f>
        <v>0</v>
      </c>
      <c r="X229" s="772">
        <f>+'Phase III Pro Forma'!X226/1000000</f>
        <v>0</v>
      </c>
      <c r="Y229" s="772">
        <f>+'Phase III Pro Forma'!Y226/1000000</f>
        <v>0</v>
      </c>
      <c r="Z229" s="772">
        <f>+'Phase III Pro Forma'!Z226/1000000</f>
        <v>0</v>
      </c>
    </row>
    <row r="230" spans="2:26" x14ac:dyDescent="0.2">
      <c r="B230" s="32" t="s">
        <v>338</v>
      </c>
      <c r="F230" s="772">
        <f>+'Phase III Pro Forma'!F227/1000000</f>
        <v>0</v>
      </c>
      <c r="G230" s="772">
        <f>+'Phase III Pro Forma'!G227/1000000</f>
        <v>0</v>
      </c>
      <c r="H230" s="772">
        <f>+'Phase III Pro Forma'!H227/1000000</f>
        <v>0</v>
      </c>
      <c r="I230" s="772">
        <f>+'Phase III Pro Forma'!I227/1000000</f>
        <v>0</v>
      </c>
      <c r="J230" s="772">
        <f>+'Phase III Pro Forma'!J227/1000000</f>
        <v>0</v>
      </c>
      <c r="K230" s="772">
        <f>+'Phase III Pro Forma'!K227/1000000</f>
        <v>0</v>
      </c>
      <c r="L230" s="772">
        <f ca="1">+'Phase III Pro Forma'!L227/1000000</f>
        <v>-6.0710900841614119</v>
      </c>
      <c r="M230" s="772">
        <f>+'Phase III Pro Forma'!M227/1000000</f>
        <v>0</v>
      </c>
      <c r="N230" s="772">
        <f>+'Phase III Pro Forma'!N227/1000000</f>
        <v>0</v>
      </c>
      <c r="O230" s="772">
        <f>+'Phase III Pro Forma'!O227/1000000</f>
        <v>0</v>
      </c>
      <c r="P230" s="772">
        <f>+'Phase III Pro Forma'!P227/1000000</f>
        <v>0</v>
      </c>
      <c r="Q230" s="772">
        <f>+'Phase III Pro Forma'!Q227/1000000</f>
        <v>0</v>
      </c>
      <c r="R230" s="772">
        <f>+'Phase III Pro Forma'!R227/1000000</f>
        <v>0</v>
      </c>
      <c r="S230" s="772">
        <f>+'Phase III Pro Forma'!S227/1000000</f>
        <v>0</v>
      </c>
      <c r="T230" s="772">
        <f>+'Phase III Pro Forma'!T227/1000000</f>
        <v>0</v>
      </c>
      <c r="U230" s="772">
        <f>+'Phase III Pro Forma'!U227/1000000</f>
        <v>0</v>
      </c>
      <c r="V230" s="772">
        <f>+'Phase III Pro Forma'!V227/1000000</f>
        <v>0</v>
      </c>
      <c r="W230" s="772">
        <f>+'Phase III Pro Forma'!W227/1000000</f>
        <v>0</v>
      </c>
      <c r="X230" s="772">
        <f>+'Phase III Pro Forma'!X227/1000000</f>
        <v>0</v>
      </c>
      <c r="Y230" s="772">
        <f>+'Phase III Pro Forma'!Y227/1000000</f>
        <v>0</v>
      </c>
      <c r="Z230" s="772">
        <f>+'Phase III Pro Forma'!Z227/1000000</f>
        <v>0</v>
      </c>
    </row>
    <row r="231" spans="2:26" x14ac:dyDescent="0.2">
      <c r="B231" s="136" t="s">
        <v>339</v>
      </c>
      <c r="C231" s="136"/>
      <c r="D231" s="136"/>
      <c r="E231" s="136"/>
      <c r="F231" s="773">
        <f t="shared" ref="F231:Z231" si="72">+SUM(F228:F230)</f>
        <v>0</v>
      </c>
      <c r="G231" s="773">
        <f t="shared" si="72"/>
        <v>0</v>
      </c>
      <c r="H231" s="773">
        <f t="shared" si="72"/>
        <v>0</v>
      </c>
      <c r="I231" s="773">
        <f t="shared" si="72"/>
        <v>0</v>
      </c>
      <c r="J231" s="773">
        <f t="shared" si="72"/>
        <v>0</v>
      </c>
      <c r="K231" s="773">
        <f t="shared" si="72"/>
        <v>0</v>
      </c>
      <c r="L231" s="773">
        <f t="shared" ca="1" si="72"/>
        <v>1.5567764378227107</v>
      </c>
      <c r="M231" s="773">
        <f t="shared" si="72"/>
        <v>0</v>
      </c>
      <c r="N231" s="773">
        <f t="shared" si="72"/>
        <v>0</v>
      </c>
      <c r="O231" s="773">
        <f t="shared" si="72"/>
        <v>0</v>
      </c>
      <c r="P231" s="773">
        <f t="shared" si="72"/>
        <v>0</v>
      </c>
      <c r="Q231" s="773">
        <f t="shared" si="72"/>
        <v>0</v>
      </c>
      <c r="R231" s="773">
        <f t="shared" si="72"/>
        <v>0</v>
      </c>
      <c r="S231" s="773">
        <f t="shared" si="72"/>
        <v>0</v>
      </c>
      <c r="T231" s="773">
        <f t="shared" si="72"/>
        <v>0</v>
      </c>
      <c r="U231" s="773">
        <f t="shared" si="72"/>
        <v>0</v>
      </c>
      <c r="V231" s="773">
        <f t="shared" si="72"/>
        <v>0</v>
      </c>
      <c r="W231" s="773">
        <f t="shared" si="72"/>
        <v>0</v>
      </c>
      <c r="X231" s="773">
        <f t="shared" si="72"/>
        <v>0</v>
      </c>
      <c r="Y231" s="773">
        <f t="shared" si="72"/>
        <v>0</v>
      </c>
      <c r="Z231" s="773">
        <f t="shared" si="72"/>
        <v>0</v>
      </c>
    </row>
    <row r="233" spans="2:26" x14ac:dyDescent="0.2">
      <c r="B233" s="137" t="s">
        <v>791</v>
      </c>
      <c r="C233" s="137"/>
      <c r="D233" s="137"/>
      <c r="E233" s="137"/>
      <c r="F233" s="774">
        <f ca="1">+'Phase III Pro Forma'!F230/1000000</f>
        <v>0</v>
      </c>
      <c r="G233" s="774">
        <f ca="1">+'Phase III Pro Forma'!G230/1000000</f>
        <v>0</v>
      </c>
      <c r="H233" s="774">
        <f ca="1">+'Phase III Pro Forma'!H230/1000000</f>
        <v>0</v>
      </c>
      <c r="I233" s="774">
        <f ca="1">+'Phase III Pro Forma'!I230/1000000</f>
        <v>-0.21024541289034093</v>
      </c>
      <c r="J233" s="774">
        <f ca="1">+'Phase III Pro Forma'!J230/1000000</f>
        <v>0.14349657159503096</v>
      </c>
      <c r="K233" s="774">
        <f ca="1">+'Phase III Pro Forma'!K230/1000000</f>
        <v>0.17970797748212586</v>
      </c>
      <c r="L233" s="774">
        <f ca="1">+'Phase III Pro Forma'!L230/1000000</f>
        <v>1.7507956757574668</v>
      </c>
      <c r="M233" s="774">
        <f>+'Phase III Pro Forma'!M230/1000000</f>
        <v>0</v>
      </c>
      <c r="N233" s="774">
        <f>+'Phase III Pro Forma'!N230/1000000</f>
        <v>0</v>
      </c>
      <c r="O233" s="774">
        <f>+'Phase III Pro Forma'!O230/1000000</f>
        <v>0</v>
      </c>
      <c r="P233" s="774">
        <f>+'Phase III Pro Forma'!P230/1000000</f>
        <v>0</v>
      </c>
      <c r="Q233" s="774">
        <f>+'Phase III Pro Forma'!Q230/1000000</f>
        <v>0</v>
      </c>
      <c r="R233" s="774">
        <f>+'Phase III Pro Forma'!R230/1000000</f>
        <v>0</v>
      </c>
      <c r="S233" s="774">
        <f>+'Phase III Pro Forma'!S230/1000000</f>
        <v>0</v>
      </c>
      <c r="T233" s="774">
        <f>+'Phase III Pro Forma'!T230/1000000</f>
        <v>0</v>
      </c>
      <c r="U233" s="774">
        <f>+'Phase III Pro Forma'!U230/1000000</f>
        <v>0</v>
      </c>
      <c r="V233" s="774">
        <f>+'Phase III Pro Forma'!V230/1000000</f>
        <v>0</v>
      </c>
      <c r="W233" s="774">
        <f>+'Phase III Pro Forma'!W230/1000000</f>
        <v>0</v>
      </c>
      <c r="X233" s="774">
        <f>+'Phase III Pro Forma'!X230/1000000</f>
        <v>0</v>
      </c>
      <c r="Y233" s="774">
        <f>+'Phase III Pro Forma'!Y230/1000000</f>
        <v>0</v>
      </c>
      <c r="Z233" s="774">
        <f>+'Phase III Pro Forma'!Z230/1000000</f>
        <v>0</v>
      </c>
    </row>
    <row r="234" spans="2:26" outlineLevel="1" x14ac:dyDescent="0.2"/>
    <row r="235" spans="2:26" outlineLevel="1" x14ac:dyDescent="0.2">
      <c r="B235" s="36" t="s">
        <v>769</v>
      </c>
      <c r="C235" s="37"/>
      <c r="D235" s="37"/>
      <c r="E235" s="37"/>
      <c r="F235" s="135">
        <f>+F165</f>
        <v>45657</v>
      </c>
      <c r="G235" s="135">
        <f t="shared" ref="G235:Z235" si="73">+G165</f>
        <v>46022</v>
      </c>
      <c r="H235" s="135">
        <f t="shared" si="73"/>
        <v>46387</v>
      </c>
      <c r="I235" s="135">
        <f t="shared" si="73"/>
        <v>46752</v>
      </c>
      <c r="J235" s="135">
        <f t="shared" si="73"/>
        <v>47118</v>
      </c>
      <c r="K235" s="135">
        <f t="shared" si="73"/>
        <v>47483</v>
      </c>
      <c r="L235" s="135">
        <f t="shared" si="73"/>
        <v>47848</v>
      </c>
      <c r="M235" s="135">
        <f t="shared" si="73"/>
        <v>48213</v>
      </c>
      <c r="N235" s="135">
        <f t="shared" si="73"/>
        <v>48579</v>
      </c>
      <c r="O235" s="135">
        <f t="shared" si="73"/>
        <v>48944</v>
      </c>
      <c r="P235" s="135">
        <f t="shared" si="73"/>
        <v>49309</v>
      </c>
      <c r="Q235" s="135">
        <f t="shared" si="73"/>
        <v>49674</v>
      </c>
      <c r="R235" s="135">
        <f t="shared" si="73"/>
        <v>50040</v>
      </c>
      <c r="S235" s="135">
        <f t="shared" si="73"/>
        <v>50405</v>
      </c>
      <c r="T235" s="135">
        <f t="shared" si="73"/>
        <v>50770</v>
      </c>
      <c r="U235" s="135">
        <f t="shared" si="73"/>
        <v>51135</v>
      </c>
      <c r="V235" s="135">
        <f t="shared" si="73"/>
        <v>51501</v>
      </c>
      <c r="W235" s="135">
        <f t="shared" si="73"/>
        <v>51866</v>
      </c>
      <c r="X235" s="135">
        <f t="shared" si="73"/>
        <v>52231</v>
      </c>
      <c r="Y235" s="135">
        <f t="shared" si="73"/>
        <v>52596</v>
      </c>
      <c r="Z235" s="135">
        <f t="shared" si="73"/>
        <v>52962</v>
      </c>
    </row>
    <row r="236" spans="2:26" hidden="1" outlineLevel="1" x14ac:dyDescent="0.2"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4"/>
      <c r="R236" s="204"/>
      <c r="S236" s="204"/>
      <c r="T236" s="204"/>
      <c r="U236" s="204"/>
      <c r="V236" s="204"/>
      <c r="W236" s="204"/>
      <c r="X236" s="204"/>
      <c r="Y236" s="204"/>
      <c r="Z236" s="204"/>
    </row>
    <row r="237" spans="2:26" outlineLevel="1" x14ac:dyDescent="0.2">
      <c r="B237" s="147" t="s">
        <v>235</v>
      </c>
      <c r="C237" s="148"/>
      <c r="D237" s="148"/>
      <c r="E237" s="148"/>
      <c r="F237" s="776">
        <f>+F235</f>
        <v>45657</v>
      </c>
      <c r="G237" s="776">
        <f t="shared" ref="G237:Z237" si="74">+G235</f>
        <v>46022</v>
      </c>
      <c r="H237" s="776">
        <f t="shared" si="74"/>
        <v>46387</v>
      </c>
      <c r="I237" s="776">
        <f t="shared" si="74"/>
        <v>46752</v>
      </c>
      <c r="J237" s="776">
        <f t="shared" si="74"/>
        <v>47118</v>
      </c>
      <c r="K237" s="776">
        <f t="shared" si="74"/>
        <v>47483</v>
      </c>
      <c r="L237" s="776">
        <f t="shared" si="74"/>
        <v>47848</v>
      </c>
      <c r="M237" s="776">
        <f t="shared" si="74"/>
        <v>48213</v>
      </c>
      <c r="N237" s="776">
        <f t="shared" si="74"/>
        <v>48579</v>
      </c>
      <c r="O237" s="776">
        <f t="shared" si="74"/>
        <v>48944</v>
      </c>
      <c r="P237" s="776">
        <f t="shared" si="74"/>
        <v>49309</v>
      </c>
      <c r="Q237" s="776">
        <f t="shared" si="74"/>
        <v>49674</v>
      </c>
      <c r="R237" s="776">
        <f t="shared" si="74"/>
        <v>50040</v>
      </c>
      <c r="S237" s="776">
        <f t="shared" si="74"/>
        <v>50405</v>
      </c>
      <c r="T237" s="776">
        <f t="shared" si="74"/>
        <v>50770</v>
      </c>
      <c r="U237" s="776">
        <f t="shared" si="74"/>
        <v>51135</v>
      </c>
      <c r="V237" s="776">
        <f t="shared" si="74"/>
        <v>51501</v>
      </c>
      <c r="W237" s="776">
        <f t="shared" si="74"/>
        <v>51866</v>
      </c>
      <c r="X237" s="776">
        <f t="shared" si="74"/>
        <v>52231</v>
      </c>
      <c r="Y237" s="776">
        <f t="shared" si="74"/>
        <v>52596</v>
      </c>
      <c r="Z237" s="776">
        <f t="shared" si="74"/>
        <v>52962</v>
      </c>
    </row>
    <row r="238" spans="2:26" hidden="1" outlineLevel="1" x14ac:dyDescent="0.2">
      <c r="B238" s="788" t="s">
        <v>756</v>
      </c>
      <c r="C238" s="788"/>
      <c r="D238" s="791"/>
      <c r="E238" s="791"/>
      <c r="F238" s="789">
        <f>+'Phase III Pro Forma'!F235</f>
        <v>0</v>
      </c>
      <c r="G238" s="789">
        <f>+'Phase III Pro Forma'!G235</f>
        <v>0</v>
      </c>
      <c r="H238" s="789">
        <f>+'Phase III Pro Forma'!H235</f>
        <v>0</v>
      </c>
      <c r="I238" s="789">
        <f>+'Phase III Pro Forma'!I235</f>
        <v>117315</v>
      </c>
      <c r="J238" s="789">
        <f>+'Phase III Pro Forma'!J235</f>
        <v>117315</v>
      </c>
      <c r="K238" s="789">
        <f>+'Phase III Pro Forma'!K235</f>
        <v>0</v>
      </c>
      <c r="L238" s="789">
        <f>+'Phase III Pro Forma'!L235</f>
        <v>0</v>
      </c>
      <c r="M238" s="789">
        <f>+'Phase III Pro Forma'!M235</f>
        <v>0</v>
      </c>
      <c r="N238" s="789">
        <f>+'Phase III Pro Forma'!N235</f>
        <v>0</v>
      </c>
      <c r="O238" s="789">
        <f>+'Phase III Pro Forma'!O235</f>
        <v>0</v>
      </c>
      <c r="P238" s="789">
        <f>+'Phase III Pro Forma'!P235</f>
        <v>0</v>
      </c>
      <c r="Q238" s="789">
        <f>+'Phase III Pro Forma'!Q235</f>
        <v>0</v>
      </c>
      <c r="R238" s="789">
        <f>+'Phase III Pro Forma'!R235</f>
        <v>0</v>
      </c>
      <c r="S238" s="789">
        <f>+'Phase III Pro Forma'!S235</f>
        <v>0</v>
      </c>
      <c r="T238" s="789">
        <f>+'Phase III Pro Forma'!T235</f>
        <v>0</v>
      </c>
      <c r="U238" s="789">
        <f>+'Phase III Pro Forma'!U235</f>
        <v>0</v>
      </c>
      <c r="V238" s="789">
        <f>+'Phase III Pro Forma'!V235</f>
        <v>0</v>
      </c>
      <c r="W238" s="789">
        <f>+'Phase III Pro Forma'!W235</f>
        <v>0</v>
      </c>
      <c r="X238" s="789">
        <f>+'Phase III Pro Forma'!X235</f>
        <v>0</v>
      </c>
      <c r="Y238" s="789">
        <f>+'Phase III Pro Forma'!Y235</f>
        <v>0</v>
      </c>
      <c r="Z238" s="789">
        <f>+'Phase III Pro Forma'!Z235</f>
        <v>0</v>
      </c>
    </row>
    <row r="239" spans="2:26" outlineLevel="1" x14ac:dyDescent="0.2">
      <c r="B239" s="32" t="s">
        <v>784</v>
      </c>
      <c r="C239" s="32"/>
      <c r="D239" s="41">
        <v>0</v>
      </c>
      <c r="E239" s="41"/>
      <c r="F239" s="41">
        <f>+D239+F238</f>
        <v>0</v>
      </c>
      <c r="G239" s="41">
        <f t="shared" ref="G239:Z239" si="75">+F239+G238</f>
        <v>0</v>
      </c>
      <c r="H239" s="41">
        <f t="shared" si="75"/>
        <v>0</v>
      </c>
      <c r="I239" s="41">
        <f t="shared" si="75"/>
        <v>117315</v>
      </c>
      <c r="J239" s="41">
        <f t="shared" si="75"/>
        <v>234630</v>
      </c>
      <c r="K239" s="41">
        <f t="shared" si="75"/>
        <v>234630</v>
      </c>
      <c r="L239" s="41">
        <f t="shared" si="75"/>
        <v>234630</v>
      </c>
      <c r="M239" s="41">
        <f t="shared" si="75"/>
        <v>234630</v>
      </c>
      <c r="N239" s="41">
        <f t="shared" si="75"/>
        <v>234630</v>
      </c>
      <c r="O239" s="41">
        <f t="shared" si="75"/>
        <v>234630</v>
      </c>
      <c r="P239" s="41">
        <f t="shared" si="75"/>
        <v>234630</v>
      </c>
      <c r="Q239" s="41">
        <f t="shared" si="75"/>
        <v>234630</v>
      </c>
      <c r="R239" s="41">
        <f t="shared" si="75"/>
        <v>234630</v>
      </c>
      <c r="S239" s="41">
        <f t="shared" si="75"/>
        <v>234630</v>
      </c>
      <c r="T239" s="41">
        <f t="shared" si="75"/>
        <v>234630</v>
      </c>
      <c r="U239" s="41">
        <f t="shared" si="75"/>
        <v>234630</v>
      </c>
      <c r="V239" s="41">
        <f t="shared" si="75"/>
        <v>234630</v>
      </c>
      <c r="W239" s="41">
        <f t="shared" si="75"/>
        <v>234630</v>
      </c>
      <c r="X239" s="41">
        <f t="shared" si="75"/>
        <v>234630</v>
      </c>
      <c r="Y239" s="41">
        <f t="shared" si="75"/>
        <v>234630</v>
      </c>
      <c r="Z239" s="41">
        <f t="shared" si="75"/>
        <v>234630</v>
      </c>
    </row>
    <row r="240" spans="2:26" hidden="1" outlineLevel="1" x14ac:dyDescent="0.2">
      <c r="B240" s="788" t="s">
        <v>301</v>
      </c>
      <c r="C240" s="788"/>
      <c r="D240" s="789"/>
      <c r="E240" s="789"/>
      <c r="F240" s="790">
        <f t="shared" ref="F240:Z240" si="76">+F239/SUM($F238:$Z238)</f>
        <v>0</v>
      </c>
      <c r="G240" s="790">
        <f t="shared" si="76"/>
        <v>0</v>
      </c>
      <c r="H240" s="790">
        <f t="shared" si="76"/>
        <v>0</v>
      </c>
      <c r="I240" s="790">
        <f t="shared" si="76"/>
        <v>0.5</v>
      </c>
      <c r="J240" s="790">
        <f t="shared" si="76"/>
        <v>1</v>
      </c>
      <c r="K240" s="790">
        <f t="shared" si="76"/>
        <v>1</v>
      </c>
      <c r="L240" s="790">
        <f t="shared" si="76"/>
        <v>1</v>
      </c>
      <c r="M240" s="790">
        <f t="shared" si="76"/>
        <v>1</v>
      </c>
      <c r="N240" s="790">
        <f t="shared" si="76"/>
        <v>1</v>
      </c>
      <c r="O240" s="790">
        <f t="shared" si="76"/>
        <v>1</v>
      </c>
      <c r="P240" s="790">
        <f t="shared" si="76"/>
        <v>1</v>
      </c>
      <c r="Q240" s="790">
        <f t="shared" si="76"/>
        <v>1</v>
      </c>
      <c r="R240" s="790">
        <f t="shared" si="76"/>
        <v>1</v>
      </c>
      <c r="S240" s="790">
        <f t="shared" si="76"/>
        <v>1</v>
      </c>
      <c r="T240" s="790">
        <f t="shared" si="76"/>
        <v>1</v>
      </c>
      <c r="U240" s="790">
        <f t="shared" si="76"/>
        <v>1</v>
      </c>
      <c r="V240" s="790">
        <f t="shared" si="76"/>
        <v>1</v>
      </c>
      <c r="W240" s="790">
        <f t="shared" si="76"/>
        <v>1</v>
      </c>
      <c r="X240" s="790">
        <f t="shared" si="76"/>
        <v>1</v>
      </c>
      <c r="Y240" s="790">
        <f t="shared" si="76"/>
        <v>1</v>
      </c>
      <c r="Z240" s="790">
        <f t="shared" si="76"/>
        <v>1</v>
      </c>
    </row>
    <row r="241" spans="2:26" hidden="1" outlineLevel="1" x14ac:dyDescent="0.2">
      <c r="B241" s="788"/>
      <c r="C241" s="788"/>
      <c r="D241" s="791"/>
      <c r="E241" s="791"/>
      <c r="F241" s="792"/>
      <c r="G241" s="792"/>
      <c r="H241" s="792"/>
      <c r="I241" s="792"/>
      <c r="J241" s="792"/>
      <c r="K241" s="792"/>
      <c r="L241" s="792"/>
      <c r="M241" s="792"/>
      <c r="N241" s="792"/>
      <c r="O241" s="792"/>
      <c r="P241" s="792"/>
      <c r="Q241" s="792"/>
      <c r="R241" s="792"/>
      <c r="S241" s="792"/>
      <c r="T241" s="792"/>
      <c r="U241" s="792"/>
      <c r="V241" s="792"/>
      <c r="W241" s="792"/>
      <c r="X241" s="792"/>
      <c r="Y241" s="792"/>
      <c r="Z241" s="792"/>
    </row>
    <row r="242" spans="2:26" hidden="1" outlineLevel="1" x14ac:dyDescent="0.2">
      <c r="B242" s="788" t="s">
        <v>251</v>
      </c>
      <c r="C242" s="788"/>
      <c r="D242" s="789"/>
      <c r="E242" s="789"/>
      <c r="F242" s="790">
        <f>+'Phase III Pro Forma'!F239</f>
        <v>1</v>
      </c>
      <c r="G242" s="790">
        <f>+'Phase III Pro Forma'!G239</f>
        <v>1</v>
      </c>
      <c r="H242" s="790">
        <f>+'Phase III Pro Forma'!H239</f>
        <v>1</v>
      </c>
      <c r="I242" s="790">
        <f>+'Phase III Pro Forma'!I239</f>
        <v>1</v>
      </c>
      <c r="J242" s="790">
        <f>+'Phase III Pro Forma'!J239</f>
        <v>1</v>
      </c>
      <c r="K242" s="790">
        <f>+'Phase III Pro Forma'!K239</f>
        <v>1</v>
      </c>
      <c r="L242" s="790">
        <f>+'Phase III Pro Forma'!L239</f>
        <v>1.1000000000000001</v>
      </c>
      <c r="M242" s="790">
        <f>+'Phase III Pro Forma'!M239</f>
        <v>1.1000000000000001</v>
      </c>
      <c r="N242" s="790">
        <f>+'Phase III Pro Forma'!N239</f>
        <v>1.1000000000000001</v>
      </c>
      <c r="O242" s="790">
        <f>+'Phase III Pro Forma'!O239</f>
        <v>1.1000000000000001</v>
      </c>
      <c r="P242" s="790">
        <f>+'Phase III Pro Forma'!P239</f>
        <v>1.1000000000000001</v>
      </c>
      <c r="Q242" s="790">
        <f>+'Phase III Pro Forma'!Q239</f>
        <v>1.2100000000000002</v>
      </c>
      <c r="R242" s="790">
        <f>+'Phase III Pro Forma'!R239</f>
        <v>1.2100000000000002</v>
      </c>
      <c r="S242" s="790">
        <f>+'Phase III Pro Forma'!S239</f>
        <v>1.2100000000000002</v>
      </c>
      <c r="T242" s="790">
        <f>+'Phase III Pro Forma'!T239</f>
        <v>1.2100000000000002</v>
      </c>
      <c r="U242" s="790">
        <f>+'Phase III Pro Forma'!U239</f>
        <v>1.2100000000000002</v>
      </c>
      <c r="V242" s="790">
        <f>+'Phase III Pro Forma'!V239</f>
        <v>1.3310000000000004</v>
      </c>
      <c r="W242" s="790">
        <f>+'Phase III Pro Forma'!W239</f>
        <v>1.3310000000000004</v>
      </c>
      <c r="X242" s="790">
        <f>+'Phase III Pro Forma'!X239</f>
        <v>1.3310000000000004</v>
      </c>
      <c r="Y242" s="790">
        <f>+'Phase III Pro Forma'!Y239</f>
        <v>1.3310000000000004</v>
      </c>
      <c r="Z242" s="790">
        <f>+'Phase III Pro Forma'!Z239</f>
        <v>1.3310000000000004</v>
      </c>
    </row>
    <row r="243" spans="2:26" hidden="1" outlineLevel="1" x14ac:dyDescent="0.2">
      <c r="B243" s="788" t="s">
        <v>252</v>
      </c>
      <c r="C243" s="788"/>
      <c r="D243" s="789"/>
      <c r="E243" s="789"/>
      <c r="F243" s="790">
        <f>+'Phase III Pro Forma'!F240</f>
        <v>1</v>
      </c>
      <c r="G243" s="790">
        <f>+'Phase III Pro Forma'!G240</f>
        <v>1.03</v>
      </c>
      <c r="H243" s="790">
        <f>+'Phase III Pro Forma'!H240</f>
        <v>1.0609</v>
      </c>
      <c r="I243" s="790">
        <f>+'Phase III Pro Forma'!I240</f>
        <v>1.092727</v>
      </c>
      <c r="J243" s="790">
        <f>+'Phase III Pro Forma'!J240</f>
        <v>1.1255088100000001</v>
      </c>
      <c r="K243" s="790">
        <f>+'Phase III Pro Forma'!K240</f>
        <v>1.1592740743000001</v>
      </c>
      <c r="L243" s="790">
        <f>+'Phase III Pro Forma'!L240</f>
        <v>1.1940522965290001</v>
      </c>
      <c r="M243" s="790">
        <f>+'Phase III Pro Forma'!M240</f>
        <v>1.2298738654248702</v>
      </c>
      <c r="N243" s="790">
        <f>+'Phase III Pro Forma'!N240</f>
        <v>1.2667700813876164</v>
      </c>
      <c r="O243" s="790">
        <f>+'Phase III Pro Forma'!O240</f>
        <v>1.3047731838292449</v>
      </c>
      <c r="P243" s="790">
        <f>+'Phase III Pro Forma'!P240</f>
        <v>1.3439163793441222</v>
      </c>
      <c r="Q243" s="790">
        <f>+'Phase III Pro Forma'!Q240</f>
        <v>1.3842338707244459</v>
      </c>
      <c r="R243" s="790">
        <f>+'Phase III Pro Forma'!R240</f>
        <v>1.4257608868461793</v>
      </c>
      <c r="S243" s="790">
        <f>+'Phase III Pro Forma'!S240</f>
        <v>1.4685337134515648</v>
      </c>
      <c r="T243" s="790">
        <f>+'Phase III Pro Forma'!T240</f>
        <v>1.5125897248551119</v>
      </c>
      <c r="U243" s="790">
        <f>+'Phase III Pro Forma'!U240</f>
        <v>1.5579674166007653</v>
      </c>
      <c r="V243" s="790">
        <f>+'Phase III Pro Forma'!V240</f>
        <v>1.6047064390987884</v>
      </c>
      <c r="W243" s="790">
        <f>+'Phase III Pro Forma'!W240</f>
        <v>1.652847632271752</v>
      </c>
      <c r="X243" s="790">
        <f>+'Phase III Pro Forma'!X240</f>
        <v>1.7024330612399046</v>
      </c>
      <c r="Y243" s="790">
        <f>+'Phase III Pro Forma'!Y240</f>
        <v>1.7535060530771018</v>
      </c>
      <c r="Z243" s="790">
        <f>+'Phase III Pro Forma'!Z240</f>
        <v>1.806111234669415</v>
      </c>
    </row>
    <row r="244" spans="2:26" ht="5" customHeight="1" outlineLevel="1" x14ac:dyDescent="0.2">
      <c r="B244" s="32"/>
      <c r="C244" s="32"/>
      <c r="D244" s="39"/>
      <c r="E244" s="39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 spans="2:26" outlineLevel="1" x14ac:dyDescent="0.2">
      <c r="B245" s="32" t="s">
        <v>243</v>
      </c>
      <c r="C245" s="32"/>
      <c r="D245" s="39"/>
      <c r="E245" s="39"/>
      <c r="F245" s="48">
        <f>+'Phase III Pro Forma'!F242/1000000</f>
        <v>0</v>
      </c>
      <c r="G245" s="48">
        <f>+'Phase III Pro Forma'!G242/1000000</f>
        <v>0</v>
      </c>
      <c r="H245" s="48">
        <f>+'Phase III Pro Forma'!H242/1000000</f>
        <v>0</v>
      </c>
      <c r="I245" s="48">
        <f>+'Phase III Pro Forma'!I242/1000000</f>
        <v>1.5238263462048001</v>
      </c>
      <c r="J245" s="48">
        <f>+'Phase III Pro Forma'!J242/1000000</f>
        <v>3.0476526924096001</v>
      </c>
      <c r="K245" s="48">
        <f>+'Phase III Pro Forma'!K242/1000000</f>
        <v>3.0476526924096001</v>
      </c>
      <c r="L245" s="48">
        <f>+'Phase III Pro Forma'!L242/1000000</f>
        <v>3.3524179616505605</v>
      </c>
      <c r="M245" s="48">
        <f>+'Phase III Pro Forma'!M242/1000000</f>
        <v>3.3524179616505605</v>
      </c>
      <c r="N245" s="48">
        <f>+'Phase III Pro Forma'!N242/1000000</f>
        <v>3.3524179616505605</v>
      </c>
      <c r="O245" s="48">
        <f>+'Phase III Pro Forma'!O242/1000000</f>
        <v>3.3524179616505605</v>
      </c>
      <c r="P245" s="48">
        <f>+'Phase III Pro Forma'!P242/1000000</f>
        <v>3.3524179616505605</v>
      </c>
      <c r="Q245" s="48">
        <f>+'Phase III Pro Forma'!Q242/1000000</f>
        <v>3.6876597578156165</v>
      </c>
      <c r="R245" s="48">
        <f>+'Phase III Pro Forma'!R242/1000000</f>
        <v>3.6876597578156165</v>
      </c>
      <c r="S245" s="48">
        <f>+'Phase III Pro Forma'!S242/1000000</f>
        <v>3.6876597578156165</v>
      </c>
      <c r="T245" s="48">
        <f>+'Phase III Pro Forma'!T242/1000000</f>
        <v>3.6876597578156165</v>
      </c>
      <c r="U245" s="48">
        <f>+'Phase III Pro Forma'!U242/1000000</f>
        <v>3.6876597578156165</v>
      </c>
      <c r="V245" s="48">
        <f>+'Phase III Pro Forma'!V242/1000000</f>
        <v>4.0564257335971785</v>
      </c>
      <c r="W245" s="48">
        <f>+'Phase III Pro Forma'!W242/1000000</f>
        <v>4.0564257335971785</v>
      </c>
      <c r="X245" s="48">
        <f>+'Phase III Pro Forma'!X242/1000000</f>
        <v>4.0564257335971785</v>
      </c>
      <c r="Y245" s="48">
        <f>+'Phase III Pro Forma'!Y242/1000000</f>
        <v>4.0564257335971785</v>
      </c>
      <c r="Z245" s="48">
        <f>+'Phase III Pro Forma'!Z242/1000000</f>
        <v>4.0564257335971785</v>
      </c>
    </row>
    <row r="246" spans="2:26" outlineLevel="1" x14ac:dyDescent="0.2">
      <c r="B246" s="32" t="s">
        <v>244</v>
      </c>
      <c r="C246" s="32"/>
      <c r="D246" s="39"/>
      <c r="E246" s="39"/>
      <c r="F246" s="771">
        <f>+'Phase III Pro Forma'!F243/1000000</f>
        <v>0</v>
      </c>
      <c r="G246" s="771">
        <f>+'Phase III Pro Forma'!G243/1000000</f>
        <v>0</v>
      </c>
      <c r="H246" s="771">
        <f>+'Phase III Pro Forma'!H243/1000000</f>
        <v>0</v>
      </c>
      <c r="I246" s="771">
        <f>+'Phase III Pro Forma'!I243/1000000</f>
        <v>-9.1429580772287994E-2</v>
      </c>
      <c r="J246" s="771">
        <f>+'Phase III Pro Forma'!J243/1000000</f>
        <v>-0.18285916154457599</v>
      </c>
      <c r="K246" s="771">
        <f>+'Phase III Pro Forma'!K243/1000000</f>
        <v>-0.18285916154457599</v>
      </c>
      <c r="L246" s="771">
        <f>+'Phase III Pro Forma'!L243/1000000</f>
        <v>-0.20114507769903364</v>
      </c>
      <c r="M246" s="771">
        <f>+'Phase III Pro Forma'!M243/1000000</f>
        <v>-0.20114507769903364</v>
      </c>
      <c r="N246" s="771">
        <f>+'Phase III Pro Forma'!N243/1000000</f>
        <v>-0.20114507769903364</v>
      </c>
      <c r="O246" s="771">
        <f>+'Phase III Pro Forma'!O243/1000000</f>
        <v>-0.20114507769903364</v>
      </c>
      <c r="P246" s="771">
        <f>+'Phase III Pro Forma'!P243/1000000</f>
        <v>-0.20114507769903364</v>
      </c>
      <c r="Q246" s="771">
        <f>+'Phase III Pro Forma'!Q243/1000000</f>
        <v>-0.22125958546893701</v>
      </c>
      <c r="R246" s="771">
        <f>+'Phase III Pro Forma'!R243/1000000</f>
        <v>-0.22125958546893701</v>
      </c>
      <c r="S246" s="771">
        <f>+'Phase III Pro Forma'!S243/1000000</f>
        <v>-0.22125958546893701</v>
      </c>
      <c r="T246" s="771">
        <f>+'Phase III Pro Forma'!T243/1000000</f>
        <v>-0.22125958546893701</v>
      </c>
      <c r="U246" s="771">
        <f>+'Phase III Pro Forma'!U243/1000000</f>
        <v>-0.22125958546893701</v>
      </c>
      <c r="V246" s="771">
        <f>+'Phase III Pro Forma'!V243/1000000</f>
        <v>-0.24338554401583073</v>
      </c>
      <c r="W246" s="771">
        <f>+'Phase III Pro Forma'!W243/1000000</f>
        <v>-0.24338554401583073</v>
      </c>
      <c r="X246" s="771">
        <f>+'Phase III Pro Forma'!X243/1000000</f>
        <v>-0.24338554401583073</v>
      </c>
      <c r="Y246" s="771">
        <f>+'Phase III Pro Forma'!Y243/1000000</f>
        <v>-0.24338554401583073</v>
      </c>
      <c r="Z246" s="771">
        <f>+'Phase III Pro Forma'!Z243/1000000</f>
        <v>-0.24338554401583073</v>
      </c>
    </row>
    <row r="247" spans="2:26" outlineLevel="1" x14ac:dyDescent="0.2">
      <c r="B247" s="32" t="s">
        <v>259</v>
      </c>
      <c r="C247" s="32"/>
      <c r="D247" s="39"/>
      <c r="E247" s="39"/>
      <c r="F247" s="772">
        <f ca="1">+'Phase III Pro Forma'!F244/1000000</f>
        <v>0</v>
      </c>
      <c r="G247" s="772">
        <f ca="1">+'Phase III Pro Forma'!G244/1000000</f>
        <v>0</v>
      </c>
      <c r="H247" s="772">
        <f ca="1">+'Phase III Pro Forma'!H244/1000000</f>
        <v>0</v>
      </c>
      <c r="I247" s="772">
        <f ca="1">+'Phase III Pro Forma'!I244/1000000</f>
        <v>0.72049333603014032</v>
      </c>
      <c r="J247" s="772">
        <f ca="1">+'Phase III Pro Forma'!J244/1000000</f>
        <v>1.4753568261408507</v>
      </c>
      <c r="K247" s="772">
        <f ca="1">+'Phase III Pro Forma'!K244/1000000</f>
        <v>1.4925076259164867</v>
      </c>
      <c r="L247" s="772">
        <f ca="1">+'Phase III Pro Forma'!L244/1000000</f>
        <v>1.510172949685392</v>
      </c>
      <c r="M247" s="772">
        <f ca="1">+'Phase III Pro Forma'!M244/1000000</f>
        <v>1.5464415031730905</v>
      </c>
      <c r="N247" s="772">
        <f ca="1">+'Phase III Pro Forma'!N244/1000000</f>
        <v>1.5651826451595221</v>
      </c>
      <c r="O247" s="772">
        <f ca="1">+'Phase III Pro Forma'!O244/1000000</f>
        <v>1.5844860214055467</v>
      </c>
      <c r="P247" s="772">
        <f ca="1">+'Phase III Pro Forma'!P244/1000000</f>
        <v>1.6228032343447925</v>
      </c>
      <c r="Q247" s="772">
        <f ca="1">+'Phase III Pro Forma'!Q244/1000000</f>
        <v>1.6432821862042002</v>
      </c>
      <c r="R247" s="772">
        <f ca="1">+'Phase III Pro Forma'!R244/1000000</f>
        <v>1.6643755066193897</v>
      </c>
      <c r="S247" s="772">
        <f ca="1">+'Phase III Pro Forma'!S244/1000000</f>
        <v>1.7049050567609925</v>
      </c>
      <c r="T247" s="772">
        <f ca="1">+'Phase III Pro Forma'!T244/1000000</f>
        <v>1.7272829603894675</v>
      </c>
      <c r="U247" s="772">
        <f ca="1">+'Phase III Pro Forma'!U244/1000000</f>
        <v>1.7503322011267961</v>
      </c>
      <c r="V247" s="772">
        <f ca="1">+'Phase III Pro Forma'!V244/1000000</f>
        <v>1.793252417802482</v>
      </c>
      <c r="W247" s="772">
        <f ca="1">+'Phase III Pro Forma'!W244/1000000</f>
        <v>1.817705357300714</v>
      </c>
      <c r="X247" s="772">
        <f ca="1">+'Phase III Pro Forma'!X244/1000000</f>
        <v>1.8428918849838936</v>
      </c>
      <c r="Y247" s="772">
        <f ca="1">+'Phase III Pro Forma'!Y244/1000000</f>
        <v>1.8883970971881296</v>
      </c>
      <c r="Z247" s="772">
        <f ca="1">+'Phase III Pro Forma'!Z244/1000000</f>
        <v>1.9151174844072145</v>
      </c>
    </row>
    <row r="248" spans="2:26" outlineLevel="1" x14ac:dyDescent="0.2">
      <c r="B248" s="136" t="s">
        <v>253</v>
      </c>
      <c r="C248" s="136"/>
      <c r="D248" s="136"/>
      <c r="E248" s="136"/>
      <c r="F248" s="773">
        <f t="shared" ref="F248:Z248" ca="1" si="77">+SUM(F245:F247)</f>
        <v>0</v>
      </c>
      <c r="G248" s="773">
        <f t="shared" ca="1" si="77"/>
        <v>0</v>
      </c>
      <c r="H248" s="773">
        <f t="shared" ca="1" si="77"/>
        <v>0</v>
      </c>
      <c r="I248" s="773">
        <f t="shared" ca="1" si="77"/>
        <v>2.1528901014626523</v>
      </c>
      <c r="J248" s="773">
        <f t="shared" ca="1" si="77"/>
        <v>4.340150357005875</v>
      </c>
      <c r="K248" s="773">
        <f t="shared" ca="1" si="77"/>
        <v>4.357301156781511</v>
      </c>
      <c r="L248" s="773">
        <f t="shared" ca="1" si="77"/>
        <v>4.6614458336369182</v>
      </c>
      <c r="M248" s="773">
        <f t="shared" ca="1" si="77"/>
        <v>4.6977143871246172</v>
      </c>
      <c r="N248" s="773">
        <f t="shared" ca="1" si="77"/>
        <v>4.716455529111049</v>
      </c>
      <c r="O248" s="773">
        <f t="shared" ca="1" si="77"/>
        <v>4.7357589053570734</v>
      </c>
      <c r="P248" s="773">
        <f t="shared" ca="1" si="77"/>
        <v>4.7740761182963194</v>
      </c>
      <c r="Q248" s="773">
        <f t="shared" ca="1" si="77"/>
        <v>5.109682358550879</v>
      </c>
      <c r="R248" s="773">
        <f t="shared" ca="1" si="77"/>
        <v>5.130775678966069</v>
      </c>
      <c r="S248" s="773">
        <f t="shared" ca="1" si="77"/>
        <v>5.1713052291076718</v>
      </c>
      <c r="T248" s="773">
        <f t="shared" ca="1" si="77"/>
        <v>5.1936831327361466</v>
      </c>
      <c r="U248" s="773">
        <f t="shared" ca="1" si="77"/>
        <v>5.2167323734734756</v>
      </c>
      <c r="V248" s="773">
        <f t="shared" ca="1" si="77"/>
        <v>5.6062926073838302</v>
      </c>
      <c r="W248" s="773">
        <f t="shared" ca="1" si="77"/>
        <v>5.6307455468820624</v>
      </c>
      <c r="X248" s="773">
        <f t="shared" ca="1" si="77"/>
        <v>5.6559320745652411</v>
      </c>
      <c r="Y248" s="773">
        <f t="shared" ca="1" si="77"/>
        <v>5.7014372867694778</v>
      </c>
      <c r="Z248" s="773">
        <f t="shared" ca="1" si="77"/>
        <v>5.7281576739885622</v>
      </c>
    </row>
    <row r="249" spans="2:26" ht="5" customHeight="1" outlineLevel="1" x14ac:dyDescent="0.2"/>
    <row r="250" spans="2:26" outlineLevel="1" x14ac:dyDescent="0.2">
      <c r="B250" s="32" t="s">
        <v>389</v>
      </c>
      <c r="F250" s="48">
        <f>+'Phase III Pro Forma'!F247/1000000</f>
        <v>0</v>
      </c>
      <c r="G250" s="48">
        <f>+'Phase III Pro Forma'!G247/1000000</f>
        <v>0</v>
      </c>
      <c r="H250" s="48">
        <f>+'Phase III Pro Forma'!H247/1000000</f>
        <v>0</v>
      </c>
      <c r="I250" s="48">
        <f>+'Phase III Pro Forma'!I247/1000000</f>
        <v>0.27752103196822203</v>
      </c>
      <c r="J250" s="48">
        <f>+'Phase III Pro Forma'!J247/1000000</f>
        <v>0.57169332585453758</v>
      </c>
      <c r="K250" s="48">
        <f>+'Phase III Pro Forma'!K247/1000000</f>
        <v>0.58884412563017363</v>
      </c>
      <c r="L250" s="48">
        <f>+'Phase III Pro Forma'!L247/1000000</f>
        <v>0.6065094493990788</v>
      </c>
      <c r="M250" s="48">
        <f>+'Phase III Pro Forma'!M247/1000000</f>
        <v>0.62470473288105122</v>
      </c>
      <c r="N250" s="48">
        <f>+'Phase III Pro Forma'!N247/1000000</f>
        <v>0.64344587486748284</v>
      </c>
      <c r="O250" s="48">
        <f>+'Phase III Pro Forma'!O247/1000000</f>
        <v>0.66274925111350735</v>
      </c>
      <c r="P250" s="48">
        <f>+'Phase III Pro Forma'!P247/1000000</f>
        <v>0.68263172864691246</v>
      </c>
      <c r="Q250" s="48">
        <f>+'Phase III Pro Forma'!Q247/1000000</f>
        <v>0.70311068050631997</v>
      </c>
      <c r="R250" s="48">
        <f>+'Phase III Pro Forma'!R247/1000000</f>
        <v>0.72420400092150949</v>
      </c>
      <c r="S250" s="48">
        <f>+'Phase III Pro Forma'!S247/1000000</f>
        <v>0.74593012094915478</v>
      </c>
      <c r="T250" s="48">
        <f>+'Phase III Pro Forma'!T247/1000000</f>
        <v>0.76830802457762959</v>
      </c>
      <c r="U250" s="48">
        <f>+'Phase III Pro Forma'!U247/1000000</f>
        <v>0.79135726531495854</v>
      </c>
      <c r="V250" s="48">
        <f>+'Phase III Pro Forma'!V247/1000000</f>
        <v>0.8150979832744073</v>
      </c>
      <c r="W250" s="48">
        <f>+'Phase III Pro Forma'!W247/1000000</f>
        <v>0.83955092277263954</v>
      </c>
      <c r="X250" s="48">
        <f>+'Phase III Pro Forma'!X247/1000000</f>
        <v>0.86473745045581862</v>
      </c>
      <c r="Y250" s="48">
        <f>+'Phase III Pro Forma'!Y247/1000000</f>
        <v>0.89067957396949338</v>
      </c>
      <c r="Z250" s="48">
        <f>+'Phase III Pro Forma'!Z247/1000000</f>
        <v>0.91739996118857814</v>
      </c>
    </row>
    <row r="251" spans="2:26" outlineLevel="1" x14ac:dyDescent="0.2">
      <c r="B251" s="32" t="s">
        <v>325</v>
      </c>
      <c r="F251" s="772">
        <f ca="1">+'Phase III Pro Forma'!F248/1000000</f>
        <v>0</v>
      </c>
      <c r="G251" s="772">
        <f ca="1">+'Phase III Pro Forma'!G248/1000000</f>
        <v>0</v>
      </c>
      <c r="H251" s="772">
        <f ca="1">+'Phase III Pro Forma'!H248/1000000</f>
        <v>0</v>
      </c>
      <c r="I251" s="772">
        <f ca="1">+'Phase III Pro Forma'!I248/1000000</f>
        <v>0.44297230406191823</v>
      </c>
      <c r="J251" s="772">
        <f ca="1">+'Phase III Pro Forma'!J248/1000000</f>
        <v>0.90366350028631326</v>
      </c>
      <c r="K251" s="772">
        <f ca="1">+'Phase III Pro Forma'!K248/1000000</f>
        <v>0.90366350028631326</v>
      </c>
      <c r="L251" s="772">
        <f ca="1">+'Phase III Pro Forma'!L248/1000000</f>
        <v>0.90366350028631326</v>
      </c>
      <c r="M251" s="772">
        <f ca="1">+'Phase III Pro Forma'!M248/1000000</f>
        <v>0.92173677029203938</v>
      </c>
      <c r="N251" s="772">
        <f ca="1">+'Phase III Pro Forma'!N248/1000000</f>
        <v>0.92173677029203938</v>
      </c>
      <c r="O251" s="772">
        <f ca="1">+'Phase III Pro Forma'!O248/1000000</f>
        <v>0.92173677029203938</v>
      </c>
      <c r="P251" s="772">
        <f ca="1">+'Phase III Pro Forma'!P248/1000000</f>
        <v>0.94017150569788033</v>
      </c>
      <c r="Q251" s="772">
        <f ca="1">+'Phase III Pro Forma'!Q248/1000000</f>
        <v>0.94017150569788033</v>
      </c>
      <c r="R251" s="772">
        <f ca="1">+'Phase III Pro Forma'!R248/1000000</f>
        <v>0.94017150569788033</v>
      </c>
      <c r="S251" s="772">
        <f ca="1">+'Phase III Pro Forma'!S248/1000000</f>
        <v>0.9589749358118379</v>
      </c>
      <c r="T251" s="772">
        <f ca="1">+'Phase III Pro Forma'!T248/1000000</f>
        <v>0.9589749358118379</v>
      </c>
      <c r="U251" s="772">
        <f ca="1">+'Phase III Pro Forma'!U248/1000000</f>
        <v>0.9589749358118379</v>
      </c>
      <c r="V251" s="772">
        <f ca="1">+'Phase III Pro Forma'!V248/1000000</f>
        <v>0.97815443452807482</v>
      </c>
      <c r="W251" s="772">
        <f ca="1">+'Phase III Pro Forma'!W248/1000000</f>
        <v>0.97815443452807482</v>
      </c>
      <c r="X251" s="772">
        <f ca="1">+'Phase III Pro Forma'!X248/1000000</f>
        <v>0.97815443452807482</v>
      </c>
      <c r="Y251" s="772">
        <f ca="1">+'Phase III Pro Forma'!Y248/1000000</f>
        <v>0.99771752321863627</v>
      </c>
      <c r="Z251" s="772">
        <f ca="1">+'Phase III Pro Forma'!Z248/1000000</f>
        <v>0.99771752321863627</v>
      </c>
    </row>
    <row r="252" spans="2:26" outlineLevel="1" x14ac:dyDescent="0.2">
      <c r="B252" s="136" t="s">
        <v>249</v>
      </c>
      <c r="C252" s="136"/>
      <c r="D252" s="136"/>
      <c r="E252" s="136"/>
      <c r="F252" s="773">
        <f ca="1">+SUM(F250:F251)</f>
        <v>0</v>
      </c>
      <c r="G252" s="773">
        <f t="shared" ref="G252" ca="1" si="78">+SUM(G250:G251)</f>
        <v>0</v>
      </c>
      <c r="H252" s="773">
        <f t="shared" ref="H252:Z252" ca="1" si="79">+SUM(H250:H251)</f>
        <v>0</v>
      </c>
      <c r="I252" s="773">
        <f t="shared" ca="1" si="79"/>
        <v>0.72049333603014021</v>
      </c>
      <c r="J252" s="773">
        <f t="shared" ca="1" si="79"/>
        <v>1.475356826140851</v>
      </c>
      <c r="K252" s="773">
        <f t="shared" ca="1" si="79"/>
        <v>1.4925076259164869</v>
      </c>
      <c r="L252" s="773">
        <f t="shared" ca="1" si="79"/>
        <v>1.510172949685392</v>
      </c>
      <c r="M252" s="773">
        <f t="shared" ca="1" si="79"/>
        <v>1.5464415031730905</v>
      </c>
      <c r="N252" s="773">
        <f t="shared" ca="1" si="79"/>
        <v>1.5651826451595223</v>
      </c>
      <c r="O252" s="773">
        <f t="shared" ca="1" si="79"/>
        <v>1.5844860214055467</v>
      </c>
      <c r="P252" s="773">
        <f t="shared" ca="1" si="79"/>
        <v>1.6228032343447927</v>
      </c>
      <c r="Q252" s="773">
        <f t="shared" ca="1" si="79"/>
        <v>1.6432821862042002</v>
      </c>
      <c r="R252" s="773">
        <f t="shared" ca="1" si="79"/>
        <v>1.6643755066193897</v>
      </c>
      <c r="S252" s="773">
        <f t="shared" ca="1" si="79"/>
        <v>1.7049050567609927</v>
      </c>
      <c r="T252" s="773">
        <f t="shared" ca="1" si="79"/>
        <v>1.7272829603894675</v>
      </c>
      <c r="U252" s="773">
        <f t="shared" ca="1" si="79"/>
        <v>1.7503322011267963</v>
      </c>
      <c r="V252" s="773">
        <f t="shared" ca="1" si="79"/>
        <v>1.7932524178024822</v>
      </c>
      <c r="W252" s="773">
        <f t="shared" ca="1" si="79"/>
        <v>1.8177053573007145</v>
      </c>
      <c r="X252" s="773">
        <f t="shared" ca="1" si="79"/>
        <v>1.8428918849838936</v>
      </c>
      <c r="Y252" s="773">
        <f t="shared" ca="1" si="79"/>
        <v>1.8883970971881296</v>
      </c>
      <c r="Z252" s="773">
        <f t="shared" ca="1" si="79"/>
        <v>1.9151174844072143</v>
      </c>
    </row>
    <row r="253" spans="2:26" ht="5" customHeight="1" outlineLevel="1" x14ac:dyDescent="0.2">
      <c r="B253" s="32"/>
    </row>
    <row r="254" spans="2:26" outlineLevel="1" x14ac:dyDescent="0.2">
      <c r="B254" s="137" t="s">
        <v>793</v>
      </c>
      <c r="C254" s="137"/>
      <c r="D254" s="137"/>
      <c r="E254" s="137"/>
      <c r="F254" s="774">
        <f ca="1">+'Phase III Pro Forma'!F251/1000000</f>
        <v>0</v>
      </c>
      <c r="G254" s="774">
        <f ca="1">+'Phase III Pro Forma'!G251/1000000</f>
        <v>0</v>
      </c>
      <c r="H254" s="774">
        <f ca="1">+'Phase III Pro Forma'!H251/1000000</f>
        <v>0</v>
      </c>
      <c r="I254" s="774">
        <f ca="1">+'Phase III Pro Forma'!I251/1000000</f>
        <v>1.4323967654325123</v>
      </c>
      <c r="J254" s="774">
        <f ca="1">+'Phase III Pro Forma'!J251/1000000</f>
        <v>2.864793530865025</v>
      </c>
      <c r="K254" s="774">
        <f ca="1">+'Phase III Pro Forma'!K251/1000000</f>
        <v>2.864793530865025</v>
      </c>
      <c r="L254" s="774">
        <f ca="1">+'Phase III Pro Forma'!L251/1000000</f>
        <v>3.1512728839515272</v>
      </c>
      <c r="M254" s="774">
        <f ca="1">+'Phase III Pro Forma'!M251/1000000</f>
        <v>3.1512728839515272</v>
      </c>
      <c r="N254" s="774">
        <f ca="1">+'Phase III Pro Forma'!N251/1000000</f>
        <v>3.1512728839515272</v>
      </c>
      <c r="O254" s="774">
        <f ca="1">+'Phase III Pro Forma'!O251/1000000</f>
        <v>3.1512728839515272</v>
      </c>
      <c r="P254" s="774">
        <f ca="1">+'Phase III Pro Forma'!P251/1000000</f>
        <v>3.1512728839515272</v>
      </c>
      <c r="Q254" s="774">
        <f ca="1">+'Phase III Pro Forma'!Q251/1000000</f>
        <v>3.4664001723466797</v>
      </c>
      <c r="R254" s="774">
        <f ca="1">+'Phase III Pro Forma'!R251/1000000</f>
        <v>3.4664001723466797</v>
      </c>
      <c r="S254" s="774">
        <f ca="1">+'Phase III Pro Forma'!S251/1000000</f>
        <v>3.4664001723466793</v>
      </c>
      <c r="T254" s="774">
        <f ca="1">+'Phase III Pro Forma'!T251/1000000</f>
        <v>3.4664001723466789</v>
      </c>
      <c r="U254" s="774">
        <f ca="1">+'Phase III Pro Forma'!U251/1000000</f>
        <v>3.4664001723466793</v>
      </c>
      <c r="V254" s="774">
        <f ca="1">+'Phase III Pro Forma'!V251/1000000</f>
        <v>3.8130401895813484</v>
      </c>
      <c r="W254" s="774">
        <f ca="1">+'Phase III Pro Forma'!W251/1000000</f>
        <v>3.8130401895813475</v>
      </c>
      <c r="X254" s="774">
        <f ca="1">+'Phase III Pro Forma'!X251/1000000</f>
        <v>3.8130401895813475</v>
      </c>
      <c r="Y254" s="774">
        <f ca="1">+'Phase III Pro Forma'!Y251/1000000</f>
        <v>3.8130401895813479</v>
      </c>
      <c r="Z254" s="774">
        <f ca="1">+'Phase III Pro Forma'!Z251/1000000</f>
        <v>3.8130401895813475</v>
      </c>
    </row>
    <row r="255" spans="2:26" outlineLevel="1" x14ac:dyDescent="0.2">
      <c r="B255" s="779" t="s">
        <v>254</v>
      </c>
      <c r="C255" s="780"/>
      <c r="D255" s="780"/>
      <c r="E255" s="780"/>
      <c r="F255" s="781" t="str">
        <f ca="1">+IFERROR(F254/F248,"")</f>
        <v/>
      </c>
      <c r="G255" s="781" t="str">
        <f t="shared" ref="G255:Z255" ca="1" si="80">+IFERROR(G254/G248,"")</f>
        <v/>
      </c>
      <c r="H255" s="781" t="str">
        <f t="shared" ca="1" si="80"/>
        <v/>
      </c>
      <c r="I255" s="782">
        <f t="shared" ca="1" si="80"/>
        <v>0.66533668600146201</v>
      </c>
      <c r="J255" s="782">
        <f t="shared" ca="1" si="80"/>
        <v>0.66006780761423911</v>
      </c>
      <c r="K255" s="782">
        <f t="shared" ca="1" si="80"/>
        <v>0.65746971067317372</v>
      </c>
      <c r="L255" s="782">
        <f t="shared" ca="1" si="80"/>
        <v>0.67602906832296383</v>
      </c>
      <c r="M255" s="782">
        <f t="shared" ca="1" si="80"/>
        <v>0.67080980754991415</v>
      </c>
      <c r="N255" s="782">
        <f t="shared" ca="1" si="80"/>
        <v>0.66814430126631019</v>
      </c>
      <c r="O255" s="782">
        <f t="shared" ca="1" si="80"/>
        <v>0.66542088542278166</v>
      </c>
      <c r="P255" s="782">
        <f t="shared" ca="1" si="80"/>
        <v>0.66008015076979809</v>
      </c>
      <c r="Q255" s="782">
        <f t="shared" ca="1" si="80"/>
        <v>0.67839836786444807</v>
      </c>
      <c r="R255" s="782">
        <f t="shared" ca="1" si="80"/>
        <v>0.67560937940775712</v>
      </c>
      <c r="S255" s="782">
        <f t="shared" ca="1" si="80"/>
        <v>0.67031436335171024</v>
      </c>
      <c r="T255" s="782">
        <f t="shared" ca="1" si="80"/>
        <v>0.66742619519810842</v>
      </c>
      <c r="U255" s="782">
        <f t="shared" ca="1" si="80"/>
        <v>0.6644772865813382</v>
      </c>
      <c r="V255" s="782">
        <f t="shared" ca="1" si="80"/>
        <v>0.68013577895654986</v>
      </c>
      <c r="W255" s="782">
        <f t="shared" ca="1" si="80"/>
        <v>0.67718211697432484</v>
      </c>
      <c r="X255" s="782">
        <f t="shared" ca="1" si="80"/>
        <v>0.67416654572791124</v>
      </c>
      <c r="Y255" s="782">
        <f t="shared" ca="1" si="80"/>
        <v>0.66878578116253828</v>
      </c>
      <c r="Z255" s="782">
        <f t="shared" ca="1" si="80"/>
        <v>0.66566606692694219</v>
      </c>
    </row>
    <row r="256" spans="2:26" outlineLevel="1" x14ac:dyDescent="0.2">
      <c r="B256" s="779" t="s">
        <v>188</v>
      </c>
      <c r="C256" s="780"/>
      <c r="D256" s="780"/>
      <c r="E256" s="780"/>
      <c r="F256" s="783">
        <f ca="1">+'Phase III Pro Forma'!F253/1000000</f>
        <v>0</v>
      </c>
      <c r="G256" s="783">
        <f ca="1">+'Phase III Pro Forma'!G253/1000000</f>
        <v>0</v>
      </c>
      <c r="H256" s="783">
        <f ca="1">+'Phase III Pro Forma'!H253/1000000</f>
        <v>0</v>
      </c>
      <c r="I256" s="783">
        <f ca="1">+'Phase III Pro Forma'!I253/1000000</f>
        <v>26.043577553318404</v>
      </c>
      <c r="J256" s="783">
        <f ca="1">+'Phase III Pro Forma'!J253/1000000</f>
        <v>52.087155106636814</v>
      </c>
      <c r="K256" s="783">
        <f ca="1">+'Phase III Pro Forma'!K253/1000000</f>
        <v>52.087155106636814</v>
      </c>
      <c r="L256" s="783">
        <f ca="1">+'Phase III Pro Forma'!L253/1000000</f>
        <v>57.295870617300494</v>
      </c>
      <c r="M256" s="783">
        <f ca="1">+'Phase III Pro Forma'!M253/1000000</f>
        <v>57.295870617300494</v>
      </c>
      <c r="N256" s="783">
        <f ca="1">+'Phase III Pro Forma'!N253/1000000</f>
        <v>57.295870617300494</v>
      </c>
      <c r="O256" s="783">
        <f ca="1">+'Phase III Pro Forma'!O253/1000000</f>
        <v>57.295870617300494</v>
      </c>
      <c r="P256" s="783">
        <f ca="1">+'Phase III Pro Forma'!P253/1000000</f>
        <v>57.295870617300494</v>
      </c>
      <c r="Q256" s="783">
        <f ca="1">+'Phase III Pro Forma'!Q253/1000000</f>
        <v>63.025457679030545</v>
      </c>
      <c r="R256" s="783">
        <f ca="1">+'Phase III Pro Forma'!R253/1000000</f>
        <v>63.025457679030545</v>
      </c>
      <c r="S256" s="783">
        <f ca="1">+'Phase III Pro Forma'!S253/1000000</f>
        <v>63.025457679030538</v>
      </c>
      <c r="T256" s="783">
        <f ca="1">+'Phase III Pro Forma'!T253/1000000</f>
        <v>63.025457679030531</v>
      </c>
      <c r="U256" s="783">
        <f ca="1">+'Phase III Pro Forma'!U253/1000000</f>
        <v>63.025457679030538</v>
      </c>
      <c r="V256" s="783">
        <f ca="1">+'Phase III Pro Forma'!V253/1000000</f>
        <v>69.328003446933607</v>
      </c>
      <c r="W256" s="783">
        <f ca="1">+'Phase III Pro Forma'!W253/1000000</f>
        <v>69.328003446933593</v>
      </c>
      <c r="X256" s="783">
        <f ca="1">+'Phase III Pro Forma'!X253/1000000</f>
        <v>69.328003446933593</v>
      </c>
      <c r="Y256" s="783">
        <f ca="1">+'Phase III Pro Forma'!Y253/1000000</f>
        <v>69.328003446933593</v>
      </c>
      <c r="Z256" s="783">
        <f ca="1">+'Phase III Pro Forma'!Z253/1000000</f>
        <v>69.328003446933593</v>
      </c>
    </row>
    <row r="257" spans="2:26" outlineLevel="1" x14ac:dyDescent="0.2"/>
    <row r="258" spans="2:26" outlineLevel="1" x14ac:dyDescent="0.2">
      <c r="B258" s="147" t="s">
        <v>31</v>
      </c>
      <c r="F258" s="776">
        <f>+F235</f>
        <v>45657</v>
      </c>
      <c r="G258" s="776">
        <f t="shared" ref="G258:Z258" si="81">+G235</f>
        <v>46022</v>
      </c>
      <c r="H258" s="776">
        <f t="shared" si="81"/>
        <v>46387</v>
      </c>
      <c r="I258" s="776">
        <f t="shared" si="81"/>
        <v>46752</v>
      </c>
      <c r="J258" s="776">
        <f t="shared" si="81"/>
        <v>47118</v>
      </c>
      <c r="K258" s="776">
        <f t="shared" si="81"/>
        <v>47483</v>
      </c>
      <c r="L258" s="776">
        <f t="shared" si="81"/>
        <v>47848</v>
      </c>
      <c r="M258" s="776">
        <f t="shared" si="81"/>
        <v>48213</v>
      </c>
      <c r="N258" s="776">
        <f t="shared" si="81"/>
        <v>48579</v>
      </c>
      <c r="O258" s="776">
        <f t="shared" si="81"/>
        <v>48944</v>
      </c>
      <c r="P258" s="776">
        <f t="shared" si="81"/>
        <v>49309</v>
      </c>
      <c r="Q258" s="776">
        <f t="shared" si="81"/>
        <v>49674</v>
      </c>
      <c r="R258" s="776">
        <f t="shared" si="81"/>
        <v>50040</v>
      </c>
      <c r="S258" s="776">
        <f t="shared" si="81"/>
        <v>50405</v>
      </c>
      <c r="T258" s="776">
        <f t="shared" si="81"/>
        <v>50770</v>
      </c>
      <c r="U258" s="776">
        <f t="shared" si="81"/>
        <v>51135</v>
      </c>
      <c r="V258" s="776">
        <f t="shared" si="81"/>
        <v>51501</v>
      </c>
      <c r="W258" s="776">
        <f t="shared" si="81"/>
        <v>51866</v>
      </c>
      <c r="X258" s="776">
        <f t="shared" si="81"/>
        <v>52231</v>
      </c>
      <c r="Y258" s="776">
        <f t="shared" si="81"/>
        <v>52596</v>
      </c>
      <c r="Z258" s="776">
        <f t="shared" si="81"/>
        <v>52962</v>
      </c>
    </row>
    <row r="259" spans="2:26" hidden="1" outlineLevel="1" x14ac:dyDescent="0.2">
      <c r="B259" s="788" t="s">
        <v>331</v>
      </c>
      <c r="C259" s="793"/>
      <c r="D259" s="793"/>
      <c r="E259" s="793"/>
      <c r="F259" s="792">
        <v>0</v>
      </c>
      <c r="G259" s="792">
        <f t="shared" ref="G259:Z259" si="82">+F262</f>
        <v>0</v>
      </c>
      <c r="H259" s="792">
        <f t="shared" si="82"/>
        <v>0</v>
      </c>
      <c r="I259" s="792">
        <f t="shared" si="82"/>
        <v>0</v>
      </c>
      <c r="J259" s="792">
        <f t="shared" ca="1" si="82"/>
        <v>39.065366329977607</v>
      </c>
      <c r="K259" s="792">
        <f t="shared" ca="1" si="82"/>
        <v>39.065366329977607</v>
      </c>
      <c r="L259" s="792">
        <f t="shared" ca="1" si="82"/>
        <v>39.065366329977607</v>
      </c>
      <c r="M259" s="792">
        <f t="shared" ca="1" si="82"/>
        <v>39.065366329977607</v>
      </c>
      <c r="N259" s="792">
        <f t="shared" ca="1" si="82"/>
        <v>39.065366329977607</v>
      </c>
      <c r="O259" s="792">
        <f t="shared" ca="1" si="82"/>
        <v>39.065366329977607</v>
      </c>
      <c r="P259" s="792">
        <f t="shared" ca="1" si="82"/>
        <v>39.065366329977607</v>
      </c>
      <c r="Q259" s="792">
        <f t="shared" ca="1" si="82"/>
        <v>39.065366329977607</v>
      </c>
      <c r="R259" s="792">
        <f t="shared" ca="1" si="82"/>
        <v>39.065366329977607</v>
      </c>
      <c r="S259" s="792">
        <f t="shared" ca="1" si="82"/>
        <v>39.065366329977607</v>
      </c>
      <c r="T259" s="792">
        <f t="shared" ca="1" si="82"/>
        <v>39.065366329977607</v>
      </c>
      <c r="U259" s="792">
        <f t="shared" ca="1" si="82"/>
        <v>39.065366329977607</v>
      </c>
      <c r="V259" s="792">
        <f t="shared" ca="1" si="82"/>
        <v>39.065366329977607</v>
      </c>
      <c r="W259" s="792">
        <f t="shared" ca="1" si="82"/>
        <v>39.065366329977607</v>
      </c>
      <c r="X259" s="792">
        <f t="shared" ca="1" si="82"/>
        <v>39.065366329977607</v>
      </c>
      <c r="Y259" s="792">
        <f t="shared" ca="1" si="82"/>
        <v>39.065366329977607</v>
      </c>
      <c r="Z259" s="792">
        <f t="shared" ca="1" si="82"/>
        <v>39.065366329977607</v>
      </c>
    </row>
    <row r="260" spans="2:26" outlineLevel="1" x14ac:dyDescent="0.2">
      <c r="B260" s="32" t="s">
        <v>342</v>
      </c>
      <c r="F260" s="48">
        <f>+'Phase III Pro Forma'!F257/1000000</f>
        <v>0</v>
      </c>
      <c r="G260" s="48">
        <f>+'Phase III Pro Forma'!G257/1000000</f>
        <v>0</v>
      </c>
      <c r="H260" s="48">
        <f>+'Phase III Pro Forma'!H257/1000000</f>
        <v>0</v>
      </c>
      <c r="I260" s="48">
        <f ca="1">+'Phase III Pro Forma'!I257/1000000</f>
        <v>39.065366329977607</v>
      </c>
      <c r="J260" s="48">
        <f>+'Phase III Pro Forma'!J257/1000000</f>
        <v>0</v>
      </c>
      <c r="K260" s="48">
        <f>+'Phase III Pro Forma'!K257/1000000</f>
        <v>0</v>
      </c>
      <c r="L260" s="48">
        <f>+'Phase III Pro Forma'!L257/1000000</f>
        <v>0</v>
      </c>
      <c r="M260" s="48">
        <f>+'Phase III Pro Forma'!M257/1000000</f>
        <v>0</v>
      </c>
      <c r="N260" s="48">
        <f>+'Phase III Pro Forma'!N257/1000000</f>
        <v>0</v>
      </c>
      <c r="O260" s="48">
        <f>+'Phase III Pro Forma'!O257/1000000</f>
        <v>0</v>
      </c>
      <c r="P260" s="48">
        <f>+'Phase III Pro Forma'!P257/1000000</f>
        <v>0</v>
      </c>
      <c r="Q260" s="48">
        <f>+'Phase III Pro Forma'!Q257/1000000</f>
        <v>0</v>
      </c>
      <c r="R260" s="48">
        <f>+'Phase III Pro Forma'!R257/1000000</f>
        <v>0</v>
      </c>
      <c r="S260" s="48">
        <f>+'Phase III Pro Forma'!S257/1000000</f>
        <v>0</v>
      </c>
      <c r="T260" s="48">
        <f>+'Phase III Pro Forma'!T257/1000000</f>
        <v>0</v>
      </c>
      <c r="U260" s="48">
        <f>+'Phase III Pro Forma'!U257/1000000</f>
        <v>0</v>
      </c>
      <c r="V260" s="48">
        <f>+'Phase III Pro Forma'!V257/1000000</f>
        <v>0</v>
      </c>
      <c r="W260" s="48">
        <f>+'Phase III Pro Forma'!W257/1000000</f>
        <v>0</v>
      </c>
      <c r="X260" s="48">
        <f>+'Phase III Pro Forma'!X257/1000000</f>
        <v>0</v>
      </c>
      <c r="Y260" s="48">
        <f>+'Phase III Pro Forma'!Y257/1000000</f>
        <v>0</v>
      </c>
      <c r="Z260" s="48">
        <f>+'Phase III Pro Forma'!Z257/1000000</f>
        <v>0</v>
      </c>
    </row>
    <row r="261" spans="2:26" outlineLevel="1" x14ac:dyDescent="0.2">
      <c r="B261" s="32" t="s">
        <v>162</v>
      </c>
      <c r="F261" s="772">
        <f>+'Phase III Pro Forma'!F258/1000000</f>
        <v>0</v>
      </c>
      <c r="G261" s="772">
        <f>+'Phase III Pro Forma'!G258/1000000</f>
        <v>0</v>
      </c>
      <c r="H261" s="772">
        <f>+'Phase III Pro Forma'!H258/1000000</f>
        <v>0</v>
      </c>
      <c r="I261" s="772">
        <f>+'Phase III Pro Forma'!I258/1000000</f>
        <v>0</v>
      </c>
      <c r="J261" s="772">
        <f>+'Phase III Pro Forma'!J258/1000000</f>
        <v>0</v>
      </c>
      <c r="K261" s="772">
        <f>+'Phase III Pro Forma'!K258/1000000</f>
        <v>0</v>
      </c>
      <c r="L261" s="772">
        <f>+'Phase III Pro Forma'!L258/1000000</f>
        <v>0</v>
      </c>
      <c r="M261" s="772">
        <f>+'Phase III Pro Forma'!M258/1000000</f>
        <v>0</v>
      </c>
      <c r="N261" s="772">
        <f>+'Phase III Pro Forma'!N258/1000000</f>
        <v>0</v>
      </c>
      <c r="O261" s="772">
        <f>+'Phase III Pro Forma'!O258/1000000</f>
        <v>0</v>
      </c>
      <c r="P261" s="772">
        <f>+'Phase III Pro Forma'!P258/1000000</f>
        <v>0</v>
      </c>
      <c r="Q261" s="772">
        <f>+'Phase III Pro Forma'!Q258/1000000</f>
        <v>0</v>
      </c>
      <c r="R261" s="772">
        <f>+'Phase III Pro Forma'!R258/1000000</f>
        <v>0</v>
      </c>
      <c r="S261" s="772">
        <f>+'Phase III Pro Forma'!S258/1000000</f>
        <v>0</v>
      </c>
      <c r="T261" s="772">
        <f>+'Phase III Pro Forma'!T258/1000000</f>
        <v>0</v>
      </c>
      <c r="U261" s="772">
        <f>+'Phase III Pro Forma'!U258/1000000</f>
        <v>0</v>
      </c>
      <c r="V261" s="772">
        <f>+'Phase III Pro Forma'!V258/1000000</f>
        <v>0</v>
      </c>
      <c r="W261" s="772">
        <f>+'Phase III Pro Forma'!W258/1000000</f>
        <v>0</v>
      </c>
      <c r="X261" s="772">
        <f>+'Phase III Pro Forma'!X258/1000000</f>
        <v>0</v>
      </c>
      <c r="Y261" s="772">
        <f>+'Phase III Pro Forma'!Y258/1000000</f>
        <v>0</v>
      </c>
      <c r="Z261" s="772">
        <f>+'Phase III Pro Forma'!Z258/1000000</f>
        <v>0</v>
      </c>
    </row>
    <row r="262" spans="2:26" outlineLevel="1" x14ac:dyDescent="0.2">
      <c r="B262" s="32" t="s">
        <v>785</v>
      </c>
      <c r="F262" s="772">
        <f t="shared" ref="F262:N262" si="83">+SUM(F259:F261)</f>
        <v>0</v>
      </c>
      <c r="G262" s="772">
        <f t="shared" si="83"/>
        <v>0</v>
      </c>
      <c r="H262" s="772">
        <f t="shared" si="83"/>
        <v>0</v>
      </c>
      <c r="I262" s="772">
        <f t="shared" ca="1" si="83"/>
        <v>39.065366329977607</v>
      </c>
      <c r="J262" s="772">
        <f t="shared" ca="1" si="83"/>
        <v>39.065366329977607</v>
      </c>
      <c r="K262" s="772">
        <f t="shared" ca="1" si="83"/>
        <v>39.065366329977607</v>
      </c>
      <c r="L262" s="772">
        <f t="shared" ca="1" si="83"/>
        <v>39.065366329977607</v>
      </c>
      <c r="M262" s="772">
        <f t="shared" ca="1" si="83"/>
        <v>39.065366329977607</v>
      </c>
      <c r="N262" s="772">
        <f t="shared" ca="1" si="83"/>
        <v>39.065366329977607</v>
      </c>
      <c r="O262" s="772">
        <f t="shared" ref="O262" ca="1" si="84">+SUM(O259:O261)</f>
        <v>39.065366329977607</v>
      </c>
      <c r="P262" s="772">
        <f t="shared" ref="P262:Z262" ca="1" si="85">+SUM(P259:P261)</f>
        <v>39.065366329977607</v>
      </c>
      <c r="Q262" s="772">
        <f t="shared" ca="1" si="85"/>
        <v>39.065366329977607</v>
      </c>
      <c r="R262" s="772">
        <f t="shared" ca="1" si="85"/>
        <v>39.065366329977607</v>
      </c>
      <c r="S262" s="772">
        <f t="shared" ca="1" si="85"/>
        <v>39.065366329977607</v>
      </c>
      <c r="T262" s="772">
        <f t="shared" ca="1" si="85"/>
        <v>39.065366329977607</v>
      </c>
      <c r="U262" s="772">
        <f t="shared" ca="1" si="85"/>
        <v>39.065366329977607</v>
      </c>
      <c r="V262" s="772">
        <f t="shared" ca="1" si="85"/>
        <v>39.065366329977607</v>
      </c>
      <c r="W262" s="772">
        <f t="shared" ca="1" si="85"/>
        <v>39.065366329977607</v>
      </c>
      <c r="X262" s="772">
        <f t="shared" ca="1" si="85"/>
        <v>39.065366329977607</v>
      </c>
      <c r="Y262" s="772">
        <f t="shared" ca="1" si="85"/>
        <v>39.065366329977607</v>
      </c>
      <c r="Z262" s="772">
        <f t="shared" ca="1" si="85"/>
        <v>39.065366329977607</v>
      </c>
    </row>
    <row r="263" spans="2:26" ht="5" customHeight="1" outlineLevel="1" x14ac:dyDescent="0.2"/>
    <row r="264" spans="2:26" outlineLevel="1" x14ac:dyDescent="0.2">
      <c r="B264" s="40" t="s">
        <v>332</v>
      </c>
      <c r="F264" s="48">
        <f>+'Phase III Pro Forma'!F261/1000000</f>
        <v>0</v>
      </c>
      <c r="G264" s="48">
        <f>+'Phase III Pro Forma'!G261/1000000</f>
        <v>0</v>
      </c>
      <c r="H264" s="48">
        <f>+'Phase III Pro Forma'!H261/1000000</f>
        <v>0</v>
      </c>
      <c r="I264" s="48">
        <f ca="1">+'Phase III Pro Forma'!I261/1000000</f>
        <v>2.1485951481487686</v>
      </c>
      <c r="J264" s="48">
        <f ca="1">+'Phase III Pro Forma'!J261/1000000</f>
        <v>2.1485951481487686</v>
      </c>
      <c r="K264" s="48">
        <f ca="1">+'Phase III Pro Forma'!K261/1000000</f>
        <v>2.1485951481487686</v>
      </c>
      <c r="L264" s="48">
        <f ca="1">+'Phase III Pro Forma'!L261/1000000</f>
        <v>2.1485951481487686</v>
      </c>
      <c r="M264" s="48">
        <f ca="1">+'Phase III Pro Forma'!M261/1000000</f>
        <v>2.1485951481487686</v>
      </c>
      <c r="N264" s="48">
        <f ca="1">+'Phase III Pro Forma'!N261/1000000</f>
        <v>2.1485951481487686</v>
      </c>
      <c r="O264" s="48">
        <f ca="1">+'Phase III Pro Forma'!O261/1000000</f>
        <v>2.1485951481487686</v>
      </c>
      <c r="P264" s="48">
        <f ca="1">+'Phase III Pro Forma'!P261/1000000</f>
        <v>2.1485951481487686</v>
      </c>
      <c r="Q264" s="48">
        <f ca="1">+'Phase III Pro Forma'!Q261/1000000</f>
        <v>2.1485951481487686</v>
      </c>
      <c r="R264" s="48">
        <f ca="1">+'Phase III Pro Forma'!R261/1000000</f>
        <v>2.1485951481487686</v>
      </c>
      <c r="S264" s="48">
        <f ca="1">+'Phase III Pro Forma'!S261/1000000</f>
        <v>2.1485951481487686</v>
      </c>
      <c r="T264" s="48">
        <f ca="1">+'Phase III Pro Forma'!T261/1000000</f>
        <v>2.1485951481487686</v>
      </c>
      <c r="U264" s="48">
        <f ca="1">+'Phase III Pro Forma'!U261/1000000</f>
        <v>2.1485951481487686</v>
      </c>
      <c r="V264" s="48">
        <f ca="1">+'Phase III Pro Forma'!V261/1000000</f>
        <v>2.1485951481487686</v>
      </c>
      <c r="W264" s="48">
        <f ca="1">+'Phase III Pro Forma'!W261/1000000</f>
        <v>2.1485951481487686</v>
      </c>
      <c r="X264" s="48">
        <f ca="1">+'Phase III Pro Forma'!X261/1000000</f>
        <v>2.1485951481487686</v>
      </c>
      <c r="Y264" s="48">
        <f ca="1">+'Phase III Pro Forma'!Y261/1000000</f>
        <v>2.1485951481487686</v>
      </c>
      <c r="Z264" s="48">
        <f ca="1">+'Phase III Pro Forma'!Z261/1000000</f>
        <v>2.1485951481487686</v>
      </c>
    </row>
    <row r="265" spans="2:26" outlineLevel="1" x14ac:dyDescent="0.2">
      <c r="B265" s="136" t="s">
        <v>341</v>
      </c>
      <c r="C265" s="136"/>
      <c r="D265" s="136"/>
      <c r="E265" s="136"/>
      <c r="F265" s="773">
        <f t="shared" ref="F265:K265" si="86">+F264-F261</f>
        <v>0</v>
      </c>
      <c r="G265" s="773">
        <f t="shared" si="86"/>
        <v>0</v>
      </c>
      <c r="H265" s="773">
        <f t="shared" si="86"/>
        <v>0</v>
      </c>
      <c r="I265" s="773">
        <f t="shared" ca="1" si="86"/>
        <v>2.1485951481487686</v>
      </c>
      <c r="J265" s="773">
        <f t="shared" ca="1" si="86"/>
        <v>2.1485951481487686</v>
      </c>
      <c r="K265" s="773">
        <f t="shared" ca="1" si="86"/>
        <v>2.1485951481487686</v>
      </c>
      <c r="L265" s="773">
        <f ca="1">+L264-L261</f>
        <v>2.1485951481487686</v>
      </c>
      <c r="M265" s="773">
        <f t="shared" ref="M265:Z265" ca="1" si="87">+M264-M261</f>
        <v>2.1485951481487686</v>
      </c>
      <c r="N265" s="773">
        <f t="shared" ca="1" si="87"/>
        <v>2.1485951481487686</v>
      </c>
      <c r="O265" s="773">
        <f t="shared" ca="1" si="87"/>
        <v>2.1485951481487686</v>
      </c>
      <c r="P265" s="773">
        <f t="shared" ca="1" si="87"/>
        <v>2.1485951481487686</v>
      </c>
      <c r="Q265" s="773">
        <f t="shared" ca="1" si="87"/>
        <v>2.1485951481487686</v>
      </c>
      <c r="R265" s="773">
        <f t="shared" ca="1" si="87"/>
        <v>2.1485951481487686</v>
      </c>
      <c r="S265" s="773">
        <f t="shared" ca="1" si="87"/>
        <v>2.1485951481487686</v>
      </c>
      <c r="T265" s="773">
        <f t="shared" ca="1" si="87"/>
        <v>2.1485951481487686</v>
      </c>
      <c r="U265" s="773">
        <f t="shared" ca="1" si="87"/>
        <v>2.1485951481487686</v>
      </c>
      <c r="V265" s="773">
        <f t="shared" ca="1" si="87"/>
        <v>2.1485951481487686</v>
      </c>
      <c r="W265" s="773">
        <f t="shared" ca="1" si="87"/>
        <v>2.1485951481487686</v>
      </c>
      <c r="X265" s="773">
        <f t="shared" ca="1" si="87"/>
        <v>2.1485951481487686</v>
      </c>
      <c r="Y265" s="773">
        <f t="shared" ca="1" si="87"/>
        <v>2.1485951481487686</v>
      </c>
      <c r="Z265" s="773">
        <f t="shared" ca="1" si="87"/>
        <v>2.1485951481487686</v>
      </c>
    </row>
    <row r="266" spans="2:26" outlineLevel="1" x14ac:dyDescent="0.2">
      <c r="B266" s="145" t="s">
        <v>181</v>
      </c>
      <c r="F266" s="178" t="str">
        <f t="shared" ref="F266:J266" ca="1" si="88">+IFERROR(F254/F265,"")</f>
        <v/>
      </c>
      <c r="G266" s="178" t="str">
        <f t="shared" ca="1" si="88"/>
        <v/>
      </c>
      <c r="H266" s="178" t="str">
        <f t="shared" ca="1" si="88"/>
        <v/>
      </c>
      <c r="I266" s="178">
        <f t="shared" ca="1" si="88"/>
        <v>0.66666666666666663</v>
      </c>
      <c r="J266" s="178">
        <f t="shared" ca="1" si="88"/>
        <v>1.3333333333333335</v>
      </c>
      <c r="K266" s="178">
        <f ca="1">+IFERROR(K254/K265,"")</f>
        <v>1.3333333333333335</v>
      </c>
      <c r="L266" s="178">
        <f t="shared" ref="L266:Z266" ca="1" si="89">+IFERROR(L254/L265,"")</f>
        <v>1.4666666666666666</v>
      </c>
      <c r="M266" s="178">
        <f t="shared" ca="1" si="89"/>
        <v>1.4666666666666666</v>
      </c>
      <c r="N266" s="178">
        <f t="shared" ca="1" si="89"/>
        <v>1.4666666666666666</v>
      </c>
      <c r="O266" s="178">
        <f t="shared" ca="1" si="89"/>
        <v>1.4666666666666666</v>
      </c>
      <c r="P266" s="178">
        <f t="shared" ca="1" si="89"/>
        <v>1.4666666666666666</v>
      </c>
      <c r="Q266" s="178">
        <f t="shared" ca="1" si="89"/>
        <v>1.6133333333333333</v>
      </c>
      <c r="R266" s="178">
        <f t="shared" ca="1" si="89"/>
        <v>1.6133333333333333</v>
      </c>
      <c r="S266" s="178">
        <f t="shared" ca="1" si="89"/>
        <v>1.6133333333333331</v>
      </c>
      <c r="T266" s="178">
        <f t="shared" ca="1" si="89"/>
        <v>1.6133333333333328</v>
      </c>
      <c r="U266" s="178">
        <f t="shared" ca="1" si="89"/>
        <v>1.6133333333333331</v>
      </c>
      <c r="V266" s="178">
        <f t="shared" ca="1" si="89"/>
        <v>1.7746666666666668</v>
      </c>
      <c r="W266" s="178">
        <f t="shared" ca="1" si="89"/>
        <v>1.7746666666666664</v>
      </c>
      <c r="X266" s="178">
        <f t="shared" ca="1" si="89"/>
        <v>1.7746666666666664</v>
      </c>
      <c r="Y266" s="178">
        <f t="shared" ca="1" si="89"/>
        <v>1.7746666666666666</v>
      </c>
      <c r="Z266" s="178">
        <f t="shared" ca="1" si="89"/>
        <v>1.7746666666666664</v>
      </c>
    </row>
    <row r="267" spans="2:26" ht="5" customHeight="1" outlineLevel="1" x14ac:dyDescent="0.2"/>
    <row r="268" spans="2:26" outlineLevel="1" x14ac:dyDescent="0.2">
      <c r="B268" s="40" t="s">
        <v>156</v>
      </c>
      <c r="F268" s="48">
        <f>+'Phase III Pro Forma'!F265/1000000</f>
        <v>0</v>
      </c>
      <c r="G268" s="48">
        <f>+'Phase III Pro Forma'!G265/1000000</f>
        <v>0</v>
      </c>
      <c r="H268" s="48">
        <f>+'Phase III Pro Forma'!H265/1000000</f>
        <v>0</v>
      </c>
      <c r="I268" s="48">
        <f ca="1">+'Phase III Pro Forma'!I265/1000000</f>
        <v>0.29299024747483204</v>
      </c>
      <c r="J268" s="48">
        <f>+'Phase III Pro Forma'!J265/1000000</f>
        <v>0</v>
      </c>
      <c r="K268" s="48">
        <f>+'Phase III Pro Forma'!K265/1000000</f>
        <v>0</v>
      </c>
      <c r="L268" s="48">
        <f>+'Phase III Pro Forma'!L265/1000000</f>
        <v>0</v>
      </c>
      <c r="M268" s="48">
        <f>+'Phase III Pro Forma'!M265/1000000</f>
        <v>0</v>
      </c>
      <c r="N268" s="48">
        <f>+'Phase III Pro Forma'!N265/1000000</f>
        <v>0</v>
      </c>
      <c r="O268" s="48">
        <f>+'Phase III Pro Forma'!O265/1000000</f>
        <v>0</v>
      </c>
      <c r="P268" s="48">
        <f>+'Phase III Pro Forma'!P265/1000000</f>
        <v>0</v>
      </c>
      <c r="Q268" s="48">
        <f>+'Phase III Pro Forma'!Q265/1000000</f>
        <v>0</v>
      </c>
      <c r="R268" s="48">
        <f>+'Phase III Pro Forma'!R265/1000000</f>
        <v>0</v>
      </c>
      <c r="S268" s="48">
        <f>+'Phase III Pro Forma'!S265/1000000</f>
        <v>0</v>
      </c>
      <c r="T268" s="48">
        <f>+'Phase III Pro Forma'!T265/1000000</f>
        <v>0</v>
      </c>
      <c r="U268" s="48">
        <f>+'Phase III Pro Forma'!U265/1000000</f>
        <v>0</v>
      </c>
      <c r="V268" s="48">
        <f>+'Phase III Pro Forma'!V265/1000000</f>
        <v>0</v>
      </c>
      <c r="W268" s="48">
        <f>+'Phase III Pro Forma'!W265/1000000</f>
        <v>0</v>
      </c>
      <c r="X268" s="48">
        <f>+'Phase III Pro Forma'!X265/1000000</f>
        <v>0</v>
      </c>
      <c r="Y268" s="48">
        <f>+'Phase III Pro Forma'!Y265/1000000</f>
        <v>0</v>
      </c>
      <c r="Z268" s="48">
        <f>+'Phase III Pro Forma'!Z265/1000000</f>
        <v>0</v>
      </c>
    </row>
    <row r="269" spans="2:26" ht="5" customHeight="1" outlineLevel="1" x14ac:dyDescent="0.2"/>
    <row r="270" spans="2:26" outlineLevel="1" x14ac:dyDescent="0.2">
      <c r="B270" s="136" t="s">
        <v>334</v>
      </c>
      <c r="C270" s="136"/>
      <c r="D270" s="136"/>
      <c r="E270" s="136"/>
      <c r="F270" s="773">
        <f ca="1">+F254-F265-F268</f>
        <v>0</v>
      </c>
      <c r="G270" s="773">
        <f t="shared" ref="G270:Z270" ca="1" si="90">+G254-G265-G268</f>
        <v>0</v>
      </c>
      <c r="H270" s="773">
        <f t="shared" ca="1" si="90"/>
        <v>0</v>
      </c>
      <c r="I270" s="773">
        <f t="shared" ca="1" si="90"/>
        <v>-1.0091886301910884</v>
      </c>
      <c r="J270" s="773">
        <f t="shared" ca="1" si="90"/>
        <v>0.71619838271625635</v>
      </c>
      <c r="K270" s="773">
        <f t="shared" ca="1" si="90"/>
        <v>0.71619838271625635</v>
      </c>
      <c r="L270" s="773">
        <f t="shared" ca="1" si="90"/>
        <v>1.0026777358027585</v>
      </c>
      <c r="M270" s="773">
        <f t="shared" ca="1" si="90"/>
        <v>1.0026777358027585</v>
      </c>
      <c r="N270" s="773">
        <f t="shared" ca="1" si="90"/>
        <v>1.0026777358027585</v>
      </c>
      <c r="O270" s="773">
        <f t="shared" ca="1" si="90"/>
        <v>1.0026777358027585</v>
      </c>
      <c r="P270" s="773">
        <f t="shared" ca="1" si="90"/>
        <v>1.0026777358027585</v>
      </c>
      <c r="Q270" s="773">
        <f t="shared" ca="1" si="90"/>
        <v>1.3178050241979111</v>
      </c>
      <c r="R270" s="773">
        <f t="shared" ca="1" si="90"/>
        <v>1.3178050241979111</v>
      </c>
      <c r="S270" s="773">
        <f t="shared" ca="1" si="90"/>
        <v>1.3178050241979107</v>
      </c>
      <c r="T270" s="773">
        <f t="shared" ca="1" si="90"/>
        <v>1.3178050241979102</v>
      </c>
      <c r="U270" s="773">
        <f t="shared" ca="1" si="90"/>
        <v>1.3178050241979107</v>
      </c>
      <c r="V270" s="773">
        <f t="shared" ca="1" si="90"/>
        <v>1.6644450414325798</v>
      </c>
      <c r="W270" s="773">
        <f t="shared" ca="1" si="90"/>
        <v>1.6644450414325789</v>
      </c>
      <c r="X270" s="773">
        <f t="shared" ca="1" si="90"/>
        <v>1.6644450414325789</v>
      </c>
      <c r="Y270" s="773">
        <f t="shared" ca="1" si="90"/>
        <v>1.6644450414325793</v>
      </c>
      <c r="Z270" s="773">
        <f t="shared" ca="1" si="90"/>
        <v>1.6644450414325789</v>
      </c>
    </row>
    <row r="271" spans="2:26" ht="5" customHeight="1" outlineLevel="1" x14ac:dyDescent="0.2"/>
    <row r="272" spans="2:26" outlineLevel="1" x14ac:dyDescent="0.2">
      <c r="B272" s="147" t="s">
        <v>335</v>
      </c>
    </row>
    <row r="273" spans="2:26" outlineLevel="1" x14ac:dyDescent="0.2">
      <c r="B273" s="32" t="s">
        <v>336</v>
      </c>
      <c r="F273" s="48">
        <f>+'Phase III Pro Forma'!F270/1000000</f>
        <v>0</v>
      </c>
      <c r="G273" s="48">
        <f>+'Phase III Pro Forma'!G270/1000000</f>
        <v>0</v>
      </c>
      <c r="H273" s="48">
        <f>+'Phase III Pro Forma'!H270/1000000</f>
        <v>0</v>
      </c>
      <c r="I273" s="48">
        <f>+'Phase III Pro Forma'!I270/1000000</f>
        <v>0</v>
      </c>
      <c r="J273" s="48">
        <f>+'Phase III Pro Forma'!J270/1000000</f>
        <v>0</v>
      </c>
      <c r="K273" s="48">
        <f>+'Phase III Pro Forma'!K270/1000000</f>
        <v>0</v>
      </c>
      <c r="L273" s="48">
        <f ca="1">+'Phase III Pro Forma'!L270/1000000</f>
        <v>57.295870617300494</v>
      </c>
      <c r="M273" s="48">
        <f>+'Phase III Pro Forma'!M270/1000000</f>
        <v>0</v>
      </c>
      <c r="N273" s="48">
        <f>+'Phase III Pro Forma'!N270/1000000</f>
        <v>0</v>
      </c>
      <c r="O273" s="48">
        <f>+'Phase III Pro Forma'!O270/1000000</f>
        <v>0</v>
      </c>
      <c r="P273" s="48">
        <f>+'Phase III Pro Forma'!P270/1000000</f>
        <v>0</v>
      </c>
      <c r="Q273" s="48">
        <f>+'Phase III Pro Forma'!Q270/1000000</f>
        <v>0</v>
      </c>
      <c r="R273" s="48">
        <f>+'Phase III Pro Forma'!R270/1000000</f>
        <v>0</v>
      </c>
      <c r="S273" s="48">
        <f>+'Phase III Pro Forma'!S270/1000000</f>
        <v>0</v>
      </c>
      <c r="T273" s="48">
        <f>+'Phase III Pro Forma'!T270/1000000</f>
        <v>0</v>
      </c>
      <c r="U273" s="48">
        <f>+'Phase III Pro Forma'!U270/1000000</f>
        <v>0</v>
      </c>
      <c r="V273" s="48">
        <f>+'Phase III Pro Forma'!V270/1000000</f>
        <v>0</v>
      </c>
      <c r="W273" s="48">
        <f>+'Phase III Pro Forma'!W270/1000000</f>
        <v>0</v>
      </c>
      <c r="X273" s="48">
        <f>+'Phase III Pro Forma'!X270/1000000</f>
        <v>0</v>
      </c>
      <c r="Y273" s="48">
        <f>+'Phase III Pro Forma'!Y270/1000000</f>
        <v>0</v>
      </c>
      <c r="Z273" s="48">
        <f>+'Phase III Pro Forma'!Z270/1000000</f>
        <v>0</v>
      </c>
    </row>
    <row r="274" spans="2:26" outlineLevel="1" x14ac:dyDescent="0.2">
      <c r="B274" s="32" t="s">
        <v>337</v>
      </c>
      <c r="F274" s="772">
        <f>+'Phase III Pro Forma'!F271/1000000</f>
        <v>0</v>
      </c>
      <c r="G274" s="772">
        <f>+'Phase III Pro Forma'!G271/1000000</f>
        <v>0</v>
      </c>
      <c r="H274" s="772">
        <f>+'Phase III Pro Forma'!H271/1000000</f>
        <v>0</v>
      </c>
      <c r="I274" s="772">
        <f>+'Phase III Pro Forma'!I271/1000000</f>
        <v>0</v>
      </c>
      <c r="J274" s="772">
        <f>+'Phase III Pro Forma'!J271/1000000</f>
        <v>0</v>
      </c>
      <c r="K274" s="772">
        <f>+'Phase III Pro Forma'!K271/1000000</f>
        <v>0</v>
      </c>
      <c r="L274" s="772">
        <f ca="1">+'Phase III Pro Forma'!L271/1000000</f>
        <v>-1.1459174123460099</v>
      </c>
      <c r="M274" s="772">
        <f>+'Phase III Pro Forma'!M271/1000000</f>
        <v>0</v>
      </c>
      <c r="N274" s="772">
        <f>+'Phase III Pro Forma'!N271/1000000</f>
        <v>0</v>
      </c>
      <c r="O274" s="772">
        <f>+'Phase III Pro Forma'!O271/1000000</f>
        <v>0</v>
      </c>
      <c r="P274" s="772">
        <f>+'Phase III Pro Forma'!P271/1000000</f>
        <v>0</v>
      </c>
      <c r="Q274" s="772">
        <f>+'Phase III Pro Forma'!Q271/1000000</f>
        <v>0</v>
      </c>
      <c r="R274" s="772">
        <f>+'Phase III Pro Forma'!R271/1000000</f>
        <v>0</v>
      </c>
      <c r="S274" s="772">
        <f>+'Phase III Pro Forma'!S271/1000000</f>
        <v>0</v>
      </c>
      <c r="T274" s="772">
        <f>+'Phase III Pro Forma'!T271/1000000</f>
        <v>0</v>
      </c>
      <c r="U274" s="772">
        <f>+'Phase III Pro Forma'!U271/1000000</f>
        <v>0</v>
      </c>
      <c r="V274" s="772">
        <f>+'Phase III Pro Forma'!V271/1000000</f>
        <v>0</v>
      </c>
      <c r="W274" s="772">
        <f>+'Phase III Pro Forma'!W271/1000000</f>
        <v>0</v>
      </c>
      <c r="X274" s="772">
        <f>+'Phase III Pro Forma'!X271/1000000</f>
        <v>0</v>
      </c>
      <c r="Y274" s="772">
        <f>+'Phase III Pro Forma'!Y271/1000000</f>
        <v>0</v>
      </c>
      <c r="Z274" s="772">
        <f>+'Phase III Pro Forma'!Z271/1000000</f>
        <v>0</v>
      </c>
    </row>
    <row r="275" spans="2:26" outlineLevel="1" x14ac:dyDescent="0.2">
      <c r="B275" s="32" t="s">
        <v>338</v>
      </c>
      <c r="F275" s="772">
        <f>+'Phase III Pro Forma'!F272/1000000</f>
        <v>0</v>
      </c>
      <c r="G275" s="772">
        <f>+'Phase III Pro Forma'!G272/1000000</f>
        <v>0</v>
      </c>
      <c r="H275" s="772">
        <f>+'Phase III Pro Forma'!H272/1000000</f>
        <v>0</v>
      </c>
      <c r="I275" s="772">
        <f>+'Phase III Pro Forma'!I272/1000000</f>
        <v>0</v>
      </c>
      <c r="J275" s="772">
        <f>+'Phase III Pro Forma'!J272/1000000</f>
        <v>0</v>
      </c>
      <c r="K275" s="772">
        <f>+'Phase III Pro Forma'!K272/1000000</f>
        <v>0</v>
      </c>
      <c r="L275" s="772">
        <f ca="1">+'Phase III Pro Forma'!L272/1000000</f>
        <v>-39.065366329977607</v>
      </c>
      <c r="M275" s="772">
        <f>+'Phase III Pro Forma'!M272/1000000</f>
        <v>0</v>
      </c>
      <c r="N275" s="772">
        <f>+'Phase III Pro Forma'!N272/1000000</f>
        <v>0</v>
      </c>
      <c r="O275" s="772">
        <f>+'Phase III Pro Forma'!O272/1000000</f>
        <v>0</v>
      </c>
      <c r="P275" s="772">
        <f>+'Phase III Pro Forma'!P272/1000000</f>
        <v>0</v>
      </c>
      <c r="Q275" s="772">
        <f>+'Phase III Pro Forma'!Q272/1000000</f>
        <v>0</v>
      </c>
      <c r="R275" s="772">
        <f>+'Phase III Pro Forma'!R272/1000000</f>
        <v>0</v>
      </c>
      <c r="S275" s="772">
        <f>+'Phase III Pro Forma'!S272/1000000</f>
        <v>0</v>
      </c>
      <c r="T275" s="772">
        <f>+'Phase III Pro Forma'!T272/1000000</f>
        <v>0</v>
      </c>
      <c r="U275" s="772">
        <f>+'Phase III Pro Forma'!U272/1000000</f>
        <v>0</v>
      </c>
      <c r="V275" s="772">
        <f>+'Phase III Pro Forma'!V272/1000000</f>
        <v>0</v>
      </c>
      <c r="W275" s="772">
        <f>+'Phase III Pro Forma'!W272/1000000</f>
        <v>0</v>
      </c>
      <c r="X275" s="772">
        <f>+'Phase III Pro Forma'!X272/1000000</f>
        <v>0</v>
      </c>
      <c r="Y275" s="772">
        <f>+'Phase III Pro Forma'!Y272/1000000</f>
        <v>0</v>
      </c>
      <c r="Z275" s="772">
        <f>+'Phase III Pro Forma'!Z272/1000000</f>
        <v>0</v>
      </c>
    </row>
    <row r="276" spans="2:26" outlineLevel="1" x14ac:dyDescent="0.2">
      <c r="B276" s="136" t="s">
        <v>339</v>
      </c>
      <c r="C276" s="136"/>
      <c r="D276" s="136"/>
      <c r="E276" s="136"/>
      <c r="F276" s="773">
        <f t="shared" ref="F276:Z276" si="91">+SUM(F273:F275)</f>
        <v>0</v>
      </c>
      <c r="G276" s="773">
        <f t="shared" si="91"/>
        <v>0</v>
      </c>
      <c r="H276" s="773">
        <f t="shared" si="91"/>
        <v>0</v>
      </c>
      <c r="I276" s="773">
        <f t="shared" si="91"/>
        <v>0</v>
      </c>
      <c r="J276" s="773">
        <f t="shared" si="91"/>
        <v>0</v>
      </c>
      <c r="K276" s="773">
        <f t="shared" si="91"/>
        <v>0</v>
      </c>
      <c r="L276" s="773">
        <f t="shared" ca="1" si="91"/>
        <v>17.084586874976878</v>
      </c>
      <c r="M276" s="773">
        <f t="shared" si="91"/>
        <v>0</v>
      </c>
      <c r="N276" s="773">
        <f t="shared" si="91"/>
        <v>0</v>
      </c>
      <c r="O276" s="773">
        <f t="shared" si="91"/>
        <v>0</v>
      </c>
      <c r="P276" s="773">
        <f t="shared" si="91"/>
        <v>0</v>
      </c>
      <c r="Q276" s="773">
        <f t="shared" si="91"/>
        <v>0</v>
      </c>
      <c r="R276" s="773">
        <f t="shared" si="91"/>
        <v>0</v>
      </c>
      <c r="S276" s="773">
        <f t="shared" si="91"/>
        <v>0</v>
      </c>
      <c r="T276" s="773">
        <f t="shared" si="91"/>
        <v>0</v>
      </c>
      <c r="U276" s="773">
        <f t="shared" si="91"/>
        <v>0</v>
      </c>
      <c r="V276" s="773">
        <f t="shared" si="91"/>
        <v>0</v>
      </c>
      <c r="W276" s="773">
        <f t="shared" si="91"/>
        <v>0</v>
      </c>
      <c r="X276" s="773">
        <f t="shared" si="91"/>
        <v>0</v>
      </c>
      <c r="Y276" s="773">
        <f t="shared" si="91"/>
        <v>0</v>
      </c>
      <c r="Z276" s="773">
        <f t="shared" si="91"/>
        <v>0</v>
      </c>
    </row>
    <row r="277" spans="2:26" ht="5" customHeight="1" outlineLevel="1" x14ac:dyDescent="0.2"/>
    <row r="278" spans="2:26" outlineLevel="1" x14ac:dyDescent="0.2">
      <c r="B278" s="137" t="s">
        <v>792</v>
      </c>
      <c r="C278" s="137"/>
      <c r="D278" s="137"/>
      <c r="E278" s="137"/>
      <c r="F278" s="774">
        <f ca="1">+'Phase III Pro Forma'!F275/1000000</f>
        <v>0</v>
      </c>
      <c r="G278" s="774">
        <f ca="1">+'Phase III Pro Forma'!G275/1000000</f>
        <v>0</v>
      </c>
      <c r="H278" s="774">
        <f ca="1">+'Phase III Pro Forma'!H275/1000000</f>
        <v>0</v>
      </c>
      <c r="I278" s="774">
        <f ca="1">+'Phase III Pro Forma'!I275/1000000</f>
        <v>-1.0091886301910884</v>
      </c>
      <c r="J278" s="774">
        <f ca="1">+'Phase III Pro Forma'!J275/1000000</f>
        <v>0.71619838271625624</v>
      </c>
      <c r="K278" s="774">
        <f ca="1">+'Phase III Pro Forma'!K275/1000000</f>
        <v>0.71619838271625624</v>
      </c>
      <c r="L278" s="774">
        <f ca="1">+'Phase III Pro Forma'!L275/1000000</f>
        <v>18.087264610779631</v>
      </c>
      <c r="M278" s="774">
        <f>+'Phase III Pro Forma'!M275/1000000</f>
        <v>0</v>
      </c>
      <c r="N278" s="774">
        <f>+'Phase III Pro Forma'!N275/1000000</f>
        <v>0</v>
      </c>
      <c r="O278" s="774">
        <f>+'Phase III Pro Forma'!O275/1000000</f>
        <v>0</v>
      </c>
      <c r="P278" s="774">
        <f>+'Phase III Pro Forma'!P275/1000000</f>
        <v>0</v>
      </c>
      <c r="Q278" s="774">
        <f>+'Phase III Pro Forma'!Q275/1000000</f>
        <v>0</v>
      </c>
      <c r="R278" s="774">
        <f>+'Phase III Pro Forma'!R275/1000000</f>
        <v>0</v>
      </c>
      <c r="S278" s="774">
        <f>+'Phase III Pro Forma'!S275/1000000</f>
        <v>0</v>
      </c>
      <c r="T278" s="774">
        <f>+'Phase III Pro Forma'!T275/1000000</f>
        <v>0</v>
      </c>
      <c r="U278" s="774">
        <f>+'Phase III Pro Forma'!U275/1000000</f>
        <v>0</v>
      </c>
      <c r="V278" s="774">
        <f>+'Phase III Pro Forma'!V275/1000000</f>
        <v>0</v>
      </c>
      <c r="W278" s="774">
        <f>+'Phase III Pro Forma'!W275/1000000</f>
        <v>0</v>
      </c>
      <c r="X278" s="774">
        <f>+'Phase III Pro Forma'!X275/1000000</f>
        <v>0</v>
      </c>
      <c r="Y278" s="774">
        <f>+'Phase III Pro Forma'!Y275/1000000</f>
        <v>0</v>
      </c>
      <c r="Z278" s="774">
        <f>+'Phase III Pro Forma'!Z275/1000000</f>
        <v>0</v>
      </c>
    </row>
    <row r="279" spans="2:26" outlineLevel="1" x14ac:dyDescent="0.2"/>
    <row r="280" spans="2:26" outlineLevel="1" x14ac:dyDescent="0.2">
      <c r="B280" s="137" t="s">
        <v>356</v>
      </c>
      <c r="C280" s="137"/>
      <c r="D280" s="137"/>
      <c r="E280" s="137"/>
      <c r="F280" s="774">
        <f t="shared" ref="F280:Z280" ca="1" si="92">+F278+F233+F163</f>
        <v>0</v>
      </c>
      <c r="G280" s="774">
        <f t="shared" ca="1" si="92"/>
        <v>0</v>
      </c>
      <c r="H280" s="774">
        <f t="shared" ca="1" si="92"/>
        <v>0</v>
      </c>
      <c r="I280" s="774">
        <f t="shared" ca="1" si="92"/>
        <v>34.294946008652275</v>
      </c>
      <c r="J280" s="774">
        <f t="shared" ca="1" si="92"/>
        <v>5.1637070895398312</v>
      </c>
      <c r="K280" s="774">
        <f t="shared" ca="1" si="92"/>
        <v>5.4464813733853701</v>
      </c>
      <c r="L280" s="774">
        <f t="shared" ca="1" si="92"/>
        <v>191.05926372519031</v>
      </c>
      <c r="M280" s="774">
        <f t="shared" si="92"/>
        <v>0</v>
      </c>
      <c r="N280" s="774">
        <f t="shared" si="92"/>
        <v>0</v>
      </c>
      <c r="O280" s="774">
        <f t="shared" si="92"/>
        <v>0</v>
      </c>
      <c r="P280" s="774">
        <f t="shared" si="92"/>
        <v>0</v>
      </c>
      <c r="Q280" s="774">
        <f t="shared" si="92"/>
        <v>0</v>
      </c>
      <c r="R280" s="774">
        <f t="shared" si="92"/>
        <v>0</v>
      </c>
      <c r="S280" s="774">
        <f t="shared" si="92"/>
        <v>0</v>
      </c>
      <c r="T280" s="774">
        <f t="shared" si="92"/>
        <v>0</v>
      </c>
      <c r="U280" s="774">
        <f t="shared" si="92"/>
        <v>0</v>
      </c>
      <c r="V280" s="774">
        <f t="shared" si="92"/>
        <v>0</v>
      </c>
      <c r="W280" s="774">
        <f t="shared" si="92"/>
        <v>0</v>
      </c>
      <c r="X280" s="774">
        <f t="shared" si="92"/>
        <v>0</v>
      </c>
      <c r="Y280" s="774">
        <f t="shared" si="92"/>
        <v>0</v>
      </c>
      <c r="Z280" s="774">
        <f t="shared" si="92"/>
        <v>0</v>
      </c>
    </row>
    <row r="281" spans="2:26" s="793" customFormat="1" hidden="1" x14ac:dyDescent="0.2"/>
    <row r="282" spans="2:26" s="793" customFormat="1" hidden="1" x14ac:dyDescent="0.2">
      <c r="B282" s="793" t="s">
        <v>442</v>
      </c>
      <c r="F282" s="792">
        <f ca="1">+F157+F303</f>
        <v>0</v>
      </c>
      <c r="G282" s="792">
        <f t="shared" ref="G282:Z282" ca="1" si="93">+G157+G303</f>
        <v>129.07839323459172</v>
      </c>
      <c r="H282" s="792">
        <f t="shared" ca="1" si="93"/>
        <v>109.41814556775826</v>
      </c>
      <c r="I282" s="792">
        <f t="shared" ca="1" si="93"/>
        <v>44.337854744443057</v>
      </c>
      <c r="J282" s="792">
        <f t="shared" ca="1" si="93"/>
        <v>0</v>
      </c>
      <c r="K282" s="792">
        <f t="shared" ca="1" si="93"/>
        <v>0</v>
      </c>
      <c r="L282" s="792">
        <f t="shared" ca="1" si="93"/>
        <v>0</v>
      </c>
      <c r="M282" s="792">
        <f t="shared" ca="1" si="93"/>
        <v>0</v>
      </c>
      <c r="N282" s="792">
        <f t="shared" ca="1" si="93"/>
        <v>0</v>
      </c>
      <c r="O282" s="792">
        <f t="shared" ca="1" si="93"/>
        <v>0</v>
      </c>
      <c r="P282" s="792">
        <f t="shared" ca="1" si="93"/>
        <v>0</v>
      </c>
      <c r="Q282" s="792">
        <f t="shared" ca="1" si="93"/>
        <v>0</v>
      </c>
      <c r="R282" s="792">
        <f t="shared" ca="1" si="93"/>
        <v>0</v>
      </c>
      <c r="S282" s="792">
        <f t="shared" ca="1" si="93"/>
        <v>0</v>
      </c>
      <c r="T282" s="792">
        <f t="shared" ca="1" si="93"/>
        <v>0</v>
      </c>
      <c r="U282" s="792">
        <f t="shared" ca="1" si="93"/>
        <v>0</v>
      </c>
      <c r="V282" s="792">
        <f t="shared" ca="1" si="93"/>
        <v>0</v>
      </c>
      <c r="W282" s="792">
        <f t="shared" ca="1" si="93"/>
        <v>0</v>
      </c>
      <c r="X282" s="792">
        <f t="shared" ca="1" si="93"/>
        <v>0</v>
      </c>
      <c r="Y282" s="792">
        <f t="shared" ca="1" si="93"/>
        <v>0</v>
      </c>
      <c r="Z282" s="792">
        <f t="shared" ca="1" si="93"/>
        <v>0</v>
      </c>
    </row>
    <row r="283" spans="2:26" s="793" customFormat="1" hidden="1" x14ac:dyDescent="0.2">
      <c r="B283" s="793" t="s">
        <v>501</v>
      </c>
      <c r="F283" s="792">
        <f ca="1">-F275+F265-F230+F220-F159+F148+F223+F151+F268</f>
        <v>0</v>
      </c>
      <c r="G283" s="792">
        <f t="shared" ref="G283:Z283" ca="1" si="94">-G275+G265-G230+G220-G159+G148+G223+G151+G268</f>
        <v>0</v>
      </c>
      <c r="H283" s="792">
        <f t="shared" ca="1" si="94"/>
        <v>0</v>
      </c>
      <c r="I283" s="792">
        <f t="shared" ca="1" si="94"/>
        <v>22.851596282757704</v>
      </c>
      <c r="J283" s="792">
        <f t="shared" ca="1" si="94"/>
        <v>20.715160605946352</v>
      </c>
      <c r="K283" s="792">
        <f t="shared" ca="1" si="94"/>
        <v>20.715160605946355</v>
      </c>
      <c r="L283" s="792">
        <f t="shared" ca="1" si="94"/>
        <v>291.42129984511462</v>
      </c>
      <c r="M283" s="792">
        <f t="shared" ca="1" si="94"/>
        <v>20.715160605946352</v>
      </c>
      <c r="N283" s="792">
        <f t="shared" ca="1" si="94"/>
        <v>20.715160605946352</v>
      </c>
      <c r="O283" s="792">
        <f t="shared" ca="1" si="94"/>
        <v>20.715160605946352</v>
      </c>
      <c r="P283" s="792">
        <f t="shared" ca="1" si="94"/>
        <v>20.715160605946352</v>
      </c>
      <c r="Q283" s="792">
        <f t="shared" ca="1" si="94"/>
        <v>20.715160605946348</v>
      </c>
      <c r="R283" s="792">
        <f t="shared" ca="1" si="94"/>
        <v>20.715160605946348</v>
      </c>
      <c r="S283" s="792">
        <f t="shared" ca="1" si="94"/>
        <v>20.715160605946355</v>
      </c>
      <c r="T283" s="792">
        <f t="shared" ca="1" si="94"/>
        <v>20.715160605946352</v>
      </c>
      <c r="U283" s="792">
        <f t="shared" ca="1" si="94"/>
        <v>20.715160605946352</v>
      </c>
      <c r="V283" s="792">
        <f t="shared" ca="1" si="94"/>
        <v>20.715160605946355</v>
      </c>
      <c r="W283" s="792">
        <f t="shared" ca="1" si="94"/>
        <v>20.715160605946352</v>
      </c>
      <c r="X283" s="792">
        <f t="shared" ca="1" si="94"/>
        <v>20.715160605946348</v>
      </c>
      <c r="Y283" s="792">
        <f t="shared" ca="1" si="94"/>
        <v>20.715160605946348</v>
      </c>
      <c r="Z283" s="792">
        <f t="shared" ca="1" si="94"/>
        <v>20.715160605946352</v>
      </c>
    </row>
    <row r="285" spans="2:26" x14ac:dyDescent="0.2">
      <c r="B285" s="36" t="s">
        <v>346</v>
      </c>
      <c r="C285" s="37"/>
      <c r="D285" s="37"/>
      <c r="E285" s="37"/>
      <c r="F285" s="135">
        <f>+F287</f>
        <v>45657</v>
      </c>
      <c r="G285" s="135">
        <f t="shared" ref="G285:Z285" si="95">+G287</f>
        <v>46022</v>
      </c>
      <c r="H285" s="135">
        <f t="shared" si="95"/>
        <v>46387</v>
      </c>
      <c r="I285" s="135">
        <f t="shared" si="95"/>
        <v>46752</v>
      </c>
      <c r="J285" s="135">
        <f t="shared" si="95"/>
        <v>47118</v>
      </c>
      <c r="K285" s="135">
        <f t="shared" si="95"/>
        <v>47483</v>
      </c>
      <c r="L285" s="135">
        <f t="shared" si="95"/>
        <v>47848</v>
      </c>
      <c r="M285" s="135">
        <f t="shared" si="95"/>
        <v>48213</v>
      </c>
      <c r="N285" s="135">
        <f t="shared" si="95"/>
        <v>48579</v>
      </c>
      <c r="O285" s="135">
        <f t="shared" si="95"/>
        <v>48944</v>
      </c>
      <c r="P285" s="135">
        <f t="shared" si="95"/>
        <v>49309</v>
      </c>
      <c r="Q285" s="135">
        <f t="shared" si="95"/>
        <v>49674</v>
      </c>
      <c r="R285" s="135">
        <f t="shared" si="95"/>
        <v>50040</v>
      </c>
      <c r="S285" s="135">
        <f t="shared" si="95"/>
        <v>50405</v>
      </c>
      <c r="T285" s="135">
        <f t="shared" si="95"/>
        <v>50770</v>
      </c>
      <c r="U285" s="135">
        <f t="shared" si="95"/>
        <v>51135</v>
      </c>
      <c r="V285" s="135">
        <f t="shared" si="95"/>
        <v>51501</v>
      </c>
      <c r="W285" s="135">
        <f t="shared" si="95"/>
        <v>51866</v>
      </c>
      <c r="X285" s="135">
        <f t="shared" si="95"/>
        <v>52231</v>
      </c>
      <c r="Y285" s="135">
        <f t="shared" si="95"/>
        <v>52596</v>
      </c>
      <c r="Z285" s="135">
        <f t="shared" si="95"/>
        <v>52962</v>
      </c>
    </row>
    <row r="286" spans="2:26" hidden="1" x14ac:dyDescent="0.2"/>
    <row r="287" spans="2:26" x14ac:dyDescent="0.2">
      <c r="B287" s="147" t="s">
        <v>345</v>
      </c>
      <c r="C287" s="148"/>
      <c r="D287" s="148"/>
      <c r="E287" s="148"/>
      <c r="F287" s="776">
        <f>+F165</f>
        <v>45657</v>
      </c>
      <c r="G287" s="776">
        <f t="shared" ref="G287:Z287" si="96">+G165</f>
        <v>46022</v>
      </c>
      <c r="H287" s="776">
        <f t="shared" si="96"/>
        <v>46387</v>
      </c>
      <c r="I287" s="776">
        <f t="shared" si="96"/>
        <v>46752</v>
      </c>
      <c r="J287" s="776">
        <f t="shared" si="96"/>
        <v>47118</v>
      </c>
      <c r="K287" s="776">
        <f t="shared" si="96"/>
        <v>47483</v>
      </c>
      <c r="L287" s="776">
        <f t="shared" si="96"/>
        <v>47848</v>
      </c>
      <c r="M287" s="776">
        <f t="shared" si="96"/>
        <v>48213</v>
      </c>
      <c r="N287" s="776">
        <f t="shared" si="96"/>
        <v>48579</v>
      </c>
      <c r="O287" s="776">
        <f t="shared" si="96"/>
        <v>48944</v>
      </c>
      <c r="P287" s="776">
        <f t="shared" si="96"/>
        <v>49309</v>
      </c>
      <c r="Q287" s="776">
        <f t="shared" si="96"/>
        <v>49674</v>
      </c>
      <c r="R287" s="776">
        <f t="shared" si="96"/>
        <v>50040</v>
      </c>
      <c r="S287" s="776">
        <f t="shared" si="96"/>
        <v>50405</v>
      </c>
      <c r="T287" s="776">
        <f t="shared" si="96"/>
        <v>50770</v>
      </c>
      <c r="U287" s="776">
        <f t="shared" si="96"/>
        <v>51135</v>
      </c>
      <c r="V287" s="776">
        <f t="shared" si="96"/>
        <v>51501</v>
      </c>
      <c r="W287" s="776">
        <f t="shared" si="96"/>
        <v>51866</v>
      </c>
      <c r="X287" s="776">
        <f t="shared" si="96"/>
        <v>52231</v>
      </c>
      <c r="Y287" s="776">
        <f t="shared" si="96"/>
        <v>52596</v>
      </c>
      <c r="Z287" s="776">
        <f t="shared" si="96"/>
        <v>52962</v>
      </c>
    </row>
    <row r="288" spans="2:26" x14ac:dyDescent="0.2">
      <c r="B288" s="32" t="s">
        <v>61</v>
      </c>
      <c r="D288" s="47">
        <f>+SUM(F288:Z288)</f>
        <v>9.1215869999999999</v>
      </c>
      <c r="E288" s="47"/>
      <c r="F288" s="48">
        <f>+'Phase III Pro Forma'!F285/1000000</f>
        <v>9.1215869999999999</v>
      </c>
      <c r="G288" s="48">
        <f>+'Phase III Pro Forma'!G285/1000000</f>
        <v>0</v>
      </c>
      <c r="H288" s="48">
        <f>+'Phase III Pro Forma'!H285/1000000</f>
        <v>0</v>
      </c>
      <c r="I288" s="48">
        <f>+'Phase III Pro Forma'!I285/1000000</f>
        <v>0</v>
      </c>
      <c r="J288" s="48">
        <f>+'Phase III Pro Forma'!J285/1000000</f>
        <v>0</v>
      </c>
      <c r="K288" s="48">
        <f>+'Phase III Pro Forma'!K285/1000000</f>
        <v>0</v>
      </c>
      <c r="L288" s="48">
        <f>+'Phase III Pro Forma'!L285/1000000</f>
        <v>0</v>
      </c>
      <c r="M288" s="48">
        <f>+'Phase III Pro Forma'!M285/1000000</f>
        <v>0</v>
      </c>
      <c r="N288" s="48">
        <f>+'Phase III Pro Forma'!N285/1000000</f>
        <v>0</v>
      </c>
      <c r="O288" s="48">
        <f>+'Phase III Pro Forma'!O285/1000000</f>
        <v>0</v>
      </c>
      <c r="P288" s="48">
        <f>+'Phase III Pro Forma'!P285/1000000</f>
        <v>0</v>
      </c>
      <c r="Q288" s="48">
        <f>+'Phase III Pro Forma'!Q285/1000000</f>
        <v>0</v>
      </c>
      <c r="R288" s="48">
        <f>+'Phase III Pro Forma'!R285/1000000</f>
        <v>0</v>
      </c>
      <c r="S288" s="48">
        <f>+'Phase III Pro Forma'!S285/1000000</f>
        <v>0</v>
      </c>
      <c r="T288" s="48">
        <f>+'Phase III Pro Forma'!T285/1000000</f>
        <v>0</v>
      </c>
      <c r="U288" s="48">
        <f>+'Phase III Pro Forma'!U285/1000000</f>
        <v>0</v>
      </c>
      <c r="V288" s="48">
        <f>+'Phase III Pro Forma'!V285/1000000</f>
        <v>0</v>
      </c>
      <c r="W288" s="48">
        <f>+'Phase III Pro Forma'!W285/1000000</f>
        <v>0</v>
      </c>
      <c r="X288" s="48">
        <f>+'Phase III Pro Forma'!X285/1000000</f>
        <v>0</v>
      </c>
      <c r="Y288" s="48">
        <f>+'Phase III Pro Forma'!Y285/1000000</f>
        <v>0</v>
      </c>
      <c r="Z288" s="48">
        <f>+'Phase III Pro Forma'!Z285/1000000</f>
        <v>0</v>
      </c>
    </row>
    <row r="289" spans="1:26" x14ac:dyDescent="0.2">
      <c r="B289" s="32" t="s">
        <v>8</v>
      </c>
      <c r="D289" s="47">
        <f t="shared" ref="D289:D294" si="97">+SUM(F289:Z289)</f>
        <v>33.080888234042554</v>
      </c>
      <c r="E289" s="47"/>
      <c r="F289" s="772">
        <f>+'Phase III Pro Forma'!F286/1000000</f>
        <v>33.080888234042554</v>
      </c>
      <c r="G289" s="772">
        <f>+'Phase III Pro Forma'!G286/1000000</f>
        <v>0</v>
      </c>
      <c r="H289" s="772">
        <f>+'Phase III Pro Forma'!H286/1000000</f>
        <v>0</v>
      </c>
      <c r="I289" s="772">
        <f>+'Phase III Pro Forma'!I286/1000000</f>
        <v>0</v>
      </c>
      <c r="J289" s="772">
        <f>+'Phase III Pro Forma'!J286/1000000</f>
        <v>0</v>
      </c>
      <c r="K289" s="772">
        <f>+'Phase III Pro Forma'!K286/1000000</f>
        <v>0</v>
      </c>
      <c r="L289" s="772">
        <f>+'Phase III Pro Forma'!L286/1000000</f>
        <v>0</v>
      </c>
      <c r="M289" s="772">
        <f>+'Phase III Pro Forma'!M286/1000000</f>
        <v>0</v>
      </c>
      <c r="N289" s="772">
        <f>+'Phase III Pro Forma'!N286/1000000</f>
        <v>0</v>
      </c>
      <c r="O289" s="772">
        <f>+'Phase III Pro Forma'!O286/1000000</f>
        <v>0</v>
      </c>
      <c r="P289" s="772">
        <f>+'Phase III Pro Forma'!P286/1000000</f>
        <v>0</v>
      </c>
      <c r="Q289" s="772">
        <f>+'Phase III Pro Forma'!Q286/1000000</f>
        <v>0</v>
      </c>
      <c r="R289" s="772">
        <f>+'Phase III Pro Forma'!R286/1000000</f>
        <v>0</v>
      </c>
      <c r="S289" s="772">
        <f>+'Phase III Pro Forma'!S286/1000000</f>
        <v>0</v>
      </c>
      <c r="T289" s="772">
        <f>+'Phase III Pro Forma'!T286/1000000</f>
        <v>0</v>
      </c>
      <c r="U289" s="772">
        <f>+'Phase III Pro Forma'!U286/1000000</f>
        <v>0</v>
      </c>
      <c r="V289" s="772">
        <f>+'Phase III Pro Forma'!V286/1000000</f>
        <v>0</v>
      </c>
      <c r="W289" s="772">
        <f>+'Phase III Pro Forma'!W286/1000000</f>
        <v>0</v>
      </c>
      <c r="X289" s="772">
        <f>+'Phase III Pro Forma'!X286/1000000</f>
        <v>0</v>
      </c>
      <c r="Y289" s="772">
        <f>+'Phase III Pro Forma'!Y286/1000000</f>
        <v>0</v>
      </c>
      <c r="Z289" s="772">
        <f>+'Phase III Pro Forma'!Z286/1000000</f>
        <v>0</v>
      </c>
    </row>
    <row r="290" spans="1:26" x14ac:dyDescent="0.2">
      <c r="B290" s="32" t="s">
        <v>57</v>
      </c>
      <c r="D290" s="47">
        <f t="shared" ca="1" si="97"/>
        <v>291.05158354014122</v>
      </c>
      <c r="E290" s="47"/>
      <c r="F290" s="772">
        <f>+'Phase III Pro Forma'!F287/1000000</f>
        <v>0</v>
      </c>
      <c r="G290" s="772">
        <f ca="1">+'Phase III Pro Forma'!G287/1000000</f>
        <v>145.52579177007061</v>
      </c>
      <c r="H290" s="772">
        <f ca="1">+'Phase III Pro Forma'!H287/1000000</f>
        <v>145.52579177007061</v>
      </c>
      <c r="I290" s="772">
        <f>+'Phase III Pro Forma'!I287/1000000</f>
        <v>0</v>
      </c>
      <c r="J290" s="772">
        <f>+'Phase III Pro Forma'!J287/1000000</f>
        <v>0</v>
      </c>
      <c r="K290" s="772">
        <f>+'Phase III Pro Forma'!K287/1000000</f>
        <v>0</v>
      </c>
      <c r="L290" s="772">
        <f>+'Phase III Pro Forma'!L287/1000000</f>
        <v>0</v>
      </c>
      <c r="M290" s="772">
        <f>+'Phase III Pro Forma'!M287/1000000</f>
        <v>0</v>
      </c>
      <c r="N290" s="772">
        <f>+'Phase III Pro Forma'!N287/1000000</f>
        <v>0</v>
      </c>
      <c r="O290" s="772">
        <f>+'Phase III Pro Forma'!O287/1000000</f>
        <v>0</v>
      </c>
      <c r="P290" s="772">
        <f>+'Phase III Pro Forma'!P287/1000000</f>
        <v>0</v>
      </c>
      <c r="Q290" s="772">
        <f>+'Phase III Pro Forma'!Q287/1000000</f>
        <v>0</v>
      </c>
      <c r="R290" s="772">
        <f>+'Phase III Pro Forma'!R287/1000000</f>
        <v>0</v>
      </c>
      <c r="S290" s="772">
        <f>+'Phase III Pro Forma'!S287/1000000</f>
        <v>0</v>
      </c>
      <c r="T290" s="772">
        <f>+'Phase III Pro Forma'!T287/1000000</f>
        <v>0</v>
      </c>
      <c r="U290" s="772">
        <f>+'Phase III Pro Forma'!U287/1000000</f>
        <v>0</v>
      </c>
      <c r="V290" s="772">
        <f>+'Phase III Pro Forma'!V287/1000000</f>
        <v>0</v>
      </c>
      <c r="W290" s="772">
        <f>+'Phase III Pro Forma'!W287/1000000</f>
        <v>0</v>
      </c>
      <c r="X290" s="772">
        <f>+'Phase III Pro Forma'!X287/1000000</f>
        <v>0</v>
      </c>
      <c r="Y290" s="772">
        <f>+'Phase III Pro Forma'!Y287/1000000</f>
        <v>0</v>
      </c>
      <c r="Z290" s="772">
        <f>+'Phase III Pro Forma'!Z287/1000000</f>
        <v>0</v>
      </c>
    </row>
    <row r="291" spans="1:26" x14ac:dyDescent="0.2">
      <c r="B291" s="32" t="s">
        <v>58</v>
      </c>
      <c r="D291" s="47">
        <f t="shared" ca="1" si="97"/>
        <v>24.325045475048775</v>
      </c>
      <c r="E291" s="47"/>
      <c r="F291" s="772">
        <f ca="1">+'Phase III Pro Forma'!F288/1000000</f>
        <v>13.562904091343613</v>
      </c>
      <c r="G291" s="772">
        <f ca="1">+'Phase III Pro Forma'!G288/1000000</f>
        <v>5.3810706918525799</v>
      </c>
      <c r="H291" s="772">
        <f ca="1">+'Phase III Pro Forma'!H288/1000000</f>
        <v>5.3810706918525799</v>
      </c>
      <c r="I291" s="772">
        <f>+'Phase III Pro Forma'!I288/1000000</f>
        <v>0</v>
      </c>
      <c r="J291" s="772">
        <f>+'Phase III Pro Forma'!J288/1000000</f>
        <v>0</v>
      </c>
      <c r="K291" s="772">
        <f>+'Phase III Pro Forma'!K288/1000000</f>
        <v>0</v>
      </c>
      <c r="L291" s="772">
        <f>+'Phase III Pro Forma'!L288/1000000</f>
        <v>0</v>
      </c>
      <c r="M291" s="772">
        <f>+'Phase III Pro Forma'!M288/1000000</f>
        <v>0</v>
      </c>
      <c r="N291" s="772">
        <f>+'Phase III Pro Forma'!N288/1000000</f>
        <v>0</v>
      </c>
      <c r="O291" s="772">
        <f>+'Phase III Pro Forma'!O288/1000000</f>
        <v>0</v>
      </c>
      <c r="P291" s="772">
        <f>+'Phase III Pro Forma'!P288/1000000</f>
        <v>0</v>
      </c>
      <c r="Q291" s="772">
        <f>+'Phase III Pro Forma'!Q288/1000000</f>
        <v>0</v>
      </c>
      <c r="R291" s="772">
        <f>+'Phase III Pro Forma'!R288/1000000</f>
        <v>0</v>
      </c>
      <c r="S291" s="772">
        <f>+'Phase III Pro Forma'!S288/1000000</f>
        <v>0</v>
      </c>
      <c r="T291" s="772">
        <f>+'Phase III Pro Forma'!T288/1000000</f>
        <v>0</v>
      </c>
      <c r="U291" s="772">
        <f>+'Phase III Pro Forma'!U288/1000000</f>
        <v>0</v>
      </c>
      <c r="V291" s="772">
        <f>+'Phase III Pro Forma'!V288/1000000</f>
        <v>0</v>
      </c>
      <c r="W291" s="772">
        <f>+'Phase III Pro Forma'!W288/1000000</f>
        <v>0</v>
      </c>
      <c r="X291" s="772">
        <f>+'Phase III Pro Forma'!X288/1000000</f>
        <v>0</v>
      </c>
      <c r="Y291" s="772">
        <f>+'Phase III Pro Forma'!Y288/1000000</f>
        <v>0</v>
      </c>
      <c r="Z291" s="772">
        <f>+'Phase III Pro Forma'!Z288/1000000</f>
        <v>0</v>
      </c>
    </row>
    <row r="292" spans="1:26" x14ac:dyDescent="0.2">
      <c r="B292" s="32" t="s">
        <v>80</v>
      </c>
      <c r="D292" s="47">
        <f t="shared" ca="1" si="97"/>
        <v>27.812233228967937</v>
      </c>
      <c r="E292" s="47"/>
      <c r="F292" s="772">
        <f>+'Phase III Pro Forma'!F289/1000000</f>
        <v>0</v>
      </c>
      <c r="G292" s="772">
        <f ca="1">+'Phase III Pro Forma'!G289/1000000</f>
        <v>13.90611661448397</v>
      </c>
      <c r="H292" s="772">
        <f ca="1">+'Phase III Pro Forma'!H289/1000000</f>
        <v>13.90611661448397</v>
      </c>
      <c r="I292" s="772">
        <f>+'Phase III Pro Forma'!I289/1000000</f>
        <v>0</v>
      </c>
      <c r="J292" s="772">
        <f>+'Phase III Pro Forma'!J289/1000000</f>
        <v>0</v>
      </c>
      <c r="K292" s="772">
        <f>+'Phase III Pro Forma'!K289/1000000</f>
        <v>0</v>
      </c>
      <c r="L292" s="772">
        <f>+'Phase III Pro Forma'!L289/1000000</f>
        <v>0</v>
      </c>
      <c r="M292" s="772">
        <f>+'Phase III Pro Forma'!M289/1000000</f>
        <v>0</v>
      </c>
      <c r="N292" s="772">
        <f>+'Phase III Pro Forma'!N289/1000000</f>
        <v>0</v>
      </c>
      <c r="O292" s="772">
        <f>+'Phase III Pro Forma'!O289/1000000</f>
        <v>0</v>
      </c>
      <c r="P292" s="772">
        <f>+'Phase III Pro Forma'!P289/1000000</f>
        <v>0</v>
      </c>
      <c r="Q292" s="772">
        <f>+'Phase III Pro Forma'!Q289/1000000</f>
        <v>0</v>
      </c>
      <c r="R292" s="772">
        <f>+'Phase III Pro Forma'!R289/1000000</f>
        <v>0</v>
      </c>
      <c r="S292" s="772">
        <f>+'Phase III Pro Forma'!S289/1000000</f>
        <v>0</v>
      </c>
      <c r="T292" s="772">
        <f>+'Phase III Pro Forma'!T289/1000000</f>
        <v>0</v>
      </c>
      <c r="U292" s="772">
        <f>+'Phase III Pro Forma'!U289/1000000</f>
        <v>0</v>
      </c>
      <c r="V292" s="772">
        <f>+'Phase III Pro Forma'!V289/1000000</f>
        <v>0</v>
      </c>
      <c r="W292" s="772">
        <f>+'Phase III Pro Forma'!W289/1000000</f>
        <v>0</v>
      </c>
      <c r="X292" s="772">
        <f>+'Phase III Pro Forma'!X289/1000000</f>
        <v>0</v>
      </c>
      <c r="Y292" s="772">
        <f>+'Phase III Pro Forma'!Y289/1000000</f>
        <v>0</v>
      </c>
      <c r="Z292" s="772">
        <f>+'Phase III Pro Forma'!Z289/1000000</f>
        <v>0</v>
      </c>
    </row>
    <row r="293" spans="1:26" x14ac:dyDescent="0.2">
      <c r="B293" s="32" t="s">
        <v>83</v>
      </c>
      <c r="D293" s="47">
        <f t="shared" ca="1" si="97"/>
        <v>0.79106926670236122</v>
      </c>
      <c r="E293" s="47"/>
      <c r="F293" s="772">
        <f>+'Phase III Pro Forma'!F290/1000000</f>
        <v>0</v>
      </c>
      <c r="G293" s="772">
        <f ca="1">+'Phase III Pro Forma'!G290/1000000</f>
        <v>0.39553463335118061</v>
      </c>
      <c r="H293" s="772">
        <f ca="1">+'Phase III Pro Forma'!H290/1000000</f>
        <v>0.39553463335118061</v>
      </c>
      <c r="I293" s="772">
        <f>+'Phase III Pro Forma'!I290/1000000</f>
        <v>0</v>
      </c>
      <c r="J293" s="772">
        <f>+'Phase III Pro Forma'!J290/1000000</f>
        <v>0</v>
      </c>
      <c r="K293" s="772">
        <f>+'Phase III Pro Forma'!K290/1000000</f>
        <v>0</v>
      </c>
      <c r="L293" s="772">
        <f>+'Phase III Pro Forma'!L290/1000000</f>
        <v>0</v>
      </c>
      <c r="M293" s="772">
        <f>+'Phase III Pro Forma'!M290/1000000</f>
        <v>0</v>
      </c>
      <c r="N293" s="772">
        <f>+'Phase III Pro Forma'!N290/1000000</f>
        <v>0</v>
      </c>
      <c r="O293" s="772">
        <f>+'Phase III Pro Forma'!O290/1000000</f>
        <v>0</v>
      </c>
      <c r="P293" s="772">
        <f>+'Phase III Pro Forma'!P290/1000000</f>
        <v>0</v>
      </c>
      <c r="Q293" s="772">
        <f>+'Phase III Pro Forma'!Q290/1000000</f>
        <v>0</v>
      </c>
      <c r="R293" s="772">
        <f>+'Phase III Pro Forma'!R290/1000000</f>
        <v>0</v>
      </c>
      <c r="S293" s="772">
        <f>+'Phase III Pro Forma'!S290/1000000</f>
        <v>0</v>
      </c>
      <c r="T293" s="772">
        <f>+'Phase III Pro Forma'!T290/1000000</f>
        <v>0</v>
      </c>
      <c r="U293" s="772">
        <f>+'Phase III Pro Forma'!U290/1000000</f>
        <v>0</v>
      </c>
      <c r="V293" s="772">
        <f>+'Phase III Pro Forma'!V290/1000000</f>
        <v>0</v>
      </c>
      <c r="W293" s="772">
        <f>+'Phase III Pro Forma'!W290/1000000</f>
        <v>0</v>
      </c>
      <c r="X293" s="772">
        <f>+'Phase III Pro Forma'!X290/1000000</f>
        <v>0</v>
      </c>
      <c r="Y293" s="772">
        <f>+'Phase III Pro Forma'!Y290/1000000</f>
        <v>0</v>
      </c>
      <c r="Z293" s="772">
        <f>+'Phase III Pro Forma'!Z290/1000000</f>
        <v>0</v>
      </c>
    </row>
    <row r="294" spans="1:26" x14ac:dyDescent="0.2">
      <c r="B294" s="32" t="s">
        <v>60</v>
      </c>
      <c r="D294" s="47">
        <f t="shared" ca="1" si="97"/>
        <v>11.311824592347085</v>
      </c>
      <c r="E294" s="47"/>
      <c r="F294" s="772">
        <f ca="1">+'Phase III Pro Forma'!F291/1000000</f>
        <v>0</v>
      </c>
      <c r="G294" s="772">
        <f ca="1">+'Phase III Pro Forma'!G291/1000000</f>
        <v>2.8279561480867712</v>
      </c>
      <c r="H294" s="772">
        <f ca="1">+'Phase III Pro Forma'!H291/1000000</f>
        <v>2.8279561480867712</v>
      </c>
      <c r="I294" s="772">
        <f ca="1">+'Phase III Pro Forma'!I291/1000000</f>
        <v>2.8279561480867712</v>
      </c>
      <c r="J294" s="772">
        <f ca="1">+'Phase III Pro Forma'!J291/1000000</f>
        <v>2.8279561480867712</v>
      </c>
      <c r="K294" s="772">
        <f>+'Phase III Pro Forma'!K291/1000000</f>
        <v>0</v>
      </c>
      <c r="L294" s="772">
        <f>+'Phase III Pro Forma'!L291/1000000</f>
        <v>0</v>
      </c>
      <c r="M294" s="772">
        <f>+'Phase III Pro Forma'!M291/1000000</f>
        <v>0</v>
      </c>
      <c r="N294" s="772">
        <f>+'Phase III Pro Forma'!N291/1000000</f>
        <v>0</v>
      </c>
      <c r="O294" s="772">
        <f>+'Phase III Pro Forma'!O291/1000000</f>
        <v>0</v>
      </c>
      <c r="P294" s="772">
        <f>+'Phase III Pro Forma'!P291/1000000</f>
        <v>0</v>
      </c>
      <c r="Q294" s="772">
        <f>+'Phase III Pro Forma'!Q291/1000000</f>
        <v>0</v>
      </c>
      <c r="R294" s="772">
        <f>+'Phase III Pro Forma'!R291/1000000</f>
        <v>0</v>
      </c>
      <c r="S294" s="772">
        <f>+'Phase III Pro Forma'!S291/1000000</f>
        <v>0</v>
      </c>
      <c r="T294" s="772">
        <f>+'Phase III Pro Forma'!T291/1000000</f>
        <v>0</v>
      </c>
      <c r="U294" s="772">
        <f>+'Phase III Pro Forma'!U291/1000000</f>
        <v>0</v>
      </c>
      <c r="V294" s="772">
        <f>+'Phase III Pro Forma'!V291/1000000</f>
        <v>0</v>
      </c>
      <c r="W294" s="772">
        <f>+'Phase III Pro Forma'!W291/1000000</f>
        <v>0</v>
      </c>
      <c r="X294" s="772">
        <f>+'Phase III Pro Forma'!X291/1000000</f>
        <v>0</v>
      </c>
      <c r="Y294" s="772">
        <f>+'Phase III Pro Forma'!Y291/1000000</f>
        <v>0</v>
      </c>
      <c r="Z294" s="772">
        <f>+'Phase III Pro Forma'!Z291/1000000</f>
        <v>0</v>
      </c>
    </row>
    <row r="295" spans="1:26" x14ac:dyDescent="0.2">
      <c r="B295" s="137" t="s">
        <v>20</v>
      </c>
      <c r="C295" s="137"/>
      <c r="D295" s="138">
        <f ca="1">+SUM(F295:Z295)</f>
        <v>397.49423133725003</v>
      </c>
      <c r="E295" s="138"/>
      <c r="F295" s="774">
        <f ca="1">+SUM(F288:F294)</f>
        <v>55.765379325386164</v>
      </c>
      <c r="G295" s="774">
        <f t="shared" ref="G295:Z295" ca="1" si="98">+SUM(G288:G294)</f>
        <v>168.03646985784513</v>
      </c>
      <c r="H295" s="774">
        <f t="shared" ca="1" si="98"/>
        <v>168.03646985784513</v>
      </c>
      <c r="I295" s="774">
        <f t="shared" ca="1" si="98"/>
        <v>2.8279561480867712</v>
      </c>
      <c r="J295" s="774">
        <f t="shared" ca="1" si="98"/>
        <v>2.8279561480867712</v>
      </c>
      <c r="K295" s="774">
        <f t="shared" si="98"/>
        <v>0</v>
      </c>
      <c r="L295" s="774">
        <f t="shared" si="98"/>
        <v>0</v>
      </c>
      <c r="M295" s="774">
        <f t="shared" si="98"/>
        <v>0</v>
      </c>
      <c r="N295" s="774">
        <f t="shared" si="98"/>
        <v>0</v>
      </c>
      <c r="O295" s="774">
        <f t="shared" si="98"/>
        <v>0</v>
      </c>
      <c r="P295" s="774">
        <f t="shared" si="98"/>
        <v>0</v>
      </c>
      <c r="Q295" s="774">
        <f t="shared" si="98"/>
        <v>0</v>
      </c>
      <c r="R295" s="774">
        <f t="shared" si="98"/>
        <v>0</v>
      </c>
      <c r="S295" s="774">
        <f t="shared" si="98"/>
        <v>0</v>
      </c>
      <c r="T295" s="774">
        <f t="shared" si="98"/>
        <v>0</v>
      </c>
      <c r="U295" s="774">
        <f t="shared" si="98"/>
        <v>0</v>
      </c>
      <c r="V295" s="774">
        <f t="shared" si="98"/>
        <v>0</v>
      </c>
      <c r="W295" s="774">
        <f t="shared" si="98"/>
        <v>0</v>
      </c>
      <c r="X295" s="774">
        <f t="shared" si="98"/>
        <v>0</v>
      </c>
      <c r="Y295" s="774">
        <f t="shared" si="98"/>
        <v>0</v>
      </c>
      <c r="Z295" s="774">
        <f t="shared" si="98"/>
        <v>0</v>
      </c>
    </row>
    <row r="296" spans="1:26" ht="5" customHeight="1" x14ac:dyDescent="0.2"/>
    <row r="297" spans="1:26" x14ac:dyDescent="0.2">
      <c r="B297" s="147" t="s">
        <v>347</v>
      </c>
      <c r="F297" s="776">
        <f>+F285</f>
        <v>45657</v>
      </c>
      <c r="G297" s="776">
        <f t="shared" ref="G297:Z297" si="99">+G285</f>
        <v>46022</v>
      </c>
      <c r="H297" s="776">
        <f t="shared" si="99"/>
        <v>46387</v>
      </c>
      <c r="I297" s="776">
        <f t="shared" si="99"/>
        <v>46752</v>
      </c>
      <c r="J297" s="776">
        <f t="shared" si="99"/>
        <v>47118</v>
      </c>
      <c r="K297" s="776">
        <f t="shared" si="99"/>
        <v>47483</v>
      </c>
      <c r="L297" s="776">
        <f t="shared" si="99"/>
        <v>47848</v>
      </c>
      <c r="M297" s="776">
        <f t="shared" si="99"/>
        <v>48213</v>
      </c>
      <c r="N297" s="776">
        <f t="shared" si="99"/>
        <v>48579</v>
      </c>
      <c r="O297" s="776">
        <f t="shared" si="99"/>
        <v>48944</v>
      </c>
      <c r="P297" s="776">
        <f t="shared" si="99"/>
        <v>49309</v>
      </c>
      <c r="Q297" s="776">
        <f t="shared" si="99"/>
        <v>49674</v>
      </c>
      <c r="R297" s="776">
        <f t="shared" si="99"/>
        <v>50040</v>
      </c>
      <c r="S297" s="776">
        <f t="shared" si="99"/>
        <v>50405</v>
      </c>
      <c r="T297" s="776">
        <f t="shared" si="99"/>
        <v>50770</v>
      </c>
      <c r="U297" s="776">
        <f t="shared" si="99"/>
        <v>51135</v>
      </c>
      <c r="V297" s="776">
        <f t="shared" si="99"/>
        <v>51501</v>
      </c>
      <c r="W297" s="776">
        <f t="shared" si="99"/>
        <v>51866</v>
      </c>
      <c r="X297" s="776">
        <f t="shared" si="99"/>
        <v>52231</v>
      </c>
      <c r="Y297" s="776">
        <f t="shared" si="99"/>
        <v>52596</v>
      </c>
      <c r="Z297" s="776">
        <f t="shared" si="99"/>
        <v>52962</v>
      </c>
    </row>
    <row r="298" spans="1:26" x14ac:dyDescent="0.2">
      <c r="A298" s="107"/>
      <c r="B298" s="32" t="s">
        <v>29</v>
      </c>
      <c r="D298" s="47">
        <f t="shared" ref="D298:D307" ca="1" si="100">+SUM(F298:Z298)</f>
        <v>78.560429144797737</v>
      </c>
      <c r="E298" s="47"/>
      <c r="F298" s="48">
        <f ca="1">+'Phase III Pro Forma'!F295/1000000</f>
        <v>55.765379325386164</v>
      </c>
      <c r="G298" s="48">
        <f ca="1">+'Phase III Pro Forma'!G295/1000000</f>
        <v>22.795049819411577</v>
      </c>
      <c r="H298" s="48">
        <f ca="1">+'Phase III Pro Forma'!H295/1000000</f>
        <v>0</v>
      </c>
      <c r="I298" s="48">
        <f ca="1">+'Phase III Pro Forma'!I295/1000000</f>
        <v>0</v>
      </c>
      <c r="J298" s="48">
        <f ca="1">+'Phase III Pro Forma'!J295/1000000</f>
        <v>0</v>
      </c>
      <c r="K298" s="48">
        <f ca="1">+'Phase III Pro Forma'!K295/1000000</f>
        <v>0</v>
      </c>
      <c r="L298" s="48">
        <f ca="1">+'Phase III Pro Forma'!L295/1000000</f>
        <v>0</v>
      </c>
      <c r="M298" s="48">
        <f ca="1">+'Phase III Pro Forma'!M295/1000000</f>
        <v>0</v>
      </c>
      <c r="N298" s="48">
        <f ca="1">+'Phase III Pro Forma'!N295/1000000</f>
        <v>0</v>
      </c>
      <c r="O298" s="48">
        <f ca="1">+'Phase III Pro Forma'!O295/1000000</f>
        <v>0</v>
      </c>
      <c r="P298" s="48">
        <f ca="1">+'Phase III Pro Forma'!P295/1000000</f>
        <v>0</v>
      </c>
      <c r="Q298" s="48">
        <f ca="1">+'Phase III Pro Forma'!Q295/1000000</f>
        <v>0</v>
      </c>
      <c r="R298" s="48">
        <f ca="1">+'Phase III Pro Forma'!R295/1000000</f>
        <v>0</v>
      </c>
      <c r="S298" s="48">
        <f ca="1">+'Phase III Pro Forma'!S295/1000000</f>
        <v>0</v>
      </c>
      <c r="T298" s="48">
        <f ca="1">+'Phase III Pro Forma'!T295/1000000</f>
        <v>0</v>
      </c>
      <c r="U298" s="48">
        <f ca="1">+'Phase III Pro Forma'!U295/1000000</f>
        <v>0</v>
      </c>
      <c r="V298" s="48">
        <f ca="1">+'Phase III Pro Forma'!V295/1000000</f>
        <v>0</v>
      </c>
      <c r="W298" s="48">
        <f ca="1">+'Phase III Pro Forma'!W295/1000000</f>
        <v>0</v>
      </c>
      <c r="X298" s="48">
        <f ca="1">+'Phase III Pro Forma'!X295/1000000</f>
        <v>0</v>
      </c>
      <c r="Y298" s="48">
        <f ca="1">+'Phase III Pro Forma'!Y295/1000000</f>
        <v>0</v>
      </c>
      <c r="Z298" s="48">
        <f ca="1">+'Phase III Pro Forma'!Z295/1000000</f>
        <v>0</v>
      </c>
    </row>
    <row r="299" spans="1:26" hidden="1" x14ac:dyDescent="0.2">
      <c r="B299" s="32" t="s">
        <v>326</v>
      </c>
      <c r="D299" s="47">
        <f t="shared" ca="1" si="100"/>
        <v>0</v>
      </c>
      <c r="E299" s="47"/>
      <c r="F299" s="772">
        <f ca="1">+'Phase III Pro Forma'!F296/1000000</f>
        <v>0</v>
      </c>
      <c r="G299" s="772">
        <f ca="1">+'Phase III Pro Forma'!G296/1000000</f>
        <v>0</v>
      </c>
      <c r="H299" s="772">
        <f ca="1">+'Phase III Pro Forma'!H296/1000000</f>
        <v>0</v>
      </c>
      <c r="I299" s="772">
        <f ca="1">+'Phase III Pro Forma'!I296/1000000</f>
        <v>0</v>
      </c>
      <c r="J299" s="772">
        <f ca="1">+'Phase III Pro Forma'!J296/1000000</f>
        <v>0</v>
      </c>
      <c r="K299" s="772">
        <f ca="1">+'Phase III Pro Forma'!K296/1000000</f>
        <v>0</v>
      </c>
      <c r="L299" s="772">
        <f ca="1">+'Phase III Pro Forma'!L296/1000000</f>
        <v>0</v>
      </c>
      <c r="M299" s="772">
        <f ca="1">+'Phase III Pro Forma'!M296/1000000</f>
        <v>0</v>
      </c>
      <c r="N299" s="772">
        <f ca="1">+'Phase III Pro Forma'!N296/1000000</f>
        <v>0</v>
      </c>
      <c r="O299" s="772">
        <f ca="1">+'Phase III Pro Forma'!O296/1000000</f>
        <v>0</v>
      </c>
      <c r="P299" s="772">
        <f ca="1">+'Phase III Pro Forma'!P296/1000000</f>
        <v>0</v>
      </c>
      <c r="Q299" s="772">
        <f ca="1">+'Phase III Pro Forma'!Q296/1000000</f>
        <v>0</v>
      </c>
      <c r="R299" s="772">
        <f ca="1">+'Phase III Pro Forma'!R296/1000000</f>
        <v>0</v>
      </c>
      <c r="S299" s="772">
        <f ca="1">+'Phase III Pro Forma'!S296/1000000</f>
        <v>0</v>
      </c>
      <c r="T299" s="772">
        <f ca="1">+'Phase III Pro Forma'!T296/1000000</f>
        <v>0</v>
      </c>
      <c r="U299" s="772">
        <f ca="1">+'Phase III Pro Forma'!U296/1000000</f>
        <v>0</v>
      </c>
      <c r="V299" s="772">
        <f ca="1">+'Phase III Pro Forma'!V296/1000000</f>
        <v>0</v>
      </c>
      <c r="W299" s="772">
        <f ca="1">+'Phase III Pro Forma'!W296/1000000</f>
        <v>0</v>
      </c>
      <c r="X299" s="772">
        <f ca="1">+'Phase III Pro Forma'!X296/1000000</f>
        <v>0</v>
      </c>
      <c r="Y299" s="772">
        <f ca="1">+'Phase III Pro Forma'!Y296/1000000</f>
        <v>0</v>
      </c>
      <c r="Z299" s="772">
        <f ca="1">+'Phase III Pro Forma'!Z296/1000000</f>
        <v>0</v>
      </c>
    </row>
    <row r="300" spans="1:26" x14ac:dyDescent="0.2">
      <c r="B300" s="32" t="s">
        <v>99</v>
      </c>
      <c r="D300" s="47">
        <f t="shared" ca="1" si="100"/>
        <v>10.625026803841823</v>
      </c>
      <c r="E300" s="47"/>
      <c r="F300" s="772">
        <f ca="1">+'Phase III Pro Forma'!F297/1000000</f>
        <v>0</v>
      </c>
      <c r="G300" s="772">
        <f ca="1">+'Phase III Pro Forma'!G297/1000000</f>
        <v>10.625026803841823</v>
      </c>
      <c r="H300" s="772">
        <f ca="1">+'Phase III Pro Forma'!H297/1000000</f>
        <v>0</v>
      </c>
      <c r="I300" s="772">
        <f ca="1">+'Phase III Pro Forma'!I297/1000000</f>
        <v>0</v>
      </c>
      <c r="J300" s="772">
        <f ca="1">+'Phase III Pro Forma'!J297/1000000</f>
        <v>0</v>
      </c>
      <c r="K300" s="772">
        <f ca="1">+'Phase III Pro Forma'!K297/1000000</f>
        <v>0</v>
      </c>
      <c r="L300" s="772">
        <f ca="1">+'Phase III Pro Forma'!L297/1000000</f>
        <v>0</v>
      </c>
      <c r="M300" s="772">
        <f ca="1">+'Phase III Pro Forma'!M297/1000000</f>
        <v>0</v>
      </c>
      <c r="N300" s="772">
        <f ca="1">+'Phase III Pro Forma'!N297/1000000</f>
        <v>0</v>
      </c>
      <c r="O300" s="772">
        <f ca="1">+'Phase III Pro Forma'!O297/1000000</f>
        <v>0</v>
      </c>
      <c r="P300" s="772">
        <f ca="1">+'Phase III Pro Forma'!P297/1000000</f>
        <v>0</v>
      </c>
      <c r="Q300" s="772">
        <f ca="1">+'Phase III Pro Forma'!Q297/1000000</f>
        <v>0</v>
      </c>
      <c r="R300" s="772">
        <f ca="1">+'Phase III Pro Forma'!R297/1000000</f>
        <v>0</v>
      </c>
      <c r="S300" s="772">
        <f ca="1">+'Phase III Pro Forma'!S297/1000000</f>
        <v>0</v>
      </c>
      <c r="T300" s="772">
        <f ca="1">+'Phase III Pro Forma'!T297/1000000</f>
        <v>0</v>
      </c>
      <c r="U300" s="772">
        <f ca="1">+'Phase III Pro Forma'!U297/1000000</f>
        <v>0</v>
      </c>
      <c r="V300" s="772">
        <f ca="1">+'Phase III Pro Forma'!V297/1000000</f>
        <v>0</v>
      </c>
      <c r="W300" s="772">
        <f ca="1">+'Phase III Pro Forma'!W297/1000000</f>
        <v>0</v>
      </c>
      <c r="X300" s="772">
        <f ca="1">+'Phase III Pro Forma'!X297/1000000</f>
        <v>0</v>
      </c>
      <c r="Y300" s="772">
        <f ca="1">+'Phase III Pro Forma'!Y297/1000000</f>
        <v>0</v>
      </c>
      <c r="Z300" s="772">
        <f ca="1">+'Phase III Pro Forma'!Z297/1000000</f>
        <v>0</v>
      </c>
    </row>
    <row r="301" spans="1:26" x14ac:dyDescent="0.2">
      <c r="B301" s="32" t="s">
        <v>100</v>
      </c>
      <c r="D301" s="47">
        <f t="shared" ca="1" si="100"/>
        <v>5.5380000000000003</v>
      </c>
      <c r="E301" s="47"/>
      <c r="F301" s="772">
        <f ca="1">+'Phase III Pro Forma'!F298/1000000</f>
        <v>0</v>
      </c>
      <c r="G301" s="772">
        <f ca="1">+'Phase III Pro Forma'!G298/1000000</f>
        <v>5.5380000000000003</v>
      </c>
      <c r="H301" s="772">
        <f ca="1">+'Phase III Pro Forma'!H298/1000000</f>
        <v>0</v>
      </c>
      <c r="I301" s="772">
        <f ca="1">+'Phase III Pro Forma'!I298/1000000</f>
        <v>0</v>
      </c>
      <c r="J301" s="772">
        <f ca="1">+'Phase III Pro Forma'!J298/1000000</f>
        <v>0</v>
      </c>
      <c r="K301" s="772">
        <f ca="1">+'Phase III Pro Forma'!K298/1000000</f>
        <v>0</v>
      </c>
      <c r="L301" s="772">
        <f ca="1">+'Phase III Pro Forma'!L298/1000000</f>
        <v>0</v>
      </c>
      <c r="M301" s="772">
        <f ca="1">+'Phase III Pro Forma'!M298/1000000</f>
        <v>0</v>
      </c>
      <c r="N301" s="772">
        <f ca="1">+'Phase III Pro Forma'!N298/1000000</f>
        <v>0</v>
      </c>
      <c r="O301" s="772">
        <f ca="1">+'Phase III Pro Forma'!O298/1000000</f>
        <v>0</v>
      </c>
      <c r="P301" s="772">
        <f ca="1">+'Phase III Pro Forma'!P298/1000000</f>
        <v>0</v>
      </c>
      <c r="Q301" s="772">
        <f ca="1">+'Phase III Pro Forma'!Q298/1000000</f>
        <v>0</v>
      </c>
      <c r="R301" s="772">
        <f ca="1">+'Phase III Pro Forma'!R298/1000000</f>
        <v>0</v>
      </c>
      <c r="S301" s="772">
        <f ca="1">+'Phase III Pro Forma'!S298/1000000</f>
        <v>0</v>
      </c>
      <c r="T301" s="772">
        <f ca="1">+'Phase III Pro Forma'!T298/1000000</f>
        <v>0</v>
      </c>
      <c r="U301" s="772">
        <f ca="1">+'Phase III Pro Forma'!U298/1000000</f>
        <v>0</v>
      </c>
      <c r="V301" s="772">
        <f ca="1">+'Phase III Pro Forma'!V298/1000000</f>
        <v>0</v>
      </c>
      <c r="W301" s="772">
        <f ca="1">+'Phase III Pro Forma'!W298/1000000</f>
        <v>0</v>
      </c>
      <c r="X301" s="772">
        <f ca="1">+'Phase III Pro Forma'!X298/1000000</f>
        <v>0</v>
      </c>
      <c r="Y301" s="772">
        <f ca="1">+'Phase III Pro Forma'!Y298/1000000</f>
        <v>0</v>
      </c>
      <c r="Z301" s="772">
        <f ca="1">+'Phase III Pro Forma'!Z298/1000000</f>
        <v>0</v>
      </c>
    </row>
    <row r="302" spans="1:26" x14ac:dyDescent="0.2">
      <c r="B302" s="32" t="s">
        <v>613</v>
      </c>
      <c r="D302" s="47">
        <f t="shared" ca="1" si="100"/>
        <v>0</v>
      </c>
      <c r="E302" s="47"/>
      <c r="F302" s="772">
        <f ca="1">+'Phase III Pro Forma'!F299/1000000</f>
        <v>0</v>
      </c>
      <c r="G302" s="772">
        <f ca="1">+'Phase III Pro Forma'!G299/1000000</f>
        <v>0</v>
      </c>
      <c r="H302" s="772">
        <f ca="1">+'Phase III Pro Forma'!H299/1000000</f>
        <v>0</v>
      </c>
      <c r="I302" s="772">
        <f ca="1">+'Phase III Pro Forma'!I299/1000000</f>
        <v>0</v>
      </c>
      <c r="J302" s="772">
        <f ca="1">+'Phase III Pro Forma'!J299/1000000</f>
        <v>0</v>
      </c>
      <c r="K302" s="772">
        <f ca="1">+'Phase III Pro Forma'!K299/1000000</f>
        <v>0</v>
      </c>
      <c r="L302" s="772">
        <f ca="1">+'Phase III Pro Forma'!L299/1000000</f>
        <v>0</v>
      </c>
      <c r="M302" s="772">
        <f ca="1">+'Phase III Pro Forma'!M299/1000000</f>
        <v>0</v>
      </c>
      <c r="N302" s="772">
        <f ca="1">+'Phase III Pro Forma'!N299/1000000</f>
        <v>0</v>
      </c>
      <c r="O302" s="772">
        <f ca="1">+'Phase III Pro Forma'!O299/1000000</f>
        <v>0</v>
      </c>
      <c r="P302" s="772">
        <f ca="1">+'Phase III Pro Forma'!P299/1000000</f>
        <v>0</v>
      </c>
      <c r="Q302" s="772">
        <f ca="1">+'Phase III Pro Forma'!Q299/1000000</f>
        <v>0</v>
      </c>
      <c r="R302" s="772">
        <f ca="1">+'Phase III Pro Forma'!R299/1000000</f>
        <v>0</v>
      </c>
      <c r="S302" s="772">
        <f ca="1">+'Phase III Pro Forma'!S299/1000000</f>
        <v>0</v>
      </c>
      <c r="T302" s="772">
        <f ca="1">+'Phase III Pro Forma'!T299/1000000</f>
        <v>0</v>
      </c>
      <c r="U302" s="772">
        <f ca="1">+'Phase III Pro Forma'!U299/1000000</f>
        <v>0</v>
      </c>
      <c r="V302" s="772">
        <f ca="1">+'Phase III Pro Forma'!V299/1000000</f>
        <v>0</v>
      </c>
      <c r="W302" s="772">
        <f ca="1">+'Phase III Pro Forma'!W299/1000000</f>
        <v>0</v>
      </c>
      <c r="X302" s="772">
        <f ca="1">+'Phase III Pro Forma'!X299/1000000</f>
        <v>0</v>
      </c>
      <c r="Y302" s="772">
        <f ca="1">+'Phase III Pro Forma'!Y299/1000000</f>
        <v>0</v>
      </c>
      <c r="Z302" s="772">
        <f ca="1">+'Phase III Pro Forma'!Z299/1000000</f>
        <v>0</v>
      </c>
    </row>
    <row r="303" spans="1:26" x14ac:dyDescent="0.2">
      <c r="A303" s="107"/>
      <c r="B303" s="32" t="s">
        <v>330</v>
      </c>
      <c r="D303" s="47">
        <f t="shared" ca="1" si="100"/>
        <v>238.49653880234996</v>
      </c>
      <c r="E303" s="47"/>
      <c r="F303" s="772">
        <f ca="1">+'Phase III Pro Forma'!F300/1000000</f>
        <v>0</v>
      </c>
      <c r="G303" s="772">
        <f ca="1">+'Phase III Pro Forma'!G300/1000000</f>
        <v>129.07839323459172</v>
      </c>
      <c r="H303" s="772">
        <f ca="1">+'Phase III Pro Forma'!H300/1000000</f>
        <v>109.41814556775826</v>
      </c>
      <c r="I303" s="772">
        <f ca="1">+'Phase III Pro Forma'!I300/1000000</f>
        <v>0</v>
      </c>
      <c r="J303" s="772">
        <f ca="1">+'Phase III Pro Forma'!J300/1000000</f>
        <v>0</v>
      </c>
      <c r="K303" s="772">
        <f ca="1">+'Phase III Pro Forma'!K300/1000000</f>
        <v>0</v>
      </c>
      <c r="L303" s="772">
        <f ca="1">+'Phase III Pro Forma'!L300/1000000</f>
        <v>0</v>
      </c>
      <c r="M303" s="772">
        <f ca="1">+'Phase III Pro Forma'!M300/1000000</f>
        <v>0</v>
      </c>
      <c r="N303" s="772">
        <f ca="1">+'Phase III Pro Forma'!N300/1000000</f>
        <v>0</v>
      </c>
      <c r="O303" s="772">
        <f ca="1">+'Phase III Pro Forma'!O300/1000000</f>
        <v>0</v>
      </c>
      <c r="P303" s="772">
        <f ca="1">+'Phase III Pro Forma'!P300/1000000</f>
        <v>0</v>
      </c>
      <c r="Q303" s="772">
        <f ca="1">+'Phase III Pro Forma'!Q300/1000000</f>
        <v>0</v>
      </c>
      <c r="R303" s="772">
        <f ca="1">+'Phase III Pro Forma'!R300/1000000</f>
        <v>0</v>
      </c>
      <c r="S303" s="772">
        <f ca="1">+'Phase III Pro Forma'!S300/1000000</f>
        <v>0</v>
      </c>
      <c r="T303" s="772">
        <f ca="1">+'Phase III Pro Forma'!T300/1000000</f>
        <v>0</v>
      </c>
      <c r="U303" s="772">
        <f ca="1">+'Phase III Pro Forma'!U300/1000000</f>
        <v>0</v>
      </c>
      <c r="V303" s="772">
        <f ca="1">+'Phase III Pro Forma'!V300/1000000</f>
        <v>0</v>
      </c>
      <c r="W303" s="772">
        <f ca="1">+'Phase III Pro Forma'!W300/1000000</f>
        <v>0</v>
      </c>
      <c r="X303" s="772">
        <f ca="1">+'Phase III Pro Forma'!X300/1000000</f>
        <v>0</v>
      </c>
      <c r="Y303" s="772">
        <f ca="1">+'Phase III Pro Forma'!Y300/1000000</f>
        <v>0</v>
      </c>
      <c r="Z303" s="772">
        <f ca="1">+'Phase III Pro Forma'!Z300/1000000</f>
        <v>0</v>
      </c>
    </row>
    <row r="304" spans="1:26" x14ac:dyDescent="0.2">
      <c r="A304" s="107"/>
      <c r="B304" s="32" t="s">
        <v>98</v>
      </c>
      <c r="D304" s="47">
        <f t="shared" ca="1" si="100"/>
        <v>64.2742365862604</v>
      </c>
      <c r="E304" s="47"/>
      <c r="F304" s="772">
        <f ca="1">+'Phase III Pro Forma'!F301/1000000</f>
        <v>0</v>
      </c>
      <c r="G304" s="772">
        <f ca="1">+'Phase III Pro Forma'!G301/1000000</f>
        <v>0</v>
      </c>
      <c r="H304" s="772">
        <f ca="1">+'Phase III Pro Forma'!H301/1000000</f>
        <v>58.618324290086868</v>
      </c>
      <c r="I304" s="772">
        <f ca="1">+'Phase III Pro Forma'!I301/1000000</f>
        <v>2.8279561480867712</v>
      </c>
      <c r="J304" s="772">
        <f ca="1">+'Phase III Pro Forma'!J301/1000000</f>
        <v>2.8279561480867192</v>
      </c>
      <c r="K304" s="772">
        <f ca="1">+'Phase III Pro Forma'!K301/1000000</f>
        <v>0</v>
      </c>
      <c r="L304" s="772">
        <f ca="1">+'Phase III Pro Forma'!L301/1000000</f>
        <v>0</v>
      </c>
      <c r="M304" s="772">
        <f ca="1">+'Phase III Pro Forma'!M301/1000000</f>
        <v>0</v>
      </c>
      <c r="N304" s="772">
        <f ca="1">+'Phase III Pro Forma'!N301/1000000</f>
        <v>0</v>
      </c>
      <c r="O304" s="772">
        <f ca="1">+'Phase III Pro Forma'!O301/1000000</f>
        <v>0</v>
      </c>
      <c r="P304" s="772">
        <f ca="1">+'Phase III Pro Forma'!P301/1000000</f>
        <v>0</v>
      </c>
      <c r="Q304" s="772">
        <f ca="1">+'Phase III Pro Forma'!Q301/1000000</f>
        <v>0</v>
      </c>
      <c r="R304" s="772">
        <f ca="1">+'Phase III Pro Forma'!R301/1000000</f>
        <v>0</v>
      </c>
      <c r="S304" s="772">
        <f ca="1">+'Phase III Pro Forma'!S301/1000000</f>
        <v>0</v>
      </c>
      <c r="T304" s="772">
        <f ca="1">+'Phase III Pro Forma'!T301/1000000</f>
        <v>0</v>
      </c>
      <c r="U304" s="772">
        <f ca="1">+'Phase III Pro Forma'!U301/1000000</f>
        <v>0</v>
      </c>
      <c r="V304" s="772">
        <f ca="1">+'Phase III Pro Forma'!V301/1000000</f>
        <v>0</v>
      </c>
      <c r="W304" s="772">
        <f ca="1">+'Phase III Pro Forma'!W301/1000000</f>
        <v>0</v>
      </c>
      <c r="X304" s="772">
        <f ca="1">+'Phase III Pro Forma'!X301/1000000</f>
        <v>0</v>
      </c>
      <c r="Y304" s="772">
        <f ca="1">+'Phase III Pro Forma'!Y301/1000000</f>
        <v>0</v>
      </c>
      <c r="Z304" s="772">
        <f ca="1">+'Phase III Pro Forma'!Z301/1000000</f>
        <v>0</v>
      </c>
    </row>
    <row r="305" spans="2:26" x14ac:dyDescent="0.2">
      <c r="B305" s="137" t="s">
        <v>377</v>
      </c>
      <c r="C305" s="137"/>
      <c r="D305" s="138">
        <f t="shared" ca="1" si="100"/>
        <v>397.49423133724997</v>
      </c>
      <c r="E305" s="138"/>
      <c r="F305" s="774">
        <f t="shared" ref="F305:Z305" ca="1" si="101">+SUM(F298:F304)</f>
        <v>55.765379325386164</v>
      </c>
      <c r="G305" s="774">
        <f t="shared" ca="1" si="101"/>
        <v>168.03646985784513</v>
      </c>
      <c r="H305" s="774">
        <f t="shared" ca="1" si="101"/>
        <v>168.03646985784513</v>
      </c>
      <c r="I305" s="774">
        <f t="shared" ca="1" si="101"/>
        <v>2.8279561480867712</v>
      </c>
      <c r="J305" s="774">
        <f t="shared" ca="1" si="101"/>
        <v>2.8279561480867192</v>
      </c>
      <c r="K305" s="774">
        <f t="shared" ca="1" si="101"/>
        <v>0</v>
      </c>
      <c r="L305" s="774">
        <f t="shared" ca="1" si="101"/>
        <v>0</v>
      </c>
      <c r="M305" s="774">
        <f t="shared" ca="1" si="101"/>
        <v>0</v>
      </c>
      <c r="N305" s="774">
        <f t="shared" ca="1" si="101"/>
        <v>0</v>
      </c>
      <c r="O305" s="774">
        <f t="shared" ca="1" si="101"/>
        <v>0</v>
      </c>
      <c r="P305" s="774">
        <f t="shared" ca="1" si="101"/>
        <v>0</v>
      </c>
      <c r="Q305" s="774">
        <f t="shared" ca="1" si="101"/>
        <v>0</v>
      </c>
      <c r="R305" s="774">
        <f t="shared" ca="1" si="101"/>
        <v>0</v>
      </c>
      <c r="S305" s="774">
        <f t="shared" ca="1" si="101"/>
        <v>0</v>
      </c>
      <c r="T305" s="774">
        <f t="shared" ca="1" si="101"/>
        <v>0</v>
      </c>
      <c r="U305" s="774">
        <f t="shared" ca="1" si="101"/>
        <v>0</v>
      </c>
      <c r="V305" s="774">
        <f t="shared" ca="1" si="101"/>
        <v>0</v>
      </c>
      <c r="W305" s="774">
        <f t="shared" ca="1" si="101"/>
        <v>0</v>
      </c>
      <c r="X305" s="774">
        <f t="shared" ca="1" si="101"/>
        <v>0</v>
      </c>
      <c r="Y305" s="774">
        <f t="shared" ca="1" si="101"/>
        <v>0</v>
      </c>
      <c r="Z305" s="774">
        <f t="shared" ca="1" si="101"/>
        <v>0</v>
      </c>
    </row>
    <row r="306" spans="2:26" ht="5" customHeight="1" x14ac:dyDescent="0.2"/>
    <row r="307" spans="2:26" hidden="1" outlineLevel="1" x14ac:dyDescent="0.2">
      <c r="B307" s="788" t="s">
        <v>437</v>
      </c>
      <c r="C307" s="793"/>
      <c r="D307" s="803">
        <f t="shared" ca="1" si="100"/>
        <v>80.437263390102217</v>
      </c>
      <c r="E307" s="793"/>
      <c r="F307" s="789">
        <f ca="1">+SUM(F299:F302,F304)</f>
        <v>0</v>
      </c>
      <c r="G307" s="789">
        <f t="shared" ref="G307:Z307" ca="1" si="102">+SUM(G299:G302,G304)</f>
        <v>16.163026803841824</v>
      </c>
      <c r="H307" s="789">
        <f t="shared" ca="1" si="102"/>
        <v>58.618324290086868</v>
      </c>
      <c r="I307" s="789">
        <f t="shared" ca="1" si="102"/>
        <v>2.8279561480867712</v>
      </c>
      <c r="J307" s="789">
        <f t="shared" ca="1" si="102"/>
        <v>2.8279561480867192</v>
      </c>
      <c r="K307" s="789">
        <f t="shared" ca="1" si="102"/>
        <v>0</v>
      </c>
      <c r="L307" s="789">
        <f t="shared" ca="1" si="102"/>
        <v>0</v>
      </c>
      <c r="M307" s="789">
        <f t="shared" ca="1" si="102"/>
        <v>0</v>
      </c>
      <c r="N307" s="789">
        <f t="shared" ca="1" si="102"/>
        <v>0</v>
      </c>
      <c r="O307" s="789">
        <f t="shared" ca="1" si="102"/>
        <v>0</v>
      </c>
      <c r="P307" s="789">
        <f t="shared" ca="1" si="102"/>
        <v>0</v>
      </c>
      <c r="Q307" s="789">
        <f t="shared" ca="1" si="102"/>
        <v>0</v>
      </c>
      <c r="R307" s="789">
        <f t="shared" ca="1" si="102"/>
        <v>0</v>
      </c>
      <c r="S307" s="789">
        <f t="shared" ca="1" si="102"/>
        <v>0</v>
      </c>
      <c r="T307" s="789">
        <f t="shared" ca="1" si="102"/>
        <v>0</v>
      </c>
      <c r="U307" s="789">
        <f t="shared" ca="1" si="102"/>
        <v>0</v>
      </c>
      <c r="V307" s="789">
        <f t="shared" ca="1" si="102"/>
        <v>0</v>
      </c>
      <c r="W307" s="789">
        <f t="shared" ca="1" si="102"/>
        <v>0</v>
      </c>
      <c r="X307" s="789">
        <f t="shared" ca="1" si="102"/>
        <v>0</v>
      </c>
      <c r="Y307" s="789">
        <f t="shared" ca="1" si="102"/>
        <v>0</v>
      </c>
      <c r="Z307" s="789">
        <f t="shared" ca="1" si="102"/>
        <v>0</v>
      </c>
    </row>
    <row r="308" spans="2:26" hidden="1" outlineLevel="1" x14ac:dyDescent="0.2">
      <c r="B308" s="793"/>
      <c r="C308" s="793"/>
      <c r="D308" s="793"/>
      <c r="E308" s="793"/>
      <c r="F308" s="793"/>
      <c r="G308" s="793"/>
      <c r="H308" s="793"/>
      <c r="I308" s="793"/>
      <c r="J308" s="793"/>
      <c r="K308" s="793"/>
      <c r="L308" s="793"/>
      <c r="M308" s="793"/>
      <c r="N308" s="793"/>
      <c r="O308" s="793"/>
      <c r="P308" s="793"/>
      <c r="Q308" s="793"/>
      <c r="R308" s="793"/>
      <c r="S308" s="793"/>
      <c r="T308" s="793"/>
      <c r="U308" s="793"/>
      <c r="V308" s="793"/>
      <c r="W308" s="793"/>
      <c r="X308" s="793"/>
      <c r="Y308" s="793"/>
      <c r="Z308" s="793"/>
    </row>
    <row r="309" spans="2:26" collapsed="1" x14ac:dyDescent="0.2">
      <c r="B309" s="147" t="s">
        <v>348</v>
      </c>
    </row>
    <row r="310" spans="2:26" x14ac:dyDescent="0.2">
      <c r="B310" s="32" t="s">
        <v>349</v>
      </c>
      <c r="D310" s="47">
        <f ca="1">+SUM(F310:Z310)</f>
        <v>-78.560429144797737</v>
      </c>
      <c r="E310" s="47"/>
      <c r="F310" s="48">
        <f t="shared" ref="F310:Z310" ca="1" si="103">-F298</f>
        <v>-55.765379325386164</v>
      </c>
      <c r="G310" s="48">
        <f t="shared" ca="1" si="103"/>
        <v>-22.795049819411577</v>
      </c>
      <c r="H310" s="48">
        <f t="shared" ca="1" si="103"/>
        <v>0</v>
      </c>
      <c r="I310" s="48">
        <f t="shared" ca="1" si="103"/>
        <v>0</v>
      </c>
      <c r="J310" s="48">
        <f t="shared" ca="1" si="103"/>
        <v>0</v>
      </c>
      <c r="K310" s="48">
        <f t="shared" ca="1" si="103"/>
        <v>0</v>
      </c>
      <c r="L310" s="48">
        <f t="shared" ca="1" si="103"/>
        <v>0</v>
      </c>
      <c r="M310" s="48">
        <f t="shared" ca="1" si="103"/>
        <v>0</v>
      </c>
      <c r="N310" s="48">
        <f t="shared" ca="1" si="103"/>
        <v>0</v>
      </c>
      <c r="O310" s="48">
        <f t="shared" ca="1" si="103"/>
        <v>0</v>
      </c>
      <c r="P310" s="48">
        <f t="shared" ca="1" si="103"/>
        <v>0</v>
      </c>
      <c r="Q310" s="48">
        <f t="shared" ca="1" si="103"/>
        <v>0</v>
      </c>
      <c r="R310" s="48">
        <f t="shared" ca="1" si="103"/>
        <v>0</v>
      </c>
      <c r="S310" s="48">
        <f t="shared" ca="1" si="103"/>
        <v>0</v>
      </c>
      <c r="T310" s="48">
        <f t="shared" ca="1" si="103"/>
        <v>0</v>
      </c>
      <c r="U310" s="48">
        <f t="shared" ca="1" si="103"/>
        <v>0</v>
      </c>
      <c r="V310" s="48">
        <f t="shared" ca="1" si="103"/>
        <v>0</v>
      </c>
      <c r="W310" s="48">
        <f t="shared" ca="1" si="103"/>
        <v>0</v>
      </c>
      <c r="X310" s="48">
        <f t="shared" ca="1" si="103"/>
        <v>0</v>
      </c>
      <c r="Y310" s="48">
        <f t="shared" ca="1" si="103"/>
        <v>0</v>
      </c>
      <c r="Z310" s="48">
        <f t="shared" ca="1" si="103"/>
        <v>0</v>
      </c>
    </row>
    <row r="311" spans="2:26" x14ac:dyDescent="0.2">
      <c r="B311" s="32" t="s">
        <v>350</v>
      </c>
      <c r="D311" s="47">
        <f t="shared" ref="D311" ca="1" si="104">+SUM(F311:Z311)</f>
        <v>235.96439819676758</v>
      </c>
      <c r="E311" s="47"/>
      <c r="F311" s="772">
        <f ca="1">+F280</f>
        <v>0</v>
      </c>
      <c r="G311" s="772">
        <f t="shared" ref="G311:Z311" ca="1" si="105">+G280</f>
        <v>0</v>
      </c>
      <c r="H311" s="772">
        <f t="shared" ca="1" si="105"/>
        <v>0</v>
      </c>
      <c r="I311" s="772">
        <f t="shared" ca="1" si="105"/>
        <v>34.294946008652275</v>
      </c>
      <c r="J311" s="772">
        <f t="shared" ca="1" si="105"/>
        <v>5.1637070895398312</v>
      </c>
      <c r="K311" s="772">
        <f t="shared" ca="1" si="105"/>
        <v>5.4464813733853701</v>
      </c>
      <c r="L311" s="772">
        <f t="shared" ca="1" si="105"/>
        <v>191.05926372519031</v>
      </c>
      <c r="M311" s="772">
        <f t="shared" si="105"/>
        <v>0</v>
      </c>
      <c r="N311" s="772">
        <f t="shared" si="105"/>
        <v>0</v>
      </c>
      <c r="O311" s="772">
        <f t="shared" si="105"/>
        <v>0</v>
      </c>
      <c r="P311" s="772">
        <f t="shared" si="105"/>
        <v>0</v>
      </c>
      <c r="Q311" s="772">
        <f t="shared" si="105"/>
        <v>0</v>
      </c>
      <c r="R311" s="772">
        <f t="shared" si="105"/>
        <v>0</v>
      </c>
      <c r="S311" s="772">
        <f t="shared" si="105"/>
        <v>0</v>
      </c>
      <c r="T311" s="772">
        <f t="shared" si="105"/>
        <v>0</v>
      </c>
      <c r="U311" s="772">
        <f t="shared" si="105"/>
        <v>0</v>
      </c>
      <c r="V311" s="772">
        <f t="shared" si="105"/>
        <v>0</v>
      </c>
      <c r="W311" s="772">
        <f t="shared" si="105"/>
        <v>0</v>
      </c>
      <c r="X311" s="772">
        <f t="shared" si="105"/>
        <v>0</v>
      </c>
      <c r="Y311" s="772">
        <f t="shared" si="105"/>
        <v>0</v>
      </c>
      <c r="Z311" s="772">
        <f t="shared" si="105"/>
        <v>0</v>
      </c>
    </row>
    <row r="312" spans="2:26" x14ac:dyDescent="0.2">
      <c r="B312" s="137" t="s">
        <v>351</v>
      </c>
      <c r="C312" s="137"/>
      <c r="D312" s="138">
        <f ca="1">+SUM(F312:Z312)</f>
        <v>157.40396905196985</v>
      </c>
      <c r="E312" s="138"/>
      <c r="F312" s="774">
        <f ca="1">+SUM(F310:F311)</f>
        <v>-55.765379325386164</v>
      </c>
      <c r="G312" s="774">
        <f t="shared" ref="G312:Z312" ca="1" si="106">+SUM(G310:G311)</f>
        <v>-22.795049819411577</v>
      </c>
      <c r="H312" s="774">
        <f t="shared" ca="1" si="106"/>
        <v>0</v>
      </c>
      <c r="I312" s="774">
        <f t="shared" ca="1" si="106"/>
        <v>34.294946008652275</v>
      </c>
      <c r="J312" s="774">
        <f t="shared" ca="1" si="106"/>
        <v>5.1637070895398312</v>
      </c>
      <c r="K312" s="774">
        <f t="shared" ca="1" si="106"/>
        <v>5.4464813733853701</v>
      </c>
      <c r="L312" s="774">
        <f t="shared" ca="1" si="106"/>
        <v>191.05926372519031</v>
      </c>
      <c r="M312" s="774">
        <f t="shared" ca="1" si="106"/>
        <v>0</v>
      </c>
      <c r="N312" s="774">
        <f t="shared" ca="1" si="106"/>
        <v>0</v>
      </c>
      <c r="O312" s="774">
        <f t="shared" ca="1" si="106"/>
        <v>0</v>
      </c>
      <c r="P312" s="774">
        <f t="shared" ca="1" si="106"/>
        <v>0</v>
      </c>
      <c r="Q312" s="774">
        <f t="shared" ca="1" si="106"/>
        <v>0</v>
      </c>
      <c r="R312" s="774">
        <f t="shared" ca="1" si="106"/>
        <v>0</v>
      </c>
      <c r="S312" s="774">
        <f t="shared" ca="1" si="106"/>
        <v>0</v>
      </c>
      <c r="T312" s="774">
        <f t="shared" ca="1" si="106"/>
        <v>0</v>
      </c>
      <c r="U312" s="774">
        <f t="shared" ca="1" si="106"/>
        <v>0</v>
      </c>
      <c r="V312" s="774">
        <f t="shared" ca="1" si="106"/>
        <v>0</v>
      </c>
      <c r="W312" s="774">
        <f t="shared" ca="1" si="106"/>
        <v>0</v>
      </c>
      <c r="X312" s="774">
        <f t="shared" ca="1" si="106"/>
        <v>0</v>
      </c>
      <c r="Y312" s="774">
        <f t="shared" ca="1" si="106"/>
        <v>0</v>
      </c>
      <c r="Z312" s="774">
        <f t="shared" ca="1" si="106"/>
        <v>0</v>
      </c>
    </row>
    <row r="314" spans="2:26" x14ac:dyDescent="0.2">
      <c r="B314" s="188" t="s">
        <v>355</v>
      </c>
      <c r="C314" s="189">
        <f ca="1">+IRR(F312:Z312)</f>
        <v>0.24148009708390328</v>
      </c>
      <c r="I314" s="41"/>
    </row>
    <row r="315" spans="2:26" x14ac:dyDescent="0.2">
      <c r="B315" s="140" t="s">
        <v>353</v>
      </c>
      <c r="C315" s="775">
        <f ca="1">+SUM(F312:Z312)</f>
        <v>157.40396905197005</v>
      </c>
    </row>
    <row r="316" spans="2:26" x14ac:dyDescent="0.2">
      <c r="B316" s="192" t="s">
        <v>354</v>
      </c>
      <c r="C316" s="193">
        <f ca="1">+D311/-D310</f>
        <v>3.0036037323809999</v>
      </c>
    </row>
    <row r="318" spans="2:26" x14ac:dyDescent="0.2">
      <c r="B318" s="36" t="s">
        <v>391</v>
      </c>
      <c r="C318" s="37"/>
      <c r="D318" s="37"/>
      <c r="E318" s="37"/>
      <c r="F318" s="135">
        <f>+F285</f>
        <v>45657</v>
      </c>
      <c r="G318" s="135">
        <f t="shared" ref="G318:Z318" si="107">+G285</f>
        <v>46022</v>
      </c>
      <c r="H318" s="135">
        <f t="shared" si="107"/>
        <v>46387</v>
      </c>
      <c r="I318" s="135">
        <f t="shared" si="107"/>
        <v>46752</v>
      </c>
      <c r="J318" s="135">
        <f t="shared" si="107"/>
        <v>47118</v>
      </c>
      <c r="K318" s="135">
        <f t="shared" si="107"/>
        <v>47483</v>
      </c>
      <c r="L318" s="135">
        <f t="shared" si="107"/>
        <v>47848</v>
      </c>
      <c r="M318" s="135">
        <f t="shared" si="107"/>
        <v>48213</v>
      </c>
      <c r="N318" s="135">
        <f t="shared" si="107"/>
        <v>48579</v>
      </c>
      <c r="O318" s="135">
        <f t="shared" si="107"/>
        <v>48944</v>
      </c>
      <c r="P318" s="135">
        <f t="shared" si="107"/>
        <v>49309</v>
      </c>
      <c r="Q318" s="135">
        <f t="shared" si="107"/>
        <v>49674</v>
      </c>
      <c r="R318" s="135">
        <f t="shared" si="107"/>
        <v>50040</v>
      </c>
      <c r="S318" s="135">
        <f t="shared" si="107"/>
        <v>50405</v>
      </c>
      <c r="T318" s="135">
        <f t="shared" si="107"/>
        <v>50770</v>
      </c>
      <c r="U318" s="135">
        <f t="shared" si="107"/>
        <v>51135</v>
      </c>
      <c r="V318" s="135">
        <f t="shared" si="107"/>
        <v>51501</v>
      </c>
      <c r="W318" s="135">
        <f t="shared" si="107"/>
        <v>51866</v>
      </c>
      <c r="X318" s="135">
        <f t="shared" si="107"/>
        <v>52231</v>
      </c>
      <c r="Y318" s="135">
        <f t="shared" si="107"/>
        <v>52596</v>
      </c>
      <c r="Z318" s="135">
        <f t="shared" si="107"/>
        <v>52962</v>
      </c>
    </row>
    <row r="319" spans="2:26" hidden="1" x14ac:dyDescent="0.2"/>
    <row r="320" spans="2:26" hidden="1" x14ac:dyDescent="0.2">
      <c r="B320" s="147" t="s">
        <v>248</v>
      </c>
      <c r="F320" s="776">
        <f>+F$297</f>
        <v>45657</v>
      </c>
      <c r="G320" s="776">
        <f t="shared" ref="G320:Z320" si="108">+G$297</f>
        <v>46022</v>
      </c>
      <c r="H320" s="776">
        <f t="shared" si="108"/>
        <v>46387</v>
      </c>
      <c r="I320" s="776">
        <f t="shared" si="108"/>
        <v>46752</v>
      </c>
      <c r="J320" s="776">
        <f t="shared" si="108"/>
        <v>47118</v>
      </c>
      <c r="K320" s="776">
        <f t="shared" si="108"/>
        <v>47483</v>
      </c>
      <c r="L320" s="776">
        <f t="shared" si="108"/>
        <v>47848</v>
      </c>
      <c r="M320" s="776">
        <f t="shared" si="108"/>
        <v>48213</v>
      </c>
      <c r="N320" s="776">
        <f t="shared" si="108"/>
        <v>48579</v>
      </c>
      <c r="O320" s="776">
        <f t="shared" si="108"/>
        <v>48944</v>
      </c>
      <c r="P320" s="776">
        <f t="shared" si="108"/>
        <v>49309</v>
      </c>
      <c r="Q320" s="776">
        <f t="shared" si="108"/>
        <v>49674</v>
      </c>
      <c r="R320" s="776">
        <f t="shared" si="108"/>
        <v>50040</v>
      </c>
      <c r="S320" s="776">
        <f t="shared" si="108"/>
        <v>50405</v>
      </c>
      <c r="T320" s="776">
        <f t="shared" si="108"/>
        <v>50770</v>
      </c>
      <c r="U320" s="776">
        <f t="shared" si="108"/>
        <v>51135</v>
      </c>
      <c r="V320" s="776">
        <f t="shared" si="108"/>
        <v>51501</v>
      </c>
      <c r="W320" s="776">
        <f t="shared" si="108"/>
        <v>51866</v>
      </c>
      <c r="X320" s="776">
        <f t="shared" si="108"/>
        <v>52231</v>
      </c>
      <c r="Y320" s="776">
        <f t="shared" si="108"/>
        <v>52596</v>
      </c>
      <c r="Z320" s="776">
        <f t="shared" si="108"/>
        <v>52962</v>
      </c>
    </row>
    <row r="321" spans="2:26" hidden="1" x14ac:dyDescent="0.2">
      <c r="B321" s="32" t="s">
        <v>767</v>
      </c>
      <c r="C321"/>
      <c r="D321"/>
      <c r="E321"/>
      <c r="F321" s="48">
        <f ca="1">+'Phase III Pro Forma'!F318/1000000</f>
        <v>0</v>
      </c>
      <c r="G321" s="48">
        <f ca="1">+'Phase III Pro Forma'!G318/1000000</f>
        <v>0</v>
      </c>
      <c r="H321" s="48">
        <f ca="1">+'Phase III Pro Forma'!H318/1000000</f>
        <v>0</v>
      </c>
      <c r="I321" s="48">
        <f ca="1">+'Phase III Pro Forma'!I318/1000000</f>
        <v>11.161559888533446</v>
      </c>
      <c r="J321" s="48">
        <f ca="1">+'Phase III Pro Forma'!J318/1000000</f>
        <v>22.506312187976441</v>
      </c>
      <c r="K321" s="48">
        <f ca="1">+'Phase III Pro Forma'!K318/1000000</f>
        <v>22.752875065934887</v>
      </c>
      <c r="L321" s="48">
        <f ca="1">+'Phase III Pro Forma'!L318/1000000</f>
        <v>24.578526875471123</v>
      </c>
      <c r="M321" s="48">
        <f ca="1">+'Phase III Pro Forma'!M318/1000000</f>
        <v>24.781412193075653</v>
      </c>
      <c r="N321" s="48">
        <f ca="1">+'Phase III Pro Forma'!N318/1000000</f>
        <v>25.049397797417623</v>
      </c>
      <c r="O321" s="48">
        <f ca="1">+'Phase III Pro Forma'!O318/1000000</f>
        <v>25.324938034431575</v>
      </c>
      <c r="P321" s="48">
        <f ca="1">+'Phase III Pro Forma'!P318/1000000</f>
        <v>25.54933825486248</v>
      </c>
      <c r="Q321" s="48">
        <f ca="1">+'Phase III Pro Forma'!Q318/1000000</f>
        <v>27.568151316594726</v>
      </c>
      <c r="R321" s="48">
        <f ca="1">+'Phase III Pro Forma'!R318/1000000</f>
        <v>27.86768253573387</v>
      </c>
      <c r="S321" s="48">
        <f ca="1">+'Phase III Pro Forma'!S318/1000000</f>
        <v>28.115584960395083</v>
      </c>
      <c r="T321" s="48">
        <f ca="1">+'Phase III Pro Forma'!T318/1000000</f>
        <v>28.432281565821871</v>
      </c>
      <c r="U321" s="48">
        <f ca="1">+'Phase III Pro Forma'!U318/1000000</f>
        <v>28.757932953322573</v>
      </c>
      <c r="V321" s="48">
        <f ca="1">+'Phase III Pro Forma'!V318/1000000</f>
        <v>30.92981193117993</v>
      </c>
      <c r="W321" s="48">
        <f ca="1">+'Phase III Pro Forma'!W318/1000000</f>
        <v>31.274153559437558</v>
      </c>
      <c r="X321" s="48">
        <f ca="1">+'Phase III Pro Forma'!X318/1000000</f>
        <v>31.628245893780448</v>
      </c>
      <c r="Y321" s="48">
        <f ca="1">+'Phase III Pro Forma'!Y318/1000000</f>
        <v>31.929852414438205</v>
      </c>
      <c r="Z321" s="48">
        <f ca="1">+'Phase III Pro Forma'!Z318/1000000</f>
        <v>32.304297148026272</v>
      </c>
    </row>
    <row r="322" spans="2:26" hidden="1" x14ac:dyDescent="0.2">
      <c r="B322" s="32" t="s">
        <v>768</v>
      </c>
      <c r="C322"/>
      <c r="D322"/>
      <c r="E322"/>
      <c r="F322" s="772">
        <f ca="1">+'Phase III Pro Forma'!F319/1000000</f>
        <v>0</v>
      </c>
      <c r="G322" s="772">
        <f ca="1">+'Phase III Pro Forma'!G319/1000000</f>
        <v>0</v>
      </c>
      <c r="H322" s="772">
        <f ca="1">+'Phase III Pro Forma'!H319/1000000</f>
        <v>0</v>
      </c>
      <c r="I322" s="772">
        <f ca="1">+'Phase III Pro Forma'!I319/1000000</f>
        <v>0.21473089300095788</v>
      </c>
      <c r="J322" s="772">
        <f ca="1">+'Phase III Pro Forma'!J319/1000000</f>
        <v>0.50776197664471567</v>
      </c>
      <c r="K322" s="772">
        <f ca="1">+'Phase III Pro Forma'!K319/1000000</f>
        <v>0.5439733825318106</v>
      </c>
      <c r="L322" s="772">
        <f ca="1">+'Phase III Pro Forma'!L319/1000000</f>
        <v>0.55828464298444169</v>
      </c>
      <c r="M322" s="772">
        <f ca="1">+'Phase III Pro Forma'!M319/1000000</f>
        <v>0.56945033584413052</v>
      </c>
      <c r="N322" s="772">
        <f ca="1">+'Phase III Pro Forma'!N319/1000000</f>
        <v>0.58433977121904845</v>
      </c>
      <c r="O322" s="772">
        <f ca="1">+'Phase III Pro Forma'!O319/1000000</f>
        <v>0.59952699530146436</v>
      </c>
      <c r="P322" s="772">
        <f ca="1">+'Phase III Pro Forma'!P319/1000000</f>
        <v>0.61151753520749419</v>
      </c>
      <c r="Q322" s="772">
        <f ca="1">+'Phase III Pro Forma'!Q319/1000000</f>
        <v>0.62731832314284031</v>
      </c>
      <c r="R322" s="772">
        <f ca="1">+'Phase III Pro Forma'!R319/1000000</f>
        <v>0.64343512683689252</v>
      </c>
      <c r="S322" s="772">
        <f ca="1">+'Phase III Pro Forma'!S319/1000000</f>
        <v>0.6563038293736313</v>
      </c>
      <c r="T322" s="772">
        <f ca="1">+'Phase III Pro Forma'!T319/1000000</f>
        <v>0.67307175193692392</v>
      </c>
      <c r="U322" s="772">
        <f ca="1">+'Phase III Pro Forma'!U319/1000000</f>
        <v>0.69017503295148197</v>
      </c>
      <c r="V322" s="772">
        <f ca="1">+'Phase III Pro Forma'!V319/1000000</f>
        <v>0.70397853361051177</v>
      </c>
      <c r="W322" s="772">
        <f ca="1">+'Phase III Pro Forma'!W319/1000000</f>
        <v>0.72177278717805815</v>
      </c>
      <c r="X322" s="772">
        <f ca="1">+'Phase III Pro Forma'!X319/1000000</f>
        <v>0.73992292581695562</v>
      </c>
      <c r="Y322" s="772">
        <f ca="1">+'Phase III Pro Forma'!Y319/1000000</f>
        <v>0.75472138433329472</v>
      </c>
      <c r="Z322" s="772">
        <f ca="1">+'Phase III Pro Forma'!Z319/1000000</f>
        <v>0.77360478857320414</v>
      </c>
    </row>
    <row r="323" spans="2:26" hidden="1" x14ac:dyDescent="0.2">
      <c r="B323" s="32" t="s">
        <v>769</v>
      </c>
      <c r="C323"/>
      <c r="D323"/>
      <c r="E323"/>
      <c r="F323" s="772">
        <f ca="1">+'Phase III Pro Forma'!F320/1000000</f>
        <v>0</v>
      </c>
      <c r="G323" s="772">
        <f ca="1">+'Phase III Pro Forma'!G320/1000000</f>
        <v>0</v>
      </c>
      <c r="H323" s="772">
        <f ca="1">+'Phase III Pro Forma'!H320/1000000</f>
        <v>0</v>
      </c>
      <c r="I323" s="772">
        <f ca="1">+'Phase III Pro Forma'!I320/1000000</f>
        <v>1.4323967654325123</v>
      </c>
      <c r="J323" s="772">
        <f ca="1">+'Phase III Pro Forma'!J320/1000000</f>
        <v>2.864793530865025</v>
      </c>
      <c r="K323" s="772">
        <f ca="1">+'Phase III Pro Forma'!K320/1000000</f>
        <v>2.864793530865025</v>
      </c>
      <c r="L323" s="772">
        <f ca="1">+'Phase III Pro Forma'!L320/1000000</f>
        <v>3.1512728839515272</v>
      </c>
      <c r="M323" s="772">
        <f ca="1">+'Phase III Pro Forma'!M320/1000000</f>
        <v>3.1512728839515272</v>
      </c>
      <c r="N323" s="772">
        <f ca="1">+'Phase III Pro Forma'!N320/1000000</f>
        <v>3.1512728839515272</v>
      </c>
      <c r="O323" s="772">
        <f ca="1">+'Phase III Pro Forma'!O320/1000000</f>
        <v>3.1512728839515272</v>
      </c>
      <c r="P323" s="772">
        <f ca="1">+'Phase III Pro Forma'!P320/1000000</f>
        <v>3.1512728839515272</v>
      </c>
      <c r="Q323" s="772">
        <f ca="1">+'Phase III Pro Forma'!Q320/1000000</f>
        <v>3.4664001723466797</v>
      </c>
      <c r="R323" s="772">
        <f ca="1">+'Phase III Pro Forma'!R320/1000000</f>
        <v>3.4664001723466797</v>
      </c>
      <c r="S323" s="772">
        <f ca="1">+'Phase III Pro Forma'!S320/1000000</f>
        <v>3.4664001723466793</v>
      </c>
      <c r="T323" s="772">
        <f ca="1">+'Phase III Pro Forma'!T320/1000000</f>
        <v>3.4664001723466789</v>
      </c>
      <c r="U323" s="772">
        <f ca="1">+'Phase III Pro Forma'!U320/1000000</f>
        <v>3.4664001723466793</v>
      </c>
      <c r="V323" s="772">
        <f ca="1">+'Phase III Pro Forma'!V320/1000000</f>
        <v>3.8130401895813484</v>
      </c>
      <c r="W323" s="772">
        <f ca="1">+'Phase III Pro Forma'!W320/1000000</f>
        <v>3.8130401895813475</v>
      </c>
      <c r="X323" s="772">
        <f ca="1">+'Phase III Pro Forma'!X320/1000000</f>
        <v>3.8130401895813475</v>
      </c>
      <c r="Y323" s="772">
        <f ca="1">+'Phase III Pro Forma'!Y320/1000000</f>
        <v>3.8130401895813479</v>
      </c>
      <c r="Z323" s="772">
        <f ca="1">+'Phase III Pro Forma'!Z320/1000000</f>
        <v>3.8130401895813475</v>
      </c>
    </row>
    <row r="324" spans="2:26" hidden="1" x14ac:dyDescent="0.2">
      <c r="B324" s="137" t="s">
        <v>248</v>
      </c>
      <c r="C324" s="137"/>
      <c r="D324" s="138"/>
      <c r="E324" s="138"/>
      <c r="F324" s="774">
        <f t="shared" ref="F324:Z324" ca="1" si="109">+SUM(F321:F323)</f>
        <v>0</v>
      </c>
      <c r="G324" s="774">
        <f t="shared" ca="1" si="109"/>
        <v>0</v>
      </c>
      <c r="H324" s="774">
        <f t="shared" ca="1" si="109"/>
        <v>0</v>
      </c>
      <c r="I324" s="774">
        <f t="shared" ca="1" si="109"/>
        <v>12.808687546966917</v>
      </c>
      <c r="J324" s="774">
        <f t="shared" ca="1" si="109"/>
        <v>25.878867695486182</v>
      </c>
      <c r="K324" s="774">
        <f t="shared" ca="1" si="109"/>
        <v>26.161641979331723</v>
      </c>
      <c r="L324" s="774">
        <f t="shared" ca="1" si="109"/>
        <v>28.288084402407094</v>
      </c>
      <c r="M324" s="774">
        <f t="shared" ca="1" si="109"/>
        <v>28.502135412871311</v>
      </c>
      <c r="N324" s="774">
        <f t="shared" ca="1" si="109"/>
        <v>28.7850104525882</v>
      </c>
      <c r="O324" s="774">
        <f t="shared" ca="1" si="109"/>
        <v>29.075737913684566</v>
      </c>
      <c r="P324" s="774">
        <f t="shared" ca="1" si="109"/>
        <v>29.312128674021501</v>
      </c>
      <c r="Q324" s="774">
        <f t="shared" ca="1" si="109"/>
        <v>31.661869812084248</v>
      </c>
      <c r="R324" s="774">
        <f t="shared" ca="1" si="109"/>
        <v>31.977517834917442</v>
      </c>
      <c r="S324" s="774">
        <f t="shared" ca="1" si="109"/>
        <v>32.238288962115391</v>
      </c>
      <c r="T324" s="774">
        <f t="shared" ca="1" si="109"/>
        <v>32.571753490105472</v>
      </c>
      <c r="U324" s="774">
        <f t="shared" ca="1" si="109"/>
        <v>32.914508158620734</v>
      </c>
      <c r="V324" s="774">
        <f t="shared" ca="1" si="109"/>
        <v>35.446830654371794</v>
      </c>
      <c r="W324" s="774">
        <f t="shared" ca="1" si="109"/>
        <v>35.808966536196962</v>
      </c>
      <c r="X324" s="774">
        <f t="shared" ca="1" si="109"/>
        <v>36.181209009178758</v>
      </c>
      <c r="Y324" s="774">
        <f t="shared" ca="1" si="109"/>
        <v>36.497613988352853</v>
      </c>
      <c r="Z324" s="774">
        <f t="shared" ca="1" si="109"/>
        <v>36.890942126180825</v>
      </c>
    </row>
    <row r="325" spans="2:26" ht="5" hidden="1" customHeight="1" x14ac:dyDescent="0.2"/>
    <row r="326" spans="2:26" hidden="1" x14ac:dyDescent="0.2">
      <c r="B326" s="147" t="s">
        <v>149</v>
      </c>
      <c r="F326" s="776">
        <f>+F$297</f>
        <v>45657</v>
      </c>
      <c r="G326" s="776">
        <f t="shared" ref="G326:Z326" si="110">+G$297</f>
        <v>46022</v>
      </c>
      <c r="H326" s="776">
        <f t="shared" si="110"/>
        <v>46387</v>
      </c>
      <c r="I326" s="776">
        <f t="shared" si="110"/>
        <v>46752</v>
      </c>
      <c r="J326" s="776">
        <f t="shared" si="110"/>
        <v>47118</v>
      </c>
      <c r="K326" s="776">
        <f t="shared" si="110"/>
        <v>47483</v>
      </c>
      <c r="L326" s="776">
        <f t="shared" si="110"/>
        <v>47848</v>
      </c>
      <c r="M326" s="776">
        <f t="shared" si="110"/>
        <v>48213</v>
      </c>
      <c r="N326" s="776">
        <f t="shared" si="110"/>
        <v>48579</v>
      </c>
      <c r="O326" s="776">
        <f t="shared" si="110"/>
        <v>48944</v>
      </c>
      <c r="P326" s="776">
        <f t="shared" si="110"/>
        <v>49309</v>
      </c>
      <c r="Q326" s="776">
        <f t="shared" si="110"/>
        <v>49674</v>
      </c>
      <c r="R326" s="776">
        <f t="shared" si="110"/>
        <v>50040</v>
      </c>
      <c r="S326" s="776">
        <f t="shared" si="110"/>
        <v>50405</v>
      </c>
      <c r="T326" s="776">
        <f t="shared" si="110"/>
        <v>50770</v>
      </c>
      <c r="U326" s="776">
        <f t="shared" si="110"/>
        <v>51135</v>
      </c>
      <c r="V326" s="776">
        <f t="shared" si="110"/>
        <v>51501</v>
      </c>
      <c r="W326" s="776">
        <f t="shared" si="110"/>
        <v>51866</v>
      </c>
      <c r="X326" s="776">
        <f t="shared" si="110"/>
        <v>52231</v>
      </c>
      <c r="Y326" s="776">
        <f t="shared" si="110"/>
        <v>52596</v>
      </c>
      <c r="Z326" s="776">
        <f t="shared" si="110"/>
        <v>52962</v>
      </c>
    </row>
    <row r="327" spans="2:26" hidden="1" x14ac:dyDescent="0.2">
      <c r="B327" s="32" t="s">
        <v>336</v>
      </c>
      <c r="C327"/>
      <c r="D327"/>
      <c r="E327"/>
      <c r="F327" s="48">
        <f>+'Phase III Pro Forma'!F324/1000000</f>
        <v>0</v>
      </c>
      <c r="G327" s="48">
        <f>+'Phase III Pro Forma'!G324/1000000</f>
        <v>0</v>
      </c>
      <c r="H327" s="48">
        <f>+'Phase III Pro Forma'!H324/1000000</f>
        <v>0</v>
      </c>
      <c r="I327" s="48">
        <f>+'Phase III Pro Forma'!I324/1000000</f>
        <v>0</v>
      </c>
      <c r="J327" s="48">
        <f>+'Phase III Pro Forma'!J324/1000000</f>
        <v>0</v>
      </c>
      <c r="K327" s="48">
        <f>+'Phase III Pro Forma'!K324/1000000</f>
        <v>0</v>
      </c>
      <c r="L327" s="48">
        <f ca="1">+'Phase III Pro Forma'!L324/1000000</f>
        <v>463.46171343663048</v>
      </c>
      <c r="M327" s="48">
        <f>+'Phase III Pro Forma'!M324/1000000</f>
        <v>0</v>
      </c>
      <c r="N327" s="48">
        <f>+'Phase III Pro Forma'!N324/1000000</f>
        <v>0</v>
      </c>
      <c r="O327" s="48">
        <f>+'Phase III Pro Forma'!O324/1000000</f>
        <v>0</v>
      </c>
      <c r="P327" s="48">
        <f>+'Phase III Pro Forma'!P324/1000000</f>
        <v>0</v>
      </c>
      <c r="Q327" s="48">
        <f>+'Phase III Pro Forma'!Q324/1000000</f>
        <v>0</v>
      </c>
      <c r="R327" s="48">
        <f>+'Phase III Pro Forma'!R324/1000000</f>
        <v>0</v>
      </c>
      <c r="S327" s="48">
        <f>+'Phase III Pro Forma'!S324/1000000</f>
        <v>0</v>
      </c>
      <c r="T327" s="48">
        <f>+'Phase III Pro Forma'!T324/1000000</f>
        <v>0</v>
      </c>
      <c r="U327" s="48">
        <f>+'Phase III Pro Forma'!U324/1000000</f>
        <v>0</v>
      </c>
      <c r="V327" s="48">
        <f>+'Phase III Pro Forma'!V324/1000000</f>
        <v>0</v>
      </c>
      <c r="W327" s="48">
        <f>+'Phase III Pro Forma'!W324/1000000</f>
        <v>0</v>
      </c>
      <c r="X327" s="48">
        <f>+'Phase III Pro Forma'!X324/1000000</f>
        <v>0</v>
      </c>
      <c r="Y327" s="48">
        <f>+'Phase III Pro Forma'!Y324/1000000</f>
        <v>0</v>
      </c>
      <c r="Z327" s="48">
        <f>+'Phase III Pro Forma'!Z324/1000000</f>
        <v>0</v>
      </c>
    </row>
    <row r="328" spans="2:26" hidden="1" x14ac:dyDescent="0.2">
      <c r="B328" s="32" t="s">
        <v>337</v>
      </c>
      <c r="F328" s="772">
        <f>+'Phase III Pro Forma'!F325/1000000</f>
        <v>0</v>
      </c>
      <c r="G328" s="772">
        <f>+'Phase III Pro Forma'!G325/1000000</f>
        <v>0</v>
      </c>
      <c r="H328" s="772">
        <f>+'Phase III Pro Forma'!H325/1000000</f>
        <v>0</v>
      </c>
      <c r="I328" s="772">
        <f>+'Phase III Pro Forma'!I325/1000000</f>
        <v>0</v>
      </c>
      <c r="J328" s="772">
        <f>+'Phase III Pro Forma'!J325/1000000</f>
        <v>0</v>
      </c>
      <c r="K328" s="772">
        <f>+'Phase III Pro Forma'!K325/1000000</f>
        <v>0</v>
      </c>
      <c r="L328" s="772">
        <f ca="1">+'Phase III Pro Forma'!L325/1000000</f>
        <v>-9.2692342687326104</v>
      </c>
      <c r="M328" s="772">
        <f>+'Phase III Pro Forma'!M325/1000000</f>
        <v>0</v>
      </c>
      <c r="N328" s="772">
        <f>+'Phase III Pro Forma'!N325/1000000</f>
        <v>0</v>
      </c>
      <c r="O328" s="772">
        <f>+'Phase III Pro Forma'!O325/1000000</f>
        <v>0</v>
      </c>
      <c r="P328" s="772">
        <f>+'Phase III Pro Forma'!P325/1000000</f>
        <v>0</v>
      </c>
      <c r="Q328" s="772">
        <f>+'Phase III Pro Forma'!Q325/1000000</f>
        <v>0</v>
      </c>
      <c r="R328" s="772">
        <f>+'Phase III Pro Forma'!R325/1000000</f>
        <v>0</v>
      </c>
      <c r="S328" s="772">
        <f>+'Phase III Pro Forma'!S325/1000000</f>
        <v>0</v>
      </c>
      <c r="T328" s="772">
        <f>+'Phase III Pro Forma'!T325/1000000</f>
        <v>0</v>
      </c>
      <c r="U328" s="772">
        <f>+'Phase III Pro Forma'!U325/1000000</f>
        <v>0</v>
      </c>
      <c r="V328" s="772">
        <f>+'Phase III Pro Forma'!V325/1000000</f>
        <v>0</v>
      </c>
      <c r="W328" s="772">
        <f>+'Phase III Pro Forma'!W325/1000000</f>
        <v>0</v>
      </c>
      <c r="X328" s="772">
        <f>+'Phase III Pro Forma'!X325/1000000</f>
        <v>0</v>
      </c>
      <c r="Y328" s="772">
        <f>+'Phase III Pro Forma'!Y325/1000000</f>
        <v>0</v>
      </c>
      <c r="Z328" s="772">
        <f>+'Phase III Pro Forma'!Z325/1000000</f>
        <v>0</v>
      </c>
    </row>
    <row r="329" spans="2:26" hidden="1" x14ac:dyDescent="0.2">
      <c r="B329" s="137" t="s">
        <v>339</v>
      </c>
      <c r="C329" s="137"/>
      <c r="D329" s="138"/>
      <c r="E329" s="138"/>
      <c r="F329" s="774">
        <f>+SUM(F327:F328)</f>
        <v>0</v>
      </c>
      <c r="G329" s="774">
        <f t="shared" ref="G329:Z329" si="111">+SUM(G327:G328)</f>
        <v>0</v>
      </c>
      <c r="H329" s="774">
        <f t="shared" si="111"/>
        <v>0</v>
      </c>
      <c r="I329" s="774">
        <f t="shared" si="111"/>
        <v>0</v>
      </c>
      <c r="J329" s="774">
        <f t="shared" si="111"/>
        <v>0</v>
      </c>
      <c r="K329" s="774">
        <f t="shared" si="111"/>
        <v>0</v>
      </c>
      <c r="L329" s="774">
        <f t="shared" ca="1" si="111"/>
        <v>454.19247916789789</v>
      </c>
      <c r="M329" s="774">
        <f t="shared" si="111"/>
        <v>0</v>
      </c>
      <c r="N329" s="774">
        <f t="shared" si="111"/>
        <v>0</v>
      </c>
      <c r="O329" s="774">
        <f t="shared" si="111"/>
        <v>0</v>
      </c>
      <c r="P329" s="774">
        <f t="shared" si="111"/>
        <v>0</v>
      </c>
      <c r="Q329" s="774">
        <f t="shared" si="111"/>
        <v>0</v>
      </c>
      <c r="R329" s="774">
        <f t="shared" si="111"/>
        <v>0</v>
      </c>
      <c r="S329" s="774">
        <f t="shared" si="111"/>
        <v>0</v>
      </c>
      <c r="T329" s="774">
        <f t="shared" si="111"/>
        <v>0</v>
      </c>
      <c r="U329" s="774">
        <f t="shared" si="111"/>
        <v>0</v>
      </c>
      <c r="V329" s="774">
        <f t="shared" si="111"/>
        <v>0</v>
      </c>
      <c r="W329" s="774">
        <f t="shared" si="111"/>
        <v>0</v>
      </c>
      <c r="X329" s="774">
        <f t="shared" si="111"/>
        <v>0</v>
      </c>
      <c r="Y329" s="774">
        <f t="shared" si="111"/>
        <v>0</v>
      </c>
      <c r="Z329" s="774">
        <f t="shared" si="111"/>
        <v>0</v>
      </c>
    </row>
    <row r="330" spans="2:26" ht="5" hidden="1" customHeight="1" x14ac:dyDescent="0.2"/>
    <row r="331" spans="2:26" x14ac:dyDescent="0.2">
      <c r="B331" s="147" t="s">
        <v>392</v>
      </c>
      <c r="F331" s="776">
        <f t="shared" ref="F331:Z331" si="112">+F$297</f>
        <v>45657</v>
      </c>
      <c r="G331" s="776">
        <f t="shared" si="112"/>
        <v>46022</v>
      </c>
      <c r="H331" s="776">
        <f t="shared" si="112"/>
        <v>46387</v>
      </c>
      <c r="I331" s="776">
        <f t="shared" si="112"/>
        <v>46752</v>
      </c>
      <c r="J331" s="776">
        <f t="shared" si="112"/>
        <v>47118</v>
      </c>
      <c r="K331" s="776">
        <f t="shared" si="112"/>
        <v>47483</v>
      </c>
      <c r="L331" s="776">
        <f t="shared" si="112"/>
        <v>47848</v>
      </c>
      <c r="M331" s="776">
        <f t="shared" si="112"/>
        <v>48213</v>
      </c>
      <c r="N331" s="776">
        <f t="shared" si="112"/>
        <v>48579</v>
      </c>
      <c r="O331" s="776">
        <f t="shared" si="112"/>
        <v>48944</v>
      </c>
      <c r="P331" s="776">
        <f t="shared" si="112"/>
        <v>49309</v>
      </c>
      <c r="Q331" s="776">
        <f t="shared" si="112"/>
        <v>49674</v>
      </c>
      <c r="R331" s="776">
        <f t="shared" si="112"/>
        <v>50040</v>
      </c>
      <c r="S331" s="776">
        <f t="shared" si="112"/>
        <v>50405</v>
      </c>
      <c r="T331" s="776">
        <f t="shared" si="112"/>
        <v>50770</v>
      </c>
      <c r="U331" s="776">
        <f t="shared" si="112"/>
        <v>51135</v>
      </c>
      <c r="V331" s="776">
        <f t="shared" si="112"/>
        <v>51501</v>
      </c>
      <c r="W331" s="776">
        <f t="shared" si="112"/>
        <v>51866</v>
      </c>
      <c r="X331" s="776">
        <f t="shared" si="112"/>
        <v>52231</v>
      </c>
      <c r="Y331" s="776">
        <f t="shared" si="112"/>
        <v>52596</v>
      </c>
      <c r="Z331" s="776">
        <f t="shared" si="112"/>
        <v>52962</v>
      </c>
    </row>
    <row r="332" spans="2:26" x14ac:dyDescent="0.2">
      <c r="B332" s="32" t="s">
        <v>61</v>
      </c>
      <c r="D332" s="47">
        <f>+SUM(F332:Z332)</f>
        <v>9.1215869999999999</v>
      </c>
      <c r="E332" s="47"/>
      <c r="F332" s="48">
        <f>+'Phase III Pro Forma'!F329/1000000</f>
        <v>9.1215869999999999</v>
      </c>
      <c r="G332" s="48">
        <f>+'Phase III Pro Forma'!G329/1000000</f>
        <v>0</v>
      </c>
      <c r="H332" s="48">
        <f>+'Phase III Pro Forma'!H329/1000000</f>
        <v>0</v>
      </c>
      <c r="I332" s="48">
        <f>+'Phase III Pro Forma'!I329/1000000</f>
        <v>0</v>
      </c>
      <c r="J332" s="48">
        <f>+'Phase III Pro Forma'!J329/1000000</f>
        <v>0</v>
      </c>
      <c r="K332" s="48">
        <f>+'Phase III Pro Forma'!K329/1000000</f>
        <v>0</v>
      </c>
      <c r="L332" s="48">
        <f>+'Phase III Pro Forma'!L329/1000000</f>
        <v>0</v>
      </c>
      <c r="M332" s="48">
        <f>+'Phase III Pro Forma'!M329/1000000</f>
        <v>0</v>
      </c>
      <c r="N332" s="48">
        <f>+'Phase III Pro Forma'!N329/1000000</f>
        <v>0</v>
      </c>
      <c r="O332" s="48">
        <f>+'Phase III Pro Forma'!O329/1000000</f>
        <v>0</v>
      </c>
      <c r="P332" s="48">
        <f>+'Phase III Pro Forma'!P329/1000000</f>
        <v>0</v>
      </c>
      <c r="Q332" s="48">
        <f>+'Phase III Pro Forma'!Q329/1000000</f>
        <v>0</v>
      </c>
      <c r="R332" s="48">
        <f>+'Phase III Pro Forma'!R329/1000000</f>
        <v>0</v>
      </c>
      <c r="S332" s="48">
        <f>+'Phase III Pro Forma'!S329/1000000</f>
        <v>0</v>
      </c>
      <c r="T332" s="48">
        <f>+'Phase III Pro Forma'!T329/1000000</f>
        <v>0</v>
      </c>
      <c r="U332" s="48">
        <f>+'Phase III Pro Forma'!U329/1000000</f>
        <v>0</v>
      </c>
      <c r="V332" s="48">
        <f>+'Phase III Pro Forma'!V329/1000000</f>
        <v>0</v>
      </c>
      <c r="W332" s="48">
        <f>+'Phase III Pro Forma'!W329/1000000</f>
        <v>0</v>
      </c>
      <c r="X332" s="48">
        <f>+'Phase III Pro Forma'!X329/1000000</f>
        <v>0</v>
      </c>
      <c r="Y332" s="48">
        <f>+'Phase III Pro Forma'!Y329/1000000</f>
        <v>0</v>
      </c>
      <c r="Z332" s="48">
        <f>+'Phase III Pro Forma'!Z329/1000000</f>
        <v>0</v>
      </c>
    </row>
    <row r="333" spans="2:26" x14ac:dyDescent="0.2">
      <c r="B333" s="32" t="s">
        <v>8</v>
      </c>
      <c r="D333" s="47">
        <f t="shared" ref="D333:D338" si="113">+SUM(F333:Z333)</f>
        <v>33.080888234042554</v>
      </c>
      <c r="E333" s="47"/>
      <c r="F333" s="772">
        <f>+'Phase III Pro Forma'!F330/1000000</f>
        <v>33.080888234042554</v>
      </c>
      <c r="G333" s="772">
        <f>+'Phase III Pro Forma'!G330/1000000</f>
        <v>0</v>
      </c>
      <c r="H333" s="772">
        <f>+'Phase III Pro Forma'!H330/1000000</f>
        <v>0</v>
      </c>
      <c r="I333" s="772">
        <f>+'Phase III Pro Forma'!I330/1000000</f>
        <v>0</v>
      </c>
      <c r="J333" s="772">
        <f>+'Phase III Pro Forma'!J330/1000000</f>
        <v>0</v>
      </c>
      <c r="K333" s="772">
        <f>+'Phase III Pro Forma'!K330/1000000</f>
        <v>0</v>
      </c>
      <c r="L333" s="772">
        <f>+'Phase III Pro Forma'!L330/1000000</f>
        <v>0</v>
      </c>
      <c r="M333" s="772">
        <f>+'Phase III Pro Forma'!M330/1000000</f>
        <v>0</v>
      </c>
      <c r="N333" s="772">
        <f>+'Phase III Pro Forma'!N330/1000000</f>
        <v>0</v>
      </c>
      <c r="O333" s="772">
        <f>+'Phase III Pro Forma'!O330/1000000</f>
        <v>0</v>
      </c>
      <c r="P333" s="772">
        <f>+'Phase III Pro Forma'!P330/1000000</f>
        <v>0</v>
      </c>
      <c r="Q333" s="772">
        <f>+'Phase III Pro Forma'!Q330/1000000</f>
        <v>0</v>
      </c>
      <c r="R333" s="772">
        <f>+'Phase III Pro Forma'!R330/1000000</f>
        <v>0</v>
      </c>
      <c r="S333" s="772">
        <f>+'Phase III Pro Forma'!S330/1000000</f>
        <v>0</v>
      </c>
      <c r="T333" s="772">
        <f>+'Phase III Pro Forma'!T330/1000000</f>
        <v>0</v>
      </c>
      <c r="U333" s="772">
        <f>+'Phase III Pro Forma'!U330/1000000</f>
        <v>0</v>
      </c>
      <c r="V333" s="772">
        <f>+'Phase III Pro Forma'!V330/1000000</f>
        <v>0</v>
      </c>
      <c r="W333" s="772">
        <f>+'Phase III Pro Forma'!W330/1000000</f>
        <v>0</v>
      </c>
      <c r="X333" s="772">
        <f>+'Phase III Pro Forma'!X330/1000000</f>
        <v>0</v>
      </c>
      <c r="Y333" s="772">
        <f>+'Phase III Pro Forma'!Y330/1000000</f>
        <v>0</v>
      </c>
      <c r="Z333" s="772">
        <f>+'Phase III Pro Forma'!Z330/1000000</f>
        <v>0</v>
      </c>
    </row>
    <row r="334" spans="2:26" x14ac:dyDescent="0.2">
      <c r="B334" s="32" t="s">
        <v>57</v>
      </c>
      <c r="D334" s="47">
        <f t="shared" ca="1" si="113"/>
        <v>291.05158354014122</v>
      </c>
      <c r="E334" s="47"/>
      <c r="F334" s="772">
        <f>+'Phase III Pro Forma'!F331/1000000</f>
        <v>0</v>
      </c>
      <c r="G334" s="772">
        <f ca="1">+'Phase III Pro Forma'!G331/1000000</f>
        <v>145.52579177007061</v>
      </c>
      <c r="H334" s="772">
        <f ca="1">+'Phase III Pro Forma'!H331/1000000</f>
        <v>145.52579177007061</v>
      </c>
      <c r="I334" s="772">
        <f>+'Phase III Pro Forma'!I331/1000000</f>
        <v>0</v>
      </c>
      <c r="J334" s="772">
        <f>+'Phase III Pro Forma'!J331/1000000</f>
        <v>0</v>
      </c>
      <c r="K334" s="772">
        <f>+'Phase III Pro Forma'!K331/1000000</f>
        <v>0</v>
      </c>
      <c r="L334" s="772">
        <f>+'Phase III Pro Forma'!L331/1000000</f>
        <v>0</v>
      </c>
      <c r="M334" s="772">
        <f>+'Phase III Pro Forma'!M331/1000000</f>
        <v>0</v>
      </c>
      <c r="N334" s="772">
        <f>+'Phase III Pro Forma'!N331/1000000</f>
        <v>0</v>
      </c>
      <c r="O334" s="772">
        <f>+'Phase III Pro Forma'!O331/1000000</f>
        <v>0</v>
      </c>
      <c r="P334" s="772">
        <f>+'Phase III Pro Forma'!P331/1000000</f>
        <v>0</v>
      </c>
      <c r="Q334" s="772">
        <f>+'Phase III Pro Forma'!Q331/1000000</f>
        <v>0</v>
      </c>
      <c r="R334" s="772">
        <f>+'Phase III Pro Forma'!R331/1000000</f>
        <v>0</v>
      </c>
      <c r="S334" s="772">
        <f>+'Phase III Pro Forma'!S331/1000000</f>
        <v>0</v>
      </c>
      <c r="T334" s="772">
        <f>+'Phase III Pro Forma'!T331/1000000</f>
        <v>0</v>
      </c>
      <c r="U334" s="772">
        <f>+'Phase III Pro Forma'!U331/1000000</f>
        <v>0</v>
      </c>
      <c r="V334" s="772">
        <f>+'Phase III Pro Forma'!V331/1000000</f>
        <v>0</v>
      </c>
      <c r="W334" s="772">
        <f>+'Phase III Pro Forma'!W331/1000000</f>
        <v>0</v>
      </c>
      <c r="X334" s="772">
        <f>+'Phase III Pro Forma'!X331/1000000</f>
        <v>0</v>
      </c>
      <c r="Y334" s="772">
        <f>+'Phase III Pro Forma'!Y331/1000000</f>
        <v>0</v>
      </c>
      <c r="Z334" s="772">
        <f>+'Phase III Pro Forma'!Z331/1000000</f>
        <v>0</v>
      </c>
    </row>
    <row r="335" spans="2:26" x14ac:dyDescent="0.2">
      <c r="B335" s="32" t="s">
        <v>58</v>
      </c>
      <c r="D335" s="47">
        <f t="shared" ca="1" si="113"/>
        <v>24.325045475048775</v>
      </c>
      <c r="E335" s="47"/>
      <c r="F335" s="772">
        <f ca="1">+'Phase III Pro Forma'!F332/1000000</f>
        <v>13.562904091343613</v>
      </c>
      <c r="G335" s="772">
        <f ca="1">+'Phase III Pro Forma'!G332/1000000</f>
        <v>5.3810706918525799</v>
      </c>
      <c r="H335" s="772">
        <f ca="1">+'Phase III Pro Forma'!H332/1000000</f>
        <v>5.3810706918525799</v>
      </c>
      <c r="I335" s="772">
        <f>+'Phase III Pro Forma'!I332/1000000</f>
        <v>0</v>
      </c>
      <c r="J335" s="772">
        <f>+'Phase III Pro Forma'!J332/1000000</f>
        <v>0</v>
      </c>
      <c r="K335" s="772">
        <f>+'Phase III Pro Forma'!K332/1000000</f>
        <v>0</v>
      </c>
      <c r="L335" s="772">
        <f>+'Phase III Pro Forma'!L332/1000000</f>
        <v>0</v>
      </c>
      <c r="M335" s="772">
        <f>+'Phase III Pro Forma'!M332/1000000</f>
        <v>0</v>
      </c>
      <c r="N335" s="772">
        <f>+'Phase III Pro Forma'!N332/1000000</f>
        <v>0</v>
      </c>
      <c r="O335" s="772">
        <f>+'Phase III Pro Forma'!O332/1000000</f>
        <v>0</v>
      </c>
      <c r="P335" s="772">
        <f>+'Phase III Pro Forma'!P332/1000000</f>
        <v>0</v>
      </c>
      <c r="Q335" s="772">
        <f>+'Phase III Pro Forma'!Q332/1000000</f>
        <v>0</v>
      </c>
      <c r="R335" s="772">
        <f>+'Phase III Pro Forma'!R332/1000000</f>
        <v>0</v>
      </c>
      <c r="S335" s="772">
        <f>+'Phase III Pro Forma'!S332/1000000</f>
        <v>0</v>
      </c>
      <c r="T335" s="772">
        <f>+'Phase III Pro Forma'!T332/1000000</f>
        <v>0</v>
      </c>
      <c r="U335" s="772">
        <f>+'Phase III Pro Forma'!U332/1000000</f>
        <v>0</v>
      </c>
      <c r="V335" s="772">
        <f>+'Phase III Pro Forma'!V332/1000000</f>
        <v>0</v>
      </c>
      <c r="W335" s="772">
        <f>+'Phase III Pro Forma'!W332/1000000</f>
        <v>0</v>
      </c>
      <c r="X335" s="772">
        <f>+'Phase III Pro Forma'!X332/1000000</f>
        <v>0</v>
      </c>
      <c r="Y335" s="772">
        <f>+'Phase III Pro Forma'!Y332/1000000</f>
        <v>0</v>
      </c>
      <c r="Z335" s="772">
        <f>+'Phase III Pro Forma'!Z332/1000000</f>
        <v>0</v>
      </c>
    </row>
    <row r="336" spans="2:26" hidden="1" x14ac:dyDescent="0.2">
      <c r="B336" s="32" t="s">
        <v>80</v>
      </c>
      <c r="D336" s="47">
        <f t="shared" si="113"/>
        <v>0</v>
      </c>
      <c r="E336" s="47"/>
      <c r="F336" s="772">
        <f>+'Phase III Pro Forma'!F333/1000000</f>
        <v>0</v>
      </c>
      <c r="G336" s="772">
        <f>+'Phase III Pro Forma'!G333/1000000</f>
        <v>0</v>
      </c>
      <c r="H336" s="772">
        <f>+'Phase III Pro Forma'!H333/1000000</f>
        <v>0</v>
      </c>
      <c r="I336" s="772">
        <f>+'Phase III Pro Forma'!I333/1000000</f>
        <v>0</v>
      </c>
      <c r="J336" s="772">
        <f>+'Phase III Pro Forma'!J333/1000000</f>
        <v>0</v>
      </c>
      <c r="K336" s="772">
        <f>+'Phase III Pro Forma'!K333/1000000</f>
        <v>0</v>
      </c>
      <c r="L336" s="772">
        <f>+'Phase III Pro Forma'!L333/1000000</f>
        <v>0</v>
      </c>
      <c r="M336" s="772">
        <f>+'Phase III Pro Forma'!M333/1000000</f>
        <v>0</v>
      </c>
      <c r="N336" s="772">
        <f>+'Phase III Pro Forma'!N333/1000000</f>
        <v>0</v>
      </c>
      <c r="O336" s="772">
        <f>+'Phase III Pro Forma'!O333/1000000</f>
        <v>0</v>
      </c>
      <c r="P336" s="772">
        <f>+'Phase III Pro Forma'!P333/1000000</f>
        <v>0</v>
      </c>
      <c r="Q336" s="772">
        <f>+'Phase III Pro Forma'!Q333/1000000</f>
        <v>0</v>
      </c>
      <c r="R336" s="772">
        <f>+'Phase III Pro Forma'!R333/1000000</f>
        <v>0</v>
      </c>
      <c r="S336" s="772">
        <f>+'Phase III Pro Forma'!S333/1000000</f>
        <v>0</v>
      </c>
      <c r="T336" s="772">
        <f>+'Phase III Pro Forma'!T333/1000000</f>
        <v>0</v>
      </c>
      <c r="U336" s="772">
        <f>+'Phase III Pro Forma'!U333/1000000</f>
        <v>0</v>
      </c>
      <c r="V336" s="772">
        <f>+'Phase III Pro Forma'!V333/1000000</f>
        <v>0</v>
      </c>
      <c r="W336" s="772">
        <f>+'Phase III Pro Forma'!W333/1000000</f>
        <v>0</v>
      </c>
      <c r="X336" s="772">
        <f>+'Phase III Pro Forma'!X333/1000000</f>
        <v>0</v>
      </c>
      <c r="Y336" s="772">
        <f>+'Phase III Pro Forma'!Y333/1000000</f>
        <v>0</v>
      </c>
      <c r="Z336" s="772">
        <f>+'Phase III Pro Forma'!Z333/1000000</f>
        <v>0</v>
      </c>
    </row>
    <row r="337" spans="2:26" x14ac:dyDescent="0.2">
      <c r="B337" s="32" t="s">
        <v>83</v>
      </c>
      <c r="D337" s="47">
        <f t="shared" ca="1" si="113"/>
        <v>0.79106926670236122</v>
      </c>
      <c r="E337" s="47"/>
      <c r="F337" s="772">
        <f>+'Phase III Pro Forma'!F334/1000000</f>
        <v>0</v>
      </c>
      <c r="G337" s="772">
        <f ca="1">+'Phase III Pro Forma'!G334/1000000</f>
        <v>0.39553463335118061</v>
      </c>
      <c r="H337" s="772">
        <f ca="1">+'Phase III Pro Forma'!H334/1000000</f>
        <v>0.39553463335118061</v>
      </c>
      <c r="I337" s="772">
        <f>+'Phase III Pro Forma'!I334/1000000</f>
        <v>0</v>
      </c>
      <c r="J337" s="772">
        <f>+'Phase III Pro Forma'!J334/1000000</f>
        <v>0</v>
      </c>
      <c r="K337" s="772">
        <f>+'Phase III Pro Forma'!K334/1000000</f>
        <v>0</v>
      </c>
      <c r="L337" s="772">
        <f>+'Phase III Pro Forma'!L334/1000000</f>
        <v>0</v>
      </c>
      <c r="M337" s="772">
        <f>+'Phase III Pro Forma'!M334/1000000</f>
        <v>0</v>
      </c>
      <c r="N337" s="772">
        <f>+'Phase III Pro Forma'!N334/1000000</f>
        <v>0</v>
      </c>
      <c r="O337" s="772">
        <f>+'Phase III Pro Forma'!O334/1000000</f>
        <v>0</v>
      </c>
      <c r="P337" s="772">
        <f>+'Phase III Pro Forma'!P334/1000000</f>
        <v>0</v>
      </c>
      <c r="Q337" s="772">
        <f>+'Phase III Pro Forma'!Q334/1000000</f>
        <v>0</v>
      </c>
      <c r="R337" s="772">
        <f>+'Phase III Pro Forma'!R334/1000000</f>
        <v>0</v>
      </c>
      <c r="S337" s="772">
        <f>+'Phase III Pro Forma'!S334/1000000</f>
        <v>0</v>
      </c>
      <c r="T337" s="772">
        <f>+'Phase III Pro Forma'!T334/1000000</f>
        <v>0</v>
      </c>
      <c r="U337" s="772">
        <f>+'Phase III Pro Forma'!U334/1000000</f>
        <v>0</v>
      </c>
      <c r="V337" s="772">
        <f>+'Phase III Pro Forma'!V334/1000000</f>
        <v>0</v>
      </c>
      <c r="W337" s="772">
        <f>+'Phase III Pro Forma'!W334/1000000</f>
        <v>0</v>
      </c>
      <c r="X337" s="772">
        <f>+'Phase III Pro Forma'!X334/1000000</f>
        <v>0</v>
      </c>
      <c r="Y337" s="772">
        <f>+'Phase III Pro Forma'!Y334/1000000</f>
        <v>0</v>
      </c>
      <c r="Z337" s="772">
        <f>+'Phase III Pro Forma'!Z334/1000000</f>
        <v>0</v>
      </c>
    </row>
    <row r="338" spans="2:26" x14ac:dyDescent="0.2">
      <c r="B338" s="32" t="s">
        <v>60</v>
      </c>
      <c r="D338" s="47">
        <f t="shared" ca="1" si="113"/>
        <v>11.311824592347085</v>
      </c>
      <c r="E338" s="47"/>
      <c r="F338" s="772">
        <f ca="1">+'Phase III Pro Forma'!F335/1000000</f>
        <v>0</v>
      </c>
      <c r="G338" s="772">
        <f ca="1">+'Phase III Pro Forma'!G335/1000000</f>
        <v>2.8279561480867712</v>
      </c>
      <c r="H338" s="772">
        <f ca="1">+'Phase III Pro Forma'!H335/1000000</f>
        <v>2.8279561480867712</v>
      </c>
      <c r="I338" s="772">
        <f ca="1">+'Phase III Pro Forma'!I335/1000000</f>
        <v>2.8279561480867712</v>
      </c>
      <c r="J338" s="772">
        <f ca="1">+'Phase III Pro Forma'!J335/1000000</f>
        <v>2.8279561480867712</v>
      </c>
      <c r="K338" s="772">
        <f>+'Phase III Pro Forma'!K335/1000000</f>
        <v>0</v>
      </c>
      <c r="L338" s="772">
        <f>+'Phase III Pro Forma'!L335/1000000</f>
        <v>0</v>
      </c>
      <c r="M338" s="772">
        <f>+'Phase III Pro Forma'!M335/1000000</f>
        <v>0</v>
      </c>
      <c r="N338" s="772">
        <f>+'Phase III Pro Forma'!N335/1000000</f>
        <v>0</v>
      </c>
      <c r="O338" s="772">
        <f>+'Phase III Pro Forma'!O335/1000000</f>
        <v>0</v>
      </c>
      <c r="P338" s="772">
        <f>+'Phase III Pro Forma'!P335/1000000</f>
        <v>0</v>
      </c>
      <c r="Q338" s="772">
        <f>+'Phase III Pro Forma'!Q335/1000000</f>
        <v>0</v>
      </c>
      <c r="R338" s="772">
        <f>+'Phase III Pro Forma'!R335/1000000</f>
        <v>0</v>
      </c>
      <c r="S338" s="772">
        <f>+'Phase III Pro Forma'!S335/1000000</f>
        <v>0</v>
      </c>
      <c r="T338" s="772">
        <f>+'Phase III Pro Forma'!T335/1000000</f>
        <v>0</v>
      </c>
      <c r="U338" s="772">
        <f>+'Phase III Pro Forma'!U335/1000000</f>
        <v>0</v>
      </c>
      <c r="V338" s="772">
        <f>+'Phase III Pro Forma'!V335/1000000</f>
        <v>0</v>
      </c>
      <c r="W338" s="772">
        <f>+'Phase III Pro Forma'!W335/1000000</f>
        <v>0</v>
      </c>
      <c r="X338" s="772">
        <f>+'Phase III Pro Forma'!X335/1000000</f>
        <v>0</v>
      </c>
      <c r="Y338" s="772">
        <f>+'Phase III Pro Forma'!Y335/1000000</f>
        <v>0</v>
      </c>
      <c r="Z338" s="772">
        <f>+'Phase III Pro Forma'!Z335/1000000</f>
        <v>0</v>
      </c>
    </row>
    <row r="339" spans="2:26" x14ac:dyDescent="0.2">
      <c r="B339" s="137" t="s">
        <v>20</v>
      </c>
      <c r="C339" s="137"/>
      <c r="D339" s="138">
        <f ca="1">+SUM(F339:Z339)</f>
        <v>369.68199810828207</v>
      </c>
      <c r="E339" s="138"/>
      <c r="F339" s="774">
        <f ca="1">+SUM(F332:F338)</f>
        <v>55.765379325386164</v>
      </c>
      <c r="G339" s="774">
        <f t="shared" ref="G339:Z339" ca="1" si="114">+SUM(G332:G338)</f>
        <v>154.13035324336116</v>
      </c>
      <c r="H339" s="774">
        <f t="shared" ca="1" si="114"/>
        <v>154.13035324336116</v>
      </c>
      <c r="I339" s="774">
        <f t="shared" ca="1" si="114"/>
        <v>2.8279561480867712</v>
      </c>
      <c r="J339" s="774">
        <f t="shared" ca="1" si="114"/>
        <v>2.8279561480867712</v>
      </c>
      <c r="K339" s="774">
        <f t="shared" si="114"/>
        <v>0</v>
      </c>
      <c r="L339" s="774">
        <f t="shared" si="114"/>
        <v>0</v>
      </c>
      <c r="M339" s="774">
        <f t="shared" si="114"/>
        <v>0</v>
      </c>
      <c r="N339" s="774">
        <f t="shared" si="114"/>
        <v>0</v>
      </c>
      <c r="O339" s="774">
        <f t="shared" si="114"/>
        <v>0</v>
      </c>
      <c r="P339" s="774">
        <f t="shared" si="114"/>
        <v>0</v>
      </c>
      <c r="Q339" s="774">
        <f t="shared" si="114"/>
        <v>0</v>
      </c>
      <c r="R339" s="774">
        <f t="shared" si="114"/>
        <v>0</v>
      </c>
      <c r="S339" s="774">
        <f t="shared" si="114"/>
        <v>0</v>
      </c>
      <c r="T339" s="774">
        <f t="shared" si="114"/>
        <v>0</v>
      </c>
      <c r="U339" s="774">
        <f t="shared" si="114"/>
        <v>0</v>
      </c>
      <c r="V339" s="774">
        <f t="shared" si="114"/>
        <v>0</v>
      </c>
      <c r="W339" s="774">
        <f t="shared" si="114"/>
        <v>0</v>
      </c>
      <c r="X339" s="774">
        <f t="shared" si="114"/>
        <v>0</v>
      </c>
      <c r="Y339" s="774">
        <f t="shared" si="114"/>
        <v>0</v>
      </c>
      <c r="Z339" s="774">
        <f t="shared" si="114"/>
        <v>0</v>
      </c>
    </row>
    <row r="340" spans="2:26" ht="5" customHeight="1" x14ac:dyDescent="0.2"/>
    <row r="341" spans="2:26" x14ac:dyDescent="0.2">
      <c r="B341" s="147" t="s">
        <v>347</v>
      </c>
      <c r="F341" s="776">
        <f>+F318</f>
        <v>45657</v>
      </c>
      <c r="G341" s="776">
        <f t="shared" ref="G341:Z341" si="115">+G318</f>
        <v>46022</v>
      </c>
      <c r="H341" s="776">
        <f t="shared" si="115"/>
        <v>46387</v>
      </c>
      <c r="I341" s="776">
        <f t="shared" si="115"/>
        <v>46752</v>
      </c>
      <c r="J341" s="776">
        <f t="shared" si="115"/>
        <v>47118</v>
      </c>
      <c r="K341" s="776">
        <f t="shared" si="115"/>
        <v>47483</v>
      </c>
      <c r="L341" s="776">
        <f t="shared" si="115"/>
        <v>47848</v>
      </c>
      <c r="M341" s="776">
        <f t="shared" si="115"/>
        <v>48213</v>
      </c>
      <c r="N341" s="776">
        <f t="shared" si="115"/>
        <v>48579</v>
      </c>
      <c r="O341" s="776">
        <f t="shared" si="115"/>
        <v>48944</v>
      </c>
      <c r="P341" s="776">
        <f t="shared" si="115"/>
        <v>49309</v>
      </c>
      <c r="Q341" s="776">
        <f t="shared" si="115"/>
        <v>49674</v>
      </c>
      <c r="R341" s="776">
        <f t="shared" si="115"/>
        <v>50040</v>
      </c>
      <c r="S341" s="776">
        <f t="shared" si="115"/>
        <v>50405</v>
      </c>
      <c r="T341" s="776">
        <f t="shared" si="115"/>
        <v>50770</v>
      </c>
      <c r="U341" s="776">
        <f t="shared" si="115"/>
        <v>51135</v>
      </c>
      <c r="V341" s="776">
        <f t="shared" si="115"/>
        <v>51501</v>
      </c>
      <c r="W341" s="776">
        <f t="shared" si="115"/>
        <v>51866</v>
      </c>
      <c r="X341" s="776">
        <f t="shared" si="115"/>
        <v>52231</v>
      </c>
      <c r="Y341" s="776">
        <f t="shared" si="115"/>
        <v>52596</v>
      </c>
      <c r="Z341" s="776">
        <f t="shared" si="115"/>
        <v>52962</v>
      </c>
    </row>
    <row r="342" spans="2:26" x14ac:dyDescent="0.2">
      <c r="B342" s="32" t="s">
        <v>29</v>
      </c>
      <c r="D342" s="47">
        <f ca="1">+D339-SUM(D299:D302,D304)</f>
        <v>289.24473471817987</v>
      </c>
      <c r="E342" s="47"/>
      <c r="F342" s="48">
        <f ca="1">+'Phase III Pro Forma'!F339/1000000</f>
        <v>55.765379325386164</v>
      </c>
      <c r="G342" s="48">
        <f ca="1">+'Phase III Pro Forma'!G339/1000000</f>
        <v>154.13035324336113</v>
      </c>
      <c r="H342" s="48">
        <f ca="1">+'Phase III Pro Forma'!H339/1000000</f>
        <v>79.349002149432479</v>
      </c>
      <c r="I342" s="48">
        <f ca="1">+'Phase III Pro Forma'!I339/1000000</f>
        <v>0</v>
      </c>
      <c r="J342" s="48">
        <f ca="1">+'Phase III Pro Forma'!J339/1000000</f>
        <v>0</v>
      </c>
      <c r="K342" s="48">
        <f ca="1">+'Phase III Pro Forma'!K339/1000000</f>
        <v>0</v>
      </c>
      <c r="L342" s="48">
        <f ca="1">+'Phase III Pro Forma'!L339/1000000</f>
        <v>0</v>
      </c>
      <c r="M342" s="48">
        <f ca="1">+'Phase III Pro Forma'!M339/1000000</f>
        <v>0</v>
      </c>
      <c r="N342" s="48">
        <f ca="1">+'Phase III Pro Forma'!N339/1000000</f>
        <v>0</v>
      </c>
      <c r="O342" s="48">
        <f ca="1">+'Phase III Pro Forma'!O339/1000000</f>
        <v>0</v>
      </c>
      <c r="P342" s="48">
        <f ca="1">+'Phase III Pro Forma'!P339/1000000</f>
        <v>0</v>
      </c>
      <c r="Q342" s="48">
        <f ca="1">+'Phase III Pro Forma'!Q339/1000000</f>
        <v>0</v>
      </c>
      <c r="R342" s="48">
        <f ca="1">+'Phase III Pro Forma'!R339/1000000</f>
        <v>0</v>
      </c>
      <c r="S342" s="48">
        <f ca="1">+'Phase III Pro Forma'!S339/1000000</f>
        <v>0</v>
      </c>
      <c r="T342" s="48">
        <f ca="1">+'Phase III Pro Forma'!T339/1000000</f>
        <v>0</v>
      </c>
      <c r="U342" s="48">
        <f ca="1">+'Phase III Pro Forma'!U339/1000000</f>
        <v>0</v>
      </c>
      <c r="V342" s="48">
        <f ca="1">+'Phase III Pro Forma'!V339/1000000</f>
        <v>0</v>
      </c>
      <c r="W342" s="48">
        <f ca="1">+'Phase III Pro Forma'!W339/1000000</f>
        <v>0</v>
      </c>
      <c r="X342" s="48">
        <f ca="1">+'Phase III Pro Forma'!X339/1000000</f>
        <v>0</v>
      </c>
      <c r="Y342" s="48">
        <f ca="1">+'Phase III Pro Forma'!Y339/1000000</f>
        <v>0</v>
      </c>
      <c r="Z342" s="48">
        <f ca="1">+'Phase III Pro Forma'!Z339/1000000</f>
        <v>0</v>
      </c>
    </row>
    <row r="343" spans="2:26" hidden="1" x14ac:dyDescent="0.2">
      <c r="B343" s="32" t="s">
        <v>326</v>
      </c>
      <c r="D343" s="47">
        <f t="shared" ref="D343:D349" ca="1" si="116">+SUM(F343:Z343)</f>
        <v>0</v>
      </c>
      <c r="E343" s="47"/>
      <c r="F343" s="772">
        <f ca="1">+'Phase III Pro Forma'!F340/1000000</f>
        <v>0</v>
      </c>
      <c r="G343" s="772">
        <f ca="1">+'Phase III Pro Forma'!G340/1000000</f>
        <v>0</v>
      </c>
      <c r="H343" s="772">
        <f ca="1">+'Phase III Pro Forma'!H340/1000000</f>
        <v>0</v>
      </c>
      <c r="I343" s="772">
        <f ca="1">+'Phase III Pro Forma'!I340/1000000</f>
        <v>0</v>
      </c>
      <c r="J343" s="772">
        <f ca="1">+'Phase III Pro Forma'!J340/1000000</f>
        <v>0</v>
      </c>
      <c r="K343" s="772">
        <f ca="1">+'Phase III Pro Forma'!K340/1000000</f>
        <v>0</v>
      </c>
      <c r="L343" s="772">
        <f ca="1">+'Phase III Pro Forma'!L340/1000000</f>
        <v>0</v>
      </c>
      <c r="M343" s="772">
        <f ca="1">+'Phase III Pro Forma'!M340/1000000</f>
        <v>0</v>
      </c>
      <c r="N343" s="772">
        <f ca="1">+'Phase III Pro Forma'!N340/1000000</f>
        <v>0</v>
      </c>
      <c r="O343" s="772">
        <f ca="1">+'Phase III Pro Forma'!O340/1000000</f>
        <v>0</v>
      </c>
      <c r="P343" s="772">
        <f ca="1">+'Phase III Pro Forma'!P340/1000000</f>
        <v>0</v>
      </c>
      <c r="Q343" s="772">
        <f ca="1">+'Phase III Pro Forma'!Q340/1000000</f>
        <v>0</v>
      </c>
      <c r="R343" s="772">
        <f ca="1">+'Phase III Pro Forma'!R340/1000000</f>
        <v>0</v>
      </c>
      <c r="S343" s="772">
        <f ca="1">+'Phase III Pro Forma'!S340/1000000</f>
        <v>0</v>
      </c>
      <c r="T343" s="772">
        <f ca="1">+'Phase III Pro Forma'!T340/1000000</f>
        <v>0</v>
      </c>
      <c r="U343" s="772">
        <f ca="1">+'Phase III Pro Forma'!U340/1000000</f>
        <v>0</v>
      </c>
      <c r="V343" s="772">
        <f ca="1">+'Phase III Pro Forma'!V340/1000000</f>
        <v>0</v>
      </c>
      <c r="W343" s="772">
        <f ca="1">+'Phase III Pro Forma'!W340/1000000</f>
        <v>0</v>
      </c>
      <c r="X343" s="772">
        <f ca="1">+'Phase III Pro Forma'!X340/1000000</f>
        <v>0</v>
      </c>
      <c r="Y343" s="772">
        <f ca="1">+'Phase III Pro Forma'!Y340/1000000</f>
        <v>0</v>
      </c>
      <c r="Z343" s="772">
        <f ca="1">+'Phase III Pro Forma'!Z340/1000000</f>
        <v>0</v>
      </c>
    </row>
    <row r="344" spans="2:26" x14ac:dyDescent="0.2">
      <c r="B344" s="32" t="s">
        <v>99</v>
      </c>
      <c r="D344" s="47">
        <f t="shared" ca="1" si="116"/>
        <v>10.625026803841823</v>
      </c>
      <c r="E344" s="47"/>
      <c r="F344" s="772">
        <f ca="1">+'Phase III Pro Forma'!F341/1000000</f>
        <v>0</v>
      </c>
      <c r="G344" s="772">
        <f ca="1">+'Phase III Pro Forma'!G341/1000000</f>
        <v>0</v>
      </c>
      <c r="H344" s="772">
        <f ca="1">+'Phase III Pro Forma'!H341/1000000</f>
        <v>10.625026803841823</v>
      </c>
      <c r="I344" s="772">
        <f ca="1">+'Phase III Pro Forma'!I341/1000000</f>
        <v>0</v>
      </c>
      <c r="J344" s="772">
        <f ca="1">+'Phase III Pro Forma'!J341/1000000</f>
        <v>0</v>
      </c>
      <c r="K344" s="772">
        <f ca="1">+'Phase III Pro Forma'!K341/1000000</f>
        <v>0</v>
      </c>
      <c r="L344" s="772">
        <f ca="1">+'Phase III Pro Forma'!L341/1000000</f>
        <v>0</v>
      </c>
      <c r="M344" s="772">
        <f ca="1">+'Phase III Pro Forma'!M341/1000000</f>
        <v>0</v>
      </c>
      <c r="N344" s="772">
        <f ca="1">+'Phase III Pro Forma'!N341/1000000</f>
        <v>0</v>
      </c>
      <c r="O344" s="772">
        <f ca="1">+'Phase III Pro Forma'!O341/1000000</f>
        <v>0</v>
      </c>
      <c r="P344" s="772">
        <f ca="1">+'Phase III Pro Forma'!P341/1000000</f>
        <v>0</v>
      </c>
      <c r="Q344" s="772">
        <f ca="1">+'Phase III Pro Forma'!Q341/1000000</f>
        <v>0</v>
      </c>
      <c r="R344" s="772">
        <f ca="1">+'Phase III Pro Forma'!R341/1000000</f>
        <v>0</v>
      </c>
      <c r="S344" s="772">
        <f ca="1">+'Phase III Pro Forma'!S341/1000000</f>
        <v>0</v>
      </c>
      <c r="T344" s="772">
        <f ca="1">+'Phase III Pro Forma'!T341/1000000</f>
        <v>0</v>
      </c>
      <c r="U344" s="772">
        <f ca="1">+'Phase III Pro Forma'!U341/1000000</f>
        <v>0</v>
      </c>
      <c r="V344" s="772">
        <f ca="1">+'Phase III Pro Forma'!V341/1000000</f>
        <v>0</v>
      </c>
      <c r="W344" s="772">
        <f ca="1">+'Phase III Pro Forma'!W341/1000000</f>
        <v>0</v>
      </c>
      <c r="X344" s="772">
        <f ca="1">+'Phase III Pro Forma'!X341/1000000</f>
        <v>0</v>
      </c>
      <c r="Y344" s="772">
        <f ca="1">+'Phase III Pro Forma'!Y341/1000000</f>
        <v>0</v>
      </c>
      <c r="Z344" s="772">
        <f ca="1">+'Phase III Pro Forma'!Z341/1000000</f>
        <v>0</v>
      </c>
    </row>
    <row r="345" spans="2:26" x14ac:dyDescent="0.2">
      <c r="B345" s="32" t="s">
        <v>100</v>
      </c>
      <c r="D345" s="47">
        <f t="shared" ca="1" si="116"/>
        <v>5.5380000000000003</v>
      </c>
      <c r="E345" s="47"/>
      <c r="F345" s="772">
        <f ca="1">+'Phase III Pro Forma'!F342/1000000</f>
        <v>0</v>
      </c>
      <c r="G345" s="772">
        <f ca="1">+'Phase III Pro Forma'!G342/1000000</f>
        <v>0</v>
      </c>
      <c r="H345" s="772">
        <f ca="1">+'Phase III Pro Forma'!H342/1000000</f>
        <v>5.5380000000000003</v>
      </c>
      <c r="I345" s="772">
        <f ca="1">+'Phase III Pro Forma'!I342/1000000</f>
        <v>0</v>
      </c>
      <c r="J345" s="772">
        <f ca="1">+'Phase III Pro Forma'!J342/1000000</f>
        <v>0</v>
      </c>
      <c r="K345" s="772">
        <f ca="1">+'Phase III Pro Forma'!K342/1000000</f>
        <v>0</v>
      </c>
      <c r="L345" s="772">
        <f ca="1">+'Phase III Pro Forma'!L342/1000000</f>
        <v>0</v>
      </c>
      <c r="M345" s="772">
        <f ca="1">+'Phase III Pro Forma'!M342/1000000</f>
        <v>0</v>
      </c>
      <c r="N345" s="772">
        <f ca="1">+'Phase III Pro Forma'!N342/1000000</f>
        <v>0</v>
      </c>
      <c r="O345" s="772">
        <f ca="1">+'Phase III Pro Forma'!O342/1000000</f>
        <v>0</v>
      </c>
      <c r="P345" s="772">
        <f ca="1">+'Phase III Pro Forma'!P342/1000000</f>
        <v>0</v>
      </c>
      <c r="Q345" s="772">
        <f ca="1">+'Phase III Pro Forma'!Q342/1000000</f>
        <v>0</v>
      </c>
      <c r="R345" s="772">
        <f ca="1">+'Phase III Pro Forma'!R342/1000000</f>
        <v>0</v>
      </c>
      <c r="S345" s="772">
        <f ca="1">+'Phase III Pro Forma'!S342/1000000</f>
        <v>0</v>
      </c>
      <c r="T345" s="772">
        <f ca="1">+'Phase III Pro Forma'!T342/1000000</f>
        <v>0</v>
      </c>
      <c r="U345" s="772">
        <f ca="1">+'Phase III Pro Forma'!U342/1000000</f>
        <v>0</v>
      </c>
      <c r="V345" s="772">
        <f ca="1">+'Phase III Pro Forma'!V342/1000000</f>
        <v>0</v>
      </c>
      <c r="W345" s="772">
        <f ca="1">+'Phase III Pro Forma'!W342/1000000</f>
        <v>0</v>
      </c>
      <c r="X345" s="772">
        <f ca="1">+'Phase III Pro Forma'!X342/1000000</f>
        <v>0</v>
      </c>
      <c r="Y345" s="772">
        <f ca="1">+'Phase III Pro Forma'!Y342/1000000</f>
        <v>0</v>
      </c>
      <c r="Z345" s="772">
        <f ca="1">+'Phase III Pro Forma'!Z342/1000000</f>
        <v>0</v>
      </c>
    </row>
    <row r="346" spans="2:26" x14ac:dyDescent="0.2">
      <c r="B346" s="32" t="s">
        <v>613</v>
      </c>
      <c r="D346" s="47">
        <f t="shared" ca="1" si="116"/>
        <v>0</v>
      </c>
      <c r="E346" s="47"/>
      <c r="F346" s="772">
        <f ca="1">+'Phase III Pro Forma'!F343/1000000</f>
        <v>0</v>
      </c>
      <c r="G346" s="772">
        <f ca="1">+'Phase III Pro Forma'!G343/1000000</f>
        <v>0</v>
      </c>
      <c r="H346" s="772">
        <f ca="1">+'Phase III Pro Forma'!H343/1000000</f>
        <v>0</v>
      </c>
      <c r="I346" s="772">
        <f ca="1">+'Phase III Pro Forma'!I343/1000000</f>
        <v>0</v>
      </c>
      <c r="J346" s="772">
        <f ca="1">+'Phase III Pro Forma'!J343/1000000</f>
        <v>0</v>
      </c>
      <c r="K346" s="772">
        <f ca="1">+'Phase III Pro Forma'!K343/1000000</f>
        <v>0</v>
      </c>
      <c r="L346" s="772">
        <f ca="1">+'Phase III Pro Forma'!L343/1000000</f>
        <v>0</v>
      </c>
      <c r="M346" s="772">
        <f ca="1">+'Phase III Pro Forma'!M343/1000000</f>
        <v>0</v>
      </c>
      <c r="N346" s="772">
        <f ca="1">+'Phase III Pro Forma'!N343/1000000</f>
        <v>0</v>
      </c>
      <c r="O346" s="772">
        <f ca="1">+'Phase III Pro Forma'!O343/1000000</f>
        <v>0</v>
      </c>
      <c r="P346" s="772">
        <f ca="1">+'Phase III Pro Forma'!P343/1000000</f>
        <v>0</v>
      </c>
      <c r="Q346" s="772">
        <f ca="1">+'Phase III Pro Forma'!Q343/1000000</f>
        <v>0</v>
      </c>
      <c r="R346" s="772">
        <f ca="1">+'Phase III Pro Forma'!R343/1000000</f>
        <v>0</v>
      </c>
      <c r="S346" s="772">
        <f ca="1">+'Phase III Pro Forma'!S343/1000000</f>
        <v>0</v>
      </c>
      <c r="T346" s="772">
        <f ca="1">+'Phase III Pro Forma'!T343/1000000</f>
        <v>0</v>
      </c>
      <c r="U346" s="772">
        <f ca="1">+'Phase III Pro Forma'!U343/1000000</f>
        <v>0</v>
      </c>
      <c r="V346" s="772">
        <f ca="1">+'Phase III Pro Forma'!V343/1000000</f>
        <v>0</v>
      </c>
      <c r="W346" s="772">
        <f ca="1">+'Phase III Pro Forma'!W343/1000000</f>
        <v>0</v>
      </c>
      <c r="X346" s="772">
        <f ca="1">+'Phase III Pro Forma'!X343/1000000</f>
        <v>0</v>
      </c>
      <c r="Y346" s="772">
        <f ca="1">+'Phase III Pro Forma'!Y343/1000000</f>
        <v>0</v>
      </c>
      <c r="Z346" s="772">
        <f ca="1">+'Phase III Pro Forma'!Z343/1000000</f>
        <v>0</v>
      </c>
    </row>
    <row r="347" spans="2:26" hidden="1" x14ac:dyDescent="0.2">
      <c r="B347" s="32" t="s">
        <v>330</v>
      </c>
      <c r="D347" s="47">
        <f t="shared" si="116"/>
        <v>0</v>
      </c>
      <c r="E347" s="47"/>
      <c r="F347" s="772">
        <f>+'Phase III Pro Forma'!F344/1000000</f>
        <v>0</v>
      </c>
      <c r="G347" s="772">
        <f>+'Phase III Pro Forma'!G344/1000000</f>
        <v>0</v>
      </c>
      <c r="H347" s="772">
        <f>+'Phase III Pro Forma'!H344/1000000</f>
        <v>0</v>
      </c>
      <c r="I347" s="772">
        <f>+'Phase III Pro Forma'!I344/1000000</f>
        <v>0</v>
      </c>
      <c r="J347" s="772">
        <f>+'Phase III Pro Forma'!J344/1000000</f>
        <v>0</v>
      </c>
      <c r="K347" s="772">
        <f>+'Phase III Pro Forma'!K344/1000000</f>
        <v>0</v>
      </c>
      <c r="L347" s="772">
        <f>+'Phase III Pro Forma'!L344/1000000</f>
        <v>0</v>
      </c>
      <c r="M347" s="772">
        <f>+'Phase III Pro Forma'!M344/1000000</f>
        <v>0</v>
      </c>
      <c r="N347" s="772">
        <f>+'Phase III Pro Forma'!N344/1000000</f>
        <v>0</v>
      </c>
      <c r="O347" s="772">
        <f>+'Phase III Pro Forma'!O344/1000000</f>
        <v>0</v>
      </c>
      <c r="P347" s="772">
        <f>+'Phase III Pro Forma'!P344/1000000</f>
        <v>0</v>
      </c>
      <c r="Q347" s="772">
        <f>+'Phase III Pro Forma'!Q344/1000000</f>
        <v>0</v>
      </c>
      <c r="R347" s="772">
        <f>+'Phase III Pro Forma'!R344/1000000</f>
        <v>0</v>
      </c>
      <c r="S347" s="772">
        <f>+'Phase III Pro Forma'!S344/1000000</f>
        <v>0</v>
      </c>
      <c r="T347" s="772">
        <f>+'Phase III Pro Forma'!T344/1000000</f>
        <v>0</v>
      </c>
      <c r="U347" s="772">
        <f>+'Phase III Pro Forma'!U344/1000000</f>
        <v>0</v>
      </c>
      <c r="V347" s="772">
        <f>+'Phase III Pro Forma'!V344/1000000</f>
        <v>0</v>
      </c>
      <c r="W347" s="772">
        <f>+'Phase III Pro Forma'!W344/1000000</f>
        <v>0</v>
      </c>
      <c r="X347" s="772">
        <f>+'Phase III Pro Forma'!X344/1000000</f>
        <v>0</v>
      </c>
      <c r="Y347" s="772">
        <f>+'Phase III Pro Forma'!Y344/1000000</f>
        <v>0</v>
      </c>
      <c r="Z347" s="772">
        <f>+'Phase III Pro Forma'!Z344/1000000</f>
        <v>0</v>
      </c>
    </row>
    <row r="348" spans="2:26" x14ac:dyDescent="0.2">
      <c r="B348" s="32" t="s">
        <v>98</v>
      </c>
      <c r="D348" s="47">
        <f t="shared" ca="1" si="116"/>
        <v>64.274236586260287</v>
      </c>
      <c r="E348" s="47"/>
      <c r="F348" s="772">
        <f ca="1">+'Phase III Pro Forma'!F345/1000000</f>
        <v>0</v>
      </c>
      <c r="G348" s="772">
        <f ca="1">+'Phase III Pro Forma'!G345/1000000</f>
        <v>0</v>
      </c>
      <c r="H348" s="772">
        <f ca="1">+'Phase III Pro Forma'!H345/1000000</f>
        <v>58.618324290086804</v>
      </c>
      <c r="I348" s="772">
        <f ca="1">+'Phase III Pro Forma'!I345/1000000</f>
        <v>2.8279561480867712</v>
      </c>
      <c r="J348" s="772">
        <f ca="1">+'Phase III Pro Forma'!J345/1000000</f>
        <v>2.8279561480867712</v>
      </c>
      <c r="K348" s="772">
        <f ca="1">+'Phase III Pro Forma'!K345/1000000</f>
        <v>0</v>
      </c>
      <c r="L348" s="772">
        <f ca="1">+'Phase III Pro Forma'!L345/1000000</f>
        <v>0</v>
      </c>
      <c r="M348" s="772">
        <f ca="1">+'Phase III Pro Forma'!M345/1000000</f>
        <v>0</v>
      </c>
      <c r="N348" s="772">
        <f ca="1">+'Phase III Pro Forma'!N345/1000000</f>
        <v>0</v>
      </c>
      <c r="O348" s="772">
        <f ca="1">+'Phase III Pro Forma'!O345/1000000</f>
        <v>0</v>
      </c>
      <c r="P348" s="772">
        <f ca="1">+'Phase III Pro Forma'!P345/1000000</f>
        <v>0</v>
      </c>
      <c r="Q348" s="772">
        <f ca="1">+'Phase III Pro Forma'!Q345/1000000</f>
        <v>0</v>
      </c>
      <c r="R348" s="772">
        <f ca="1">+'Phase III Pro Forma'!R345/1000000</f>
        <v>0</v>
      </c>
      <c r="S348" s="772">
        <f ca="1">+'Phase III Pro Forma'!S345/1000000</f>
        <v>0</v>
      </c>
      <c r="T348" s="772">
        <f ca="1">+'Phase III Pro Forma'!T345/1000000</f>
        <v>0</v>
      </c>
      <c r="U348" s="772">
        <f ca="1">+'Phase III Pro Forma'!U345/1000000</f>
        <v>0</v>
      </c>
      <c r="V348" s="772">
        <f ca="1">+'Phase III Pro Forma'!V345/1000000</f>
        <v>0</v>
      </c>
      <c r="W348" s="772">
        <f ca="1">+'Phase III Pro Forma'!W345/1000000</f>
        <v>0</v>
      </c>
      <c r="X348" s="772">
        <f ca="1">+'Phase III Pro Forma'!X345/1000000</f>
        <v>0</v>
      </c>
      <c r="Y348" s="772">
        <f ca="1">+'Phase III Pro Forma'!Y345/1000000</f>
        <v>0</v>
      </c>
      <c r="Z348" s="772">
        <f ca="1">+'Phase III Pro Forma'!Z345/1000000</f>
        <v>0</v>
      </c>
    </row>
    <row r="349" spans="2:26" x14ac:dyDescent="0.2">
      <c r="B349" s="137" t="s">
        <v>377</v>
      </c>
      <c r="C349" s="137"/>
      <c r="D349" s="138">
        <f t="shared" ca="1" si="116"/>
        <v>369.68199810828196</v>
      </c>
      <c r="E349" s="138"/>
      <c r="F349" s="774">
        <f t="shared" ref="F349:Z349" ca="1" si="117">+SUM(F342:F348)</f>
        <v>55.765379325386164</v>
      </c>
      <c r="G349" s="774">
        <f t="shared" ca="1" si="117"/>
        <v>154.13035324336113</v>
      </c>
      <c r="H349" s="774">
        <f t="shared" ca="1" si="117"/>
        <v>154.1303532433611</v>
      </c>
      <c r="I349" s="774">
        <f t="shared" ca="1" si="117"/>
        <v>2.8279561480867712</v>
      </c>
      <c r="J349" s="774">
        <f t="shared" ca="1" si="117"/>
        <v>2.8279561480867712</v>
      </c>
      <c r="K349" s="774">
        <f t="shared" ca="1" si="117"/>
        <v>0</v>
      </c>
      <c r="L349" s="774">
        <f t="shared" ca="1" si="117"/>
        <v>0</v>
      </c>
      <c r="M349" s="774">
        <f t="shared" ca="1" si="117"/>
        <v>0</v>
      </c>
      <c r="N349" s="774">
        <f t="shared" ca="1" si="117"/>
        <v>0</v>
      </c>
      <c r="O349" s="774">
        <f t="shared" ca="1" si="117"/>
        <v>0</v>
      </c>
      <c r="P349" s="774">
        <f t="shared" ca="1" si="117"/>
        <v>0</v>
      </c>
      <c r="Q349" s="774">
        <f t="shared" ca="1" si="117"/>
        <v>0</v>
      </c>
      <c r="R349" s="774">
        <f t="shared" ca="1" si="117"/>
        <v>0</v>
      </c>
      <c r="S349" s="774">
        <f t="shared" ca="1" si="117"/>
        <v>0</v>
      </c>
      <c r="T349" s="774">
        <f t="shared" ca="1" si="117"/>
        <v>0</v>
      </c>
      <c r="U349" s="774">
        <f t="shared" ca="1" si="117"/>
        <v>0</v>
      </c>
      <c r="V349" s="774">
        <f t="shared" ca="1" si="117"/>
        <v>0</v>
      </c>
      <c r="W349" s="774">
        <f t="shared" ca="1" si="117"/>
        <v>0</v>
      </c>
      <c r="X349" s="774">
        <f t="shared" ca="1" si="117"/>
        <v>0</v>
      </c>
      <c r="Y349" s="774">
        <f t="shared" ca="1" si="117"/>
        <v>0</v>
      </c>
      <c r="Z349" s="774">
        <f t="shared" ca="1" si="117"/>
        <v>0</v>
      </c>
    </row>
    <row r="350" spans="2:26" ht="5" customHeight="1" x14ac:dyDescent="0.2"/>
    <row r="351" spans="2:26" x14ac:dyDescent="0.2">
      <c r="B351" s="147" t="s">
        <v>348</v>
      </c>
    </row>
    <row r="352" spans="2:26" x14ac:dyDescent="0.2">
      <c r="B352" s="32" t="s">
        <v>349</v>
      </c>
      <c r="D352" s="47">
        <f ca="1">+SUM(F352:Z352)</f>
        <v>-289.24473471817981</v>
      </c>
      <c r="E352" s="47"/>
      <c r="F352" s="48">
        <f ca="1">-F342</f>
        <v>-55.765379325386164</v>
      </c>
      <c r="G352" s="48">
        <f t="shared" ref="G352:Z352" ca="1" si="118">-G342</f>
        <v>-154.13035324336113</v>
      </c>
      <c r="H352" s="48">
        <f t="shared" ca="1" si="118"/>
        <v>-79.349002149432479</v>
      </c>
      <c r="I352" s="48">
        <f t="shared" ca="1" si="118"/>
        <v>0</v>
      </c>
      <c r="J352" s="48">
        <f t="shared" ca="1" si="118"/>
        <v>0</v>
      </c>
      <c r="K352" s="48">
        <f t="shared" ca="1" si="118"/>
        <v>0</v>
      </c>
      <c r="L352" s="48">
        <f t="shared" ca="1" si="118"/>
        <v>0</v>
      </c>
      <c r="M352" s="48">
        <f t="shared" ca="1" si="118"/>
        <v>0</v>
      </c>
      <c r="N352" s="48">
        <f t="shared" ca="1" si="118"/>
        <v>0</v>
      </c>
      <c r="O352" s="48">
        <f t="shared" ca="1" si="118"/>
        <v>0</v>
      </c>
      <c r="P352" s="48">
        <f t="shared" ca="1" si="118"/>
        <v>0</v>
      </c>
      <c r="Q352" s="48">
        <f t="shared" ca="1" si="118"/>
        <v>0</v>
      </c>
      <c r="R352" s="48">
        <f t="shared" ca="1" si="118"/>
        <v>0</v>
      </c>
      <c r="S352" s="48">
        <f t="shared" ca="1" si="118"/>
        <v>0</v>
      </c>
      <c r="T352" s="48">
        <f t="shared" ca="1" si="118"/>
        <v>0</v>
      </c>
      <c r="U352" s="48">
        <f t="shared" ca="1" si="118"/>
        <v>0</v>
      </c>
      <c r="V352" s="48">
        <f t="shared" ca="1" si="118"/>
        <v>0</v>
      </c>
      <c r="W352" s="48">
        <f t="shared" ca="1" si="118"/>
        <v>0</v>
      </c>
      <c r="X352" s="48">
        <f t="shared" ca="1" si="118"/>
        <v>0</v>
      </c>
      <c r="Y352" s="48">
        <f t="shared" ca="1" si="118"/>
        <v>0</v>
      </c>
      <c r="Z352" s="48">
        <f t="shared" ca="1" si="118"/>
        <v>0</v>
      </c>
    </row>
    <row r="353" spans="2:26" x14ac:dyDescent="0.2">
      <c r="B353" s="32" t="s">
        <v>350</v>
      </c>
      <c r="D353" s="47">
        <f t="shared" ref="D353" ca="1" si="119">+SUM(F353:Z353)</f>
        <v>547.32976079208981</v>
      </c>
      <c r="E353" s="47"/>
      <c r="F353" s="772">
        <f ca="1">+'Phase III Pro Forma'!F350/1000000</f>
        <v>0</v>
      </c>
      <c r="G353" s="772">
        <f ca="1">+'Phase III Pro Forma'!G350/1000000</f>
        <v>0</v>
      </c>
      <c r="H353" s="772">
        <f ca="1">+'Phase III Pro Forma'!H350/1000000</f>
        <v>0</v>
      </c>
      <c r="I353" s="772">
        <f ca="1">+'Phase III Pro Forma'!I350/1000000</f>
        <v>12.808687546966917</v>
      </c>
      <c r="J353" s="772">
        <f ca="1">+'Phase III Pro Forma'!J350/1000000</f>
        <v>25.878867695486186</v>
      </c>
      <c r="K353" s="772">
        <f ca="1">+'Phase III Pro Forma'!K350/1000000</f>
        <v>26.161641979331723</v>
      </c>
      <c r="L353" s="772">
        <f ca="1">+'Phase III Pro Forma'!L350/1000000</f>
        <v>482.48056357030498</v>
      </c>
      <c r="M353" s="772">
        <f>+'Phase III Pro Forma'!M350/1000000</f>
        <v>0</v>
      </c>
      <c r="N353" s="772">
        <f>+'Phase III Pro Forma'!N350/1000000</f>
        <v>0</v>
      </c>
      <c r="O353" s="772">
        <f>+'Phase III Pro Forma'!O350/1000000</f>
        <v>0</v>
      </c>
      <c r="P353" s="772">
        <f>+'Phase III Pro Forma'!P350/1000000</f>
        <v>0</v>
      </c>
      <c r="Q353" s="772">
        <f>+'Phase III Pro Forma'!Q350/1000000</f>
        <v>0</v>
      </c>
      <c r="R353" s="772">
        <f>+'Phase III Pro Forma'!R350/1000000</f>
        <v>0</v>
      </c>
      <c r="S353" s="772">
        <f>+'Phase III Pro Forma'!S350/1000000</f>
        <v>0</v>
      </c>
      <c r="T353" s="772">
        <f>+'Phase III Pro Forma'!T350/1000000</f>
        <v>0</v>
      </c>
      <c r="U353" s="772">
        <f>+'Phase III Pro Forma'!U350/1000000</f>
        <v>0</v>
      </c>
      <c r="V353" s="772">
        <f>+'Phase III Pro Forma'!V350/1000000</f>
        <v>0</v>
      </c>
      <c r="W353" s="772">
        <f>+'Phase III Pro Forma'!W350/1000000</f>
        <v>0</v>
      </c>
      <c r="X353" s="772">
        <f>+'Phase III Pro Forma'!X350/1000000</f>
        <v>0</v>
      </c>
      <c r="Y353" s="772">
        <f>+'Phase III Pro Forma'!Y350/1000000</f>
        <v>0</v>
      </c>
      <c r="Z353" s="772">
        <f>+'Phase III Pro Forma'!Z350/1000000</f>
        <v>0</v>
      </c>
    </row>
    <row r="354" spans="2:26" x14ac:dyDescent="0.2">
      <c r="B354" s="137" t="s">
        <v>351</v>
      </c>
      <c r="C354" s="137"/>
      <c r="D354" s="138">
        <f ca="1">+SUM(F354:Z354)</f>
        <v>258.08502607390994</v>
      </c>
      <c r="E354" s="138"/>
      <c r="F354" s="774">
        <f ca="1">+SUM(F352:F353)</f>
        <v>-55.765379325386164</v>
      </c>
      <c r="G354" s="774">
        <f t="shared" ref="G354:Z354" ca="1" si="120">+SUM(G352:G353)</f>
        <v>-154.13035324336113</v>
      </c>
      <c r="H354" s="774">
        <f t="shared" ca="1" si="120"/>
        <v>-79.349002149432479</v>
      </c>
      <c r="I354" s="774">
        <f t="shared" ca="1" si="120"/>
        <v>12.808687546966917</v>
      </c>
      <c r="J354" s="774">
        <f t="shared" ca="1" si="120"/>
        <v>25.878867695486186</v>
      </c>
      <c r="K354" s="774">
        <f t="shared" ca="1" si="120"/>
        <v>26.161641979331723</v>
      </c>
      <c r="L354" s="774">
        <f t="shared" ca="1" si="120"/>
        <v>482.48056357030498</v>
      </c>
      <c r="M354" s="774">
        <f t="shared" ca="1" si="120"/>
        <v>0</v>
      </c>
      <c r="N354" s="774">
        <f t="shared" ca="1" si="120"/>
        <v>0</v>
      </c>
      <c r="O354" s="774">
        <f t="shared" ca="1" si="120"/>
        <v>0</v>
      </c>
      <c r="P354" s="774">
        <f t="shared" ca="1" si="120"/>
        <v>0</v>
      </c>
      <c r="Q354" s="774">
        <f t="shared" ca="1" si="120"/>
        <v>0</v>
      </c>
      <c r="R354" s="774">
        <f t="shared" ca="1" si="120"/>
        <v>0</v>
      </c>
      <c r="S354" s="774">
        <f t="shared" ca="1" si="120"/>
        <v>0</v>
      </c>
      <c r="T354" s="774">
        <f t="shared" ca="1" si="120"/>
        <v>0</v>
      </c>
      <c r="U354" s="774">
        <f t="shared" ca="1" si="120"/>
        <v>0</v>
      </c>
      <c r="V354" s="774">
        <f t="shared" ca="1" si="120"/>
        <v>0</v>
      </c>
      <c r="W354" s="774">
        <f t="shared" ca="1" si="120"/>
        <v>0</v>
      </c>
      <c r="X354" s="774">
        <f t="shared" ca="1" si="120"/>
        <v>0</v>
      </c>
      <c r="Y354" s="774">
        <f t="shared" ca="1" si="120"/>
        <v>0</v>
      </c>
      <c r="Z354" s="774">
        <f t="shared" ca="1" si="120"/>
        <v>0</v>
      </c>
    </row>
    <row r="356" spans="2:26" x14ac:dyDescent="0.2">
      <c r="B356" s="188" t="s">
        <v>393</v>
      </c>
      <c r="C356" s="189">
        <f ca="1">+IRR(F354:Z354)</f>
        <v>0.14509319275776988</v>
      </c>
    </row>
    <row r="357" spans="2:26" x14ac:dyDescent="0.2">
      <c r="B357" s="140" t="s">
        <v>353</v>
      </c>
      <c r="C357" s="141">
        <f ca="1">+SUM(F354:Z354)</f>
        <v>258.08502607391006</v>
      </c>
    </row>
    <row r="358" spans="2:26" x14ac:dyDescent="0.2">
      <c r="B358" s="192" t="s">
        <v>354</v>
      </c>
      <c r="C358" s="193">
        <f ca="1">+D353/-D352</f>
        <v>1.892272166424638</v>
      </c>
    </row>
    <row r="360" spans="2:26" s="793" customFormat="1" hidden="1" x14ac:dyDescent="0.2">
      <c r="B360" s="806" t="s">
        <v>411</v>
      </c>
      <c r="C360" s="807"/>
      <c r="D360" s="807"/>
      <c r="E360" s="807"/>
      <c r="F360" s="808">
        <f>+F341</f>
        <v>45657</v>
      </c>
      <c r="G360" s="808">
        <f t="shared" ref="G360:Z360" si="121">+G341</f>
        <v>46022</v>
      </c>
      <c r="H360" s="808">
        <f t="shared" si="121"/>
        <v>46387</v>
      </c>
      <c r="I360" s="808">
        <f t="shared" si="121"/>
        <v>46752</v>
      </c>
      <c r="J360" s="808">
        <f t="shared" si="121"/>
        <v>47118</v>
      </c>
      <c r="K360" s="808">
        <f t="shared" si="121"/>
        <v>47483</v>
      </c>
      <c r="L360" s="808">
        <f t="shared" si="121"/>
        <v>47848</v>
      </c>
      <c r="M360" s="808">
        <f t="shared" si="121"/>
        <v>48213</v>
      </c>
      <c r="N360" s="808">
        <f t="shared" si="121"/>
        <v>48579</v>
      </c>
      <c r="O360" s="808">
        <f t="shared" si="121"/>
        <v>48944</v>
      </c>
      <c r="P360" s="808">
        <f t="shared" si="121"/>
        <v>49309</v>
      </c>
      <c r="Q360" s="808">
        <f t="shared" si="121"/>
        <v>49674</v>
      </c>
      <c r="R360" s="808">
        <f t="shared" si="121"/>
        <v>50040</v>
      </c>
      <c r="S360" s="808">
        <f t="shared" si="121"/>
        <v>50405</v>
      </c>
      <c r="T360" s="808">
        <f t="shared" si="121"/>
        <v>50770</v>
      </c>
      <c r="U360" s="808">
        <f t="shared" si="121"/>
        <v>51135</v>
      </c>
      <c r="V360" s="808">
        <f t="shared" si="121"/>
        <v>51501</v>
      </c>
      <c r="W360" s="808">
        <f t="shared" si="121"/>
        <v>51866</v>
      </c>
      <c r="X360" s="808">
        <f t="shared" si="121"/>
        <v>52231</v>
      </c>
      <c r="Y360" s="808">
        <f t="shared" si="121"/>
        <v>52596</v>
      </c>
      <c r="Z360" s="808">
        <f t="shared" si="121"/>
        <v>52962</v>
      </c>
    </row>
    <row r="361" spans="2:26" s="793" customFormat="1" hidden="1" x14ac:dyDescent="0.2">
      <c r="B361" s="809"/>
    </row>
    <row r="362" spans="2:26" s="793" customFormat="1" hidden="1" x14ac:dyDescent="0.2">
      <c r="B362" s="810" t="s">
        <v>407</v>
      </c>
      <c r="F362" s="810">
        <v>0</v>
      </c>
      <c r="G362" s="810">
        <f>+F362+1</f>
        <v>1</v>
      </c>
      <c r="H362" s="810">
        <f t="shared" ref="H362:Z362" si="122">+G362+1</f>
        <v>2</v>
      </c>
      <c r="I362" s="810">
        <f t="shared" si="122"/>
        <v>3</v>
      </c>
      <c r="J362" s="810">
        <f t="shared" si="122"/>
        <v>4</v>
      </c>
      <c r="K362" s="810">
        <f t="shared" si="122"/>
        <v>5</v>
      </c>
      <c r="L362" s="810">
        <f t="shared" si="122"/>
        <v>6</v>
      </c>
      <c r="M362" s="810">
        <f t="shared" si="122"/>
        <v>7</v>
      </c>
      <c r="N362" s="810">
        <f t="shared" si="122"/>
        <v>8</v>
      </c>
      <c r="O362" s="810">
        <f t="shared" si="122"/>
        <v>9</v>
      </c>
      <c r="P362" s="810">
        <f t="shared" si="122"/>
        <v>10</v>
      </c>
      <c r="Q362" s="810">
        <f t="shared" si="122"/>
        <v>11</v>
      </c>
      <c r="R362" s="810">
        <f t="shared" si="122"/>
        <v>12</v>
      </c>
      <c r="S362" s="810">
        <f t="shared" si="122"/>
        <v>13</v>
      </c>
      <c r="T362" s="810">
        <f t="shared" si="122"/>
        <v>14</v>
      </c>
      <c r="U362" s="810">
        <f t="shared" si="122"/>
        <v>15</v>
      </c>
      <c r="V362" s="810">
        <f t="shared" si="122"/>
        <v>16</v>
      </c>
      <c r="W362" s="810">
        <f t="shared" si="122"/>
        <v>17</v>
      </c>
      <c r="X362" s="810">
        <f t="shared" si="122"/>
        <v>18</v>
      </c>
      <c r="Y362" s="810">
        <f t="shared" si="122"/>
        <v>19</v>
      </c>
      <c r="Z362" s="810">
        <f t="shared" si="122"/>
        <v>20</v>
      </c>
    </row>
    <row r="363" spans="2:26" s="793" customFormat="1" hidden="1" x14ac:dyDescent="0.2">
      <c r="B363" s="788" t="s">
        <v>398</v>
      </c>
      <c r="D363" s="803"/>
      <c r="E363" s="803"/>
      <c r="F363" s="792">
        <f ca="1">+'Phase III Pro Forma'!F360/1000000</f>
        <v>-55.765379325386164</v>
      </c>
      <c r="G363" s="792">
        <f ca="1">+'Phase III Pro Forma'!G360/1000000</f>
        <v>-154.13035324336113</v>
      </c>
      <c r="H363" s="792">
        <f ca="1">+'Phase III Pro Forma'!H360/1000000</f>
        <v>-79.349002149432479</v>
      </c>
      <c r="I363" s="792">
        <f ca="1">+'Phase III Pro Forma'!I360/1000000</f>
        <v>0</v>
      </c>
      <c r="J363" s="792">
        <f ca="1">+'Phase III Pro Forma'!J360/1000000</f>
        <v>0</v>
      </c>
      <c r="K363" s="792">
        <f ca="1">+'Phase III Pro Forma'!K360/1000000</f>
        <v>0</v>
      </c>
      <c r="L363" s="792">
        <f ca="1">+'Phase III Pro Forma'!L360/1000000</f>
        <v>0</v>
      </c>
      <c r="M363" s="792">
        <f ca="1">+'Phase III Pro Forma'!M360/1000000</f>
        <v>0</v>
      </c>
      <c r="N363" s="792">
        <f ca="1">+'Phase III Pro Forma'!N360/1000000</f>
        <v>0</v>
      </c>
      <c r="O363" s="792">
        <f ca="1">+'Phase III Pro Forma'!O360/1000000</f>
        <v>0</v>
      </c>
      <c r="P363" s="792">
        <f ca="1">+'Phase III Pro Forma'!P360/1000000</f>
        <v>0</v>
      </c>
      <c r="Q363" s="792">
        <f ca="1">+'Phase III Pro Forma'!Q360/1000000</f>
        <v>0</v>
      </c>
      <c r="R363" s="792">
        <f ca="1">+'Phase III Pro Forma'!R360/1000000</f>
        <v>0</v>
      </c>
      <c r="S363" s="792">
        <f ca="1">+'Phase III Pro Forma'!S360/1000000</f>
        <v>0</v>
      </c>
      <c r="T363" s="792">
        <f ca="1">+'Phase III Pro Forma'!T360/1000000</f>
        <v>0</v>
      </c>
      <c r="U363" s="792">
        <f ca="1">+'Phase III Pro Forma'!U360/1000000</f>
        <v>0</v>
      </c>
      <c r="V363" s="792">
        <f ca="1">+'Phase III Pro Forma'!V360/1000000</f>
        <v>0</v>
      </c>
      <c r="W363" s="792">
        <f ca="1">+'Phase III Pro Forma'!W360/1000000</f>
        <v>0</v>
      </c>
      <c r="X363" s="792">
        <f ca="1">+'Phase III Pro Forma'!X360/1000000</f>
        <v>0</v>
      </c>
      <c r="Y363" s="792">
        <f ca="1">+'Phase III Pro Forma'!Y360/1000000</f>
        <v>0</v>
      </c>
      <c r="Z363" s="792">
        <f ca="1">+'Phase III Pro Forma'!Z360/1000000</f>
        <v>0</v>
      </c>
    </row>
    <row r="364" spans="2:26" s="793" customFormat="1" hidden="1" x14ac:dyDescent="0.2">
      <c r="B364" s="788" t="s">
        <v>416</v>
      </c>
      <c r="D364" s="803"/>
      <c r="E364" s="803"/>
      <c r="F364" s="789">
        <f>+'Phase III Pro Forma'!F361/1000000</f>
        <v>0</v>
      </c>
      <c r="G364" s="789">
        <f>+'Phase III Pro Forma'!G361/1000000</f>
        <v>0</v>
      </c>
      <c r="H364" s="789">
        <f>+'Phase III Pro Forma'!H361/1000000</f>
        <v>0</v>
      </c>
      <c r="I364" s="789">
        <f>+'Phase III Pro Forma'!I361/1000000</f>
        <v>0</v>
      </c>
      <c r="J364" s="789">
        <f>+'Phase III Pro Forma'!J361/1000000</f>
        <v>0</v>
      </c>
      <c r="K364" s="789">
        <f>+'Phase III Pro Forma'!K361/1000000</f>
        <v>0</v>
      </c>
      <c r="L364" s="789">
        <f>+'Phase III Pro Forma'!L361/1000000</f>
        <v>0</v>
      </c>
      <c r="M364" s="789">
        <f>+'Phase III Pro Forma'!M361/1000000</f>
        <v>0</v>
      </c>
      <c r="N364" s="789">
        <f>+'Phase III Pro Forma'!N361/1000000</f>
        <v>0</v>
      </c>
      <c r="O364" s="789">
        <f>+'Phase III Pro Forma'!O361/1000000</f>
        <v>0</v>
      </c>
      <c r="P364" s="789">
        <f>+'Phase III Pro Forma'!P361/1000000</f>
        <v>0</v>
      </c>
      <c r="Q364" s="789">
        <f>+'Phase III Pro Forma'!Q361/1000000</f>
        <v>0</v>
      </c>
      <c r="R364" s="789">
        <f>+'Phase III Pro Forma'!R361/1000000</f>
        <v>0</v>
      </c>
      <c r="S364" s="789">
        <f>+'Phase III Pro Forma'!S361/1000000</f>
        <v>0</v>
      </c>
      <c r="T364" s="789">
        <f>+'Phase III Pro Forma'!T361/1000000</f>
        <v>0</v>
      </c>
      <c r="U364" s="789">
        <f>+'Phase III Pro Forma'!U361/1000000</f>
        <v>0</v>
      </c>
      <c r="V364" s="789">
        <f>+'Phase III Pro Forma'!V361/1000000</f>
        <v>0</v>
      </c>
      <c r="W364" s="789">
        <f>+'Phase III Pro Forma'!W361/1000000</f>
        <v>0</v>
      </c>
      <c r="X364" s="789">
        <f>+'Phase III Pro Forma'!X361/1000000</f>
        <v>0</v>
      </c>
      <c r="Y364" s="789">
        <f>+'Phase III Pro Forma'!Y361/1000000</f>
        <v>0</v>
      </c>
      <c r="Z364" s="789">
        <f>+'Phase III Pro Forma'!Z361/1000000</f>
        <v>0</v>
      </c>
    </row>
    <row r="365" spans="2:26" s="793" customFormat="1" hidden="1" x14ac:dyDescent="0.2">
      <c r="B365" s="788" t="s">
        <v>417</v>
      </c>
      <c r="D365" s="803"/>
      <c r="E365" s="803"/>
      <c r="F365" s="789">
        <f>+'Phase III Pro Forma'!F362/1000000</f>
        <v>0</v>
      </c>
      <c r="G365" s="789">
        <f>+'Phase III Pro Forma'!G362/1000000</f>
        <v>0</v>
      </c>
      <c r="H365" s="789">
        <f>+'Phase III Pro Forma'!H362/1000000</f>
        <v>0</v>
      </c>
      <c r="I365" s="789">
        <f>+'Phase III Pro Forma'!I362/1000000</f>
        <v>0</v>
      </c>
      <c r="J365" s="789">
        <f>+'Phase III Pro Forma'!J362/1000000</f>
        <v>0</v>
      </c>
      <c r="K365" s="789">
        <f>+'Phase III Pro Forma'!K362/1000000</f>
        <v>0</v>
      </c>
      <c r="L365" s="789">
        <f>+'Phase III Pro Forma'!L362/1000000</f>
        <v>0</v>
      </c>
      <c r="M365" s="789">
        <f>+'Phase III Pro Forma'!M362/1000000</f>
        <v>0</v>
      </c>
      <c r="N365" s="789">
        <f>+'Phase III Pro Forma'!N362/1000000</f>
        <v>0</v>
      </c>
      <c r="O365" s="789">
        <f>+'Phase III Pro Forma'!O362/1000000</f>
        <v>0</v>
      </c>
      <c r="P365" s="789">
        <f>+'Phase III Pro Forma'!P362/1000000</f>
        <v>0</v>
      </c>
      <c r="Q365" s="789">
        <f>+'Phase III Pro Forma'!Q362/1000000</f>
        <v>0</v>
      </c>
      <c r="R365" s="789">
        <f>+'Phase III Pro Forma'!R362/1000000</f>
        <v>0</v>
      </c>
      <c r="S365" s="789">
        <f>+'Phase III Pro Forma'!S362/1000000</f>
        <v>0</v>
      </c>
      <c r="T365" s="789">
        <f>+'Phase III Pro Forma'!T362/1000000</f>
        <v>0</v>
      </c>
      <c r="U365" s="789">
        <f>+'Phase III Pro Forma'!U362/1000000</f>
        <v>0</v>
      </c>
      <c r="V365" s="789">
        <f>+'Phase III Pro Forma'!V362/1000000</f>
        <v>0</v>
      </c>
      <c r="W365" s="789">
        <f>+'Phase III Pro Forma'!W362/1000000</f>
        <v>0</v>
      </c>
      <c r="X365" s="789">
        <f>+'Phase III Pro Forma'!X362/1000000</f>
        <v>0</v>
      </c>
      <c r="Y365" s="789">
        <f>+'Phase III Pro Forma'!Y362/1000000</f>
        <v>0</v>
      </c>
      <c r="Z365" s="789">
        <f>+'Phase III Pro Forma'!Z362/1000000</f>
        <v>0</v>
      </c>
    </row>
    <row r="366" spans="2:26" s="793" customFormat="1" hidden="1" x14ac:dyDescent="0.2">
      <c r="B366" s="788" t="s">
        <v>408</v>
      </c>
      <c r="D366" s="803"/>
      <c r="E366" s="803"/>
      <c r="F366" s="789">
        <f ca="1">+'Phase III Pro Forma'!F363/1000000</f>
        <v>0</v>
      </c>
      <c r="G366" s="789">
        <f ca="1">+'Phase III Pro Forma'!G363/1000000</f>
        <v>0</v>
      </c>
      <c r="H366" s="789">
        <f ca="1">+'Phase III Pro Forma'!H363/1000000</f>
        <v>0</v>
      </c>
      <c r="I366" s="789">
        <f ca="1">+'Phase III Pro Forma'!I363/1000000</f>
        <v>-2.6898243848630523</v>
      </c>
      <c r="J366" s="789">
        <f ca="1">+'Phase III Pro Forma'!J363/1000000</f>
        <v>-4.0798569545800119</v>
      </c>
      <c r="K366" s="789">
        <f ca="1">+'Phase III Pro Forma'!K363/1000000</f>
        <v>-4.1392395541875748</v>
      </c>
      <c r="L366" s="789">
        <f ca="1">+'Phase III Pro Forma'!L363/1000000</f>
        <v>-4.5857924630334033</v>
      </c>
      <c r="M366" s="789">
        <f>+'Phase III Pro Forma'!M363/1000000</f>
        <v>0</v>
      </c>
      <c r="N366" s="789">
        <f>+'Phase III Pro Forma'!N363/1000000</f>
        <v>0</v>
      </c>
      <c r="O366" s="789">
        <f>+'Phase III Pro Forma'!O363/1000000</f>
        <v>0</v>
      </c>
      <c r="P366" s="789">
        <f>+'Phase III Pro Forma'!P363/1000000</f>
        <v>0</v>
      </c>
      <c r="Q366" s="789">
        <f>+'Phase III Pro Forma'!Q363/1000000</f>
        <v>0</v>
      </c>
      <c r="R366" s="789">
        <f>+'Phase III Pro Forma'!R363/1000000</f>
        <v>0</v>
      </c>
      <c r="S366" s="789">
        <f>+'Phase III Pro Forma'!S363/1000000</f>
        <v>0</v>
      </c>
      <c r="T366" s="789">
        <f>+'Phase III Pro Forma'!T363/1000000</f>
        <v>0</v>
      </c>
      <c r="U366" s="789">
        <f>+'Phase III Pro Forma'!U363/1000000</f>
        <v>0</v>
      </c>
      <c r="V366" s="789">
        <f>+'Phase III Pro Forma'!V363/1000000</f>
        <v>0</v>
      </c>
      <c r="W366" s="789">
        <f>+'Phase III Pro Forma'!W363/1000000</f>
        <v>0</v>
      </c>
      <c r="X366" s="789">
        <f>+'Phase III Pro Forma'!X363/1000000</f>
        <v>0</v>
      </c>
      <c r="Y366" s="789">
        <f>+'Phase III Pro Forma'!Y363/1000000</f>
        <v>0</v>
      </c>
      <c r="Z366" s="789">
        <f>+'Phase III Pro Forma'!Z363/1000000</f>
        <v>0</v>
      </c>
    </row>
    <row r="367" spans="2:26" s="793" customFormat="1" hidden="1" x14ac:dyDescent="0.2">
      <c r="B367" s="788" t="s">
        <v>409</v>
      </c>
      <c r="D367" s="803"/>
      <c r="E367" s="803"/>
      <c r="F367" s="789">
        <f ca="1">+'Phase III Pro Forma'!F364/1000000</f>
        <v>0</v>
      </c>
      <c r="G367" s="789">
        <f ca="1">+'Phase III Pro Forma'!G364/1000000</f>
        <v>0</v>
      </c>
      <c r="H367" s="789">
        <f ca="1">+'Phase III Pro Forma'!H364/1000000</f>
        <v>0</v>
      </c>
      <c r="I367" s="789">
        <f ca="1">+'Phase III Pro Forma'!I364/1000000</f>
        <v>12.808687546966917</v>
      </c>
      <c r="J367" s="789">
        <f ca="1">+'Phase III Pro Forma'!J364/1000000</f>
        <v>25.878867695486186</v>
      </c>
      <c r="K367" s="789">
        <f ca="1">+'Phase III Pro Forma'!K364/1000000</f>
        <v>26.161641979331723</v>
      </c>
      <c r="L367" s="789">
        <f ca="1">+'Phase III Pro Forma'!L364/1000000</f>
        <v>28.28808440240709</v>
      </c>
      <c r="M367" s="789">
        <f>+'Phase III Pro Forma'!M364/1000000</f>
        <v>0</v>
      </c>
      <c r="N367" s="789">
        <f>+'Phase III Pro Forma'!N364/1000000</f>
        <v>0</v>
      </c>
      <c r="O367" s="789">
        <f>+'Phase III Pro Forma'!O364/1000000</f>
        <v>0</v>
      </c>
      <c r="P367" s="789">
        <f>+'Phase III Pro Forma'!P364/1000000</f>
        <v>0</v>
      </c>
      <c r="Q367" s="789">
        <f>+'Phase III Pro Forma'!Q364/1000000</f>
        <v>0</v>
      </c>
      <c r="R367" s="789">
        <f>+'Phase III Pro Forma'!R364/1000000</f>
        <v>0</v>
      </c>
      <c r="S367" s="789">
        <f>+'Phase III Pro Forma'!S364/1000000</f>
        <v>0</v>
      </c>
      <c r="T367" s="789">
        <f>+'Phase III Pro Forma'!T364/1000000</f>
        <v>0</v>
      </c>
      <c r="U367" s="789">
        <f>+'Phase III Pro Forma'!U364/1000000</f>
        <v>0</v>
      </c>
      <c r="V367" s="789">
        <f>+'Phase III Pro Forma'!V364/1000000</f>
        <v>0</v>
      </c>
      <c r="W367" s="789">
        <f>+'Phase III Pro Forma'!W364/1000000</f>
        <v>0</v>
      </c>
      <c r="X367" s="789">
        <f>+'Phase III Pro Forma'!X364/1000000</f>
        <v>0</v>
      </c>
      <c r="Y367" s="789">
        <f>+'Phase III Pro Forma'!Y364/1000000</f>
        <v>0</v>
      </c>
      <c r="Z367" s="789">
        <f>+'Phase III Pro Forma'!Z364/1000000</f>
        <v>0</v>
      </c>
    </row>
    <row r="368" spans="2:26" s="793" customFormat="1" hidden="1" x14ac:dyDescent="0.2">
      <c r="B368" s="788" t="s">
        <v>403</v>
      </c>
      <c r="D368" s="803"/>
      <c r="E368" s="803"/>
      <c r="F368" s="789">
        <f>+'Phase III Pro Forma'!F365/1000000</f>
        <v>0</v>
      </c>
      <c r="G368" s="789">
        <f>+'Phase III Pro Forma'!G365/1000000</f>
        <v>0</v>
      </c>
      <c r="H368" s="789">
        <f>+'Phase III Pro Forma'!H365/1000000</f>
        <v>0</v>
      </c>
      <c r="I368" s="789">
        <f>+'Phase III Pro Forma'!I365/1000000</f>
        <v>0</v>
      </c>
      <c r="J368" s="789">
        <f>+'Phase III Pro Forma'!J365/1000000</f>
        <v>0</v>
      </c>
      <c r="K368" s="789">
        <f>+'Phase III Pro Forma'!K365/1000000</f>
        <v>0</v>
      </c>
      <c r="L368" s="789">
        <f ca="1">+'Phase III Pro Forma'!L365/1000000</f>
        <v>454.19247916789789</v>
      </c>
      <c r="M368" s="789">
        <f>+'Phase III Pro Forma'!M365/1000000</f>
        <v>0</v>
      </c>
      <c r="N368" s="789">
        <f>+'Phase III Pro Forma'!N365/1000000</f>
        <v>0</v>
      </c>
      <c r="O368" s="789">
        <f>+'Phase III Pro Forma'!O365/1000000</f>
        <v>0</v>
      </c>
      <c r="P368" s="789">
        <f>+'Phase III Pro Forma'!P365/1000000</f>
        <v>0</v>
      </c>
      <c r="Q368" s="789">
        <f>+'Phase III Pro Forma'!Q365/1000000</f>
        <v>0</v>
      </c>
      <c r="R368" s="789">
        <f>+'Phase III Pro Forma'!R365/1000000</f>
        <v>0</v>
      </c>
      <c r="S368" s="789">
        <f>+'Phase III Pro Forma'!S365/1000000</f>
        <v>0</v>
      </c>
      <c r="T368" s="789">
        <f>+'Phase III Pro Forma'!T365/1000000</f>
        <v>0</v>
      </c>
      <c r="U368" s="789">
        <f>+'Phase III Pro Forma'!U365/1000000</f>
        <v>0</v>
      </c>
      <c r="V368" s="789">
        <f>+'Phase III Pro Forma'!V365/1000000</f>
        <v>0</v>
      </c>
      <c r="W368" s="789">
        <f>+'Phase III Pro Forma'!W365/1000000</f>
        <v>0</v>
      </c>
      <c r="X368" s="789">
        <f>+'Phase III Pro Forma'!X365/1000000</f>
        <v>0</v>
      </c>
      <c r="Y368" s="789">
        <f>+'Phase III Pro Forma'!Y365/1000000</f>
        <v>0</v>
      </c>
      <c r="Z368" s="789">
        <f>+'Phase III Pro Forma'!Z365/1000000</f>
        <v>0</v>
      </c>
    </row>
    <row r="369" spans="2:26" s="793" customFormat="1" hidden="1" x14ac:dyDescent="0.2">
      <c r="B369" s="788" t="s">
        <v>415</v>
      </c>
      <c r="D369" s="803"/>
      <c r="E369" s="803"/>
      <c r="F369" s="789">
        <f>+'Phase III Pro Forma'!F366/1000000</f>
        <v>0</v>
      </c>
      <c r="G369" s="789">
        <f>+'Phase III Pro Forma'!G366/1000000</f>
        <v>0</v>
      </c>
      <c r="H369" s="789">
        <f>+'Phase III Pro Forma'!H366/1000000</f>
        <v>0</v>
      </c>
      <c r="I369" s="789">
        <f>+'Phase III Pro Forma'!I366/1000000</f>
        <v>0</v>
      </c>
      <c r="J369" s="789">
        <f>+'Phase III Pro Forma'!J366/1000000</f>
        <v>0</v>
      </c>
      <c r="K369" s="789">
        <f>+'Phase III Pro Forma'!K366/1000000</f>
        <v>0</v>
      </c>
      <c r="L369" s="789">
        <f ca="1">+'Phase III Pro Forma'!L366/1000000</f>
        <v>-38.703142118857066</v>
      </c>
      <c r="M369" s="789">
        <f>+'Phase III Pro Forma'!M366/1000000</f>
        <v>0</v>
      </c>
      <c r="N369" s="789">
        <f>+'Phase III Pro Forma'!N366/1000000</f>
        <v>0</v>
      </c>
      <c r="O369" s="789">
        <f>+'Phase III Pro Forma'!O366/1000000</f>
        <v>0</v>
      </c>
      <c r="P369" s="789">
        <f>+'Phase III Pro Forma'!P366/1000000</f>
        <v>0</v>
      </c>
      <c r="Q369" s="789">
        <f>+'Phase III Pro Forma'!Q366/1000000</f>
        <v>0</v>
      </c>
      <c r="R369" s="789">
        <f>+'Phase III Pro Forma'!R366/1000000</f>
        <v>0</v>
      </c>
      <c r="S369" s="789">
        <f>+'Phase III Pro Forma'!S366/1000000</f>
        <v>0</v>
      </c>
      <c r="T369" s="789">
        <f>+'Phase III Pro Forma'!T366/1000000</f>
        <v>0</v>
      </c>
      <c r="U369" s="789">
        <f>+'Phase III Pro Forma'!U366/1000000</f>
        <v>0</v>
      </c>
      <c r="V369" s="789">
        <f>+'Phase III Pro Forma'!V366/1000000</f>
        <v>0</v>
      </c>
      <c r="W369" s="789">
        <f>+'Phase III Pro Forma'!W366/1000000</f>
        <v>0</v>
      </c>
      <c r="X369" s="789">
        <f>+'Phase III Pro Forma'!X366/1000000</f>
        <v>0</v>
      </c>
      <c r="Y369" s="789">
        <f>+'Phase III Pro Forma'!Y366/1000000</f>
        <v>0</v>
      </c>
      <c r="Z369" s="789">
        <f>+'Phase III Pro Forma'!Z366/1000000</f>
        <v>0</v>
      </c>
    </row>
    <row r="370" spans="2:26" s="793" customFormat="1" hidden="1" x14ac:dyDescent="0.2">
      <c r="B370" s="811" t="s">
        <v>407</v>
      </c>
      <c r="C370" s="811"/>
      <c r="D370" s="812">
        <f t="shared" ref="D370" ca="1" si="123">+SUM(F370:Z370)</f>
        <v>203.88717059838888</v>
      </c>
      <c r="E370" s="812"/>
      <c r="F370" s="812">
        <f t="shared" ref="F370:Z370" ca="1" si="124">+SUM(F363:F369)</f>
        <v>-55.765379325386164</v>
      </c>
      <c r="G370" s="812">
        <f t="shared" ca="1" si="124"/>
        <v>-154.13035324336113</v>
      </c>
      <c r="H370" s="812">
        <f t="shared" ca="1" si="124"/>
        <v>-79.349002149432479</v>
      </c>
      <c r="I370" s="812">
        <f t="shared" ca="1" si="124"/>
        <v>10.118863162103864</v>
      </c>
      <c r="J370" s="812">
        <f t="shared" ca="1" si="124"/>
        <v>21.799010740906173</v>
      </c>
      <c r="K370" s="812">
        <f t="shared" ca="1" si="124"/>
        <v>22.022402425144147</v>
      </c>
      <c r="L370" s="812">
        <f t="shared" ca="1" si="124"/>
        <v>439.19162898841455</v>
      </c>
      <c r="M370" s="812">
        <f t="shared" ca="1" si="124"/>
        <v>0</v>
      </c>
      <c r="N370" s="812">
        <f t="shared" ca="1" si="124"/>
        <v>0</v>
      </c>
      <c r="O370" s="812">
        <f t="shared" ca="1" si="124"/>
        <v>0</v>
      </c>
      <c r="P370" s="812">
        <f t="shared" ca="1" si="124"/>
        <v>0</v>
      </c>
      <c r="Q370" s="812">
        <f t="shared" ca="1" si="124"/>
        <v>0</v>
      </c>
      <c r="R370" s="812">
        <f t="shared" ca="1" si="124"/>
        <v>0</v>
      </c>
      <c r="S370" s="812">
        <f t="shared" ca="1" si="124"/>
        <v>0</v>
      </c>
      <c r="T370" s="812">
        <f t="shared" ca="1" si="124"/>
        <v>0</v>
      </c>
      <c r="U370" s="812">
        <f t="shared" ca="1" si="124"/>
        <v>0</v>
      </c>
      <c r="V370" s="812">
        <f t="shared" ca="1" si="124"/>
        <v>0</v>
      </c>
      <c r="W370" s="812">
        <f t="shared" ca="1" si="124"/>
        <v>0</v>
      </c>
      <c r="X370" s="812">
        <f t="shared" ca="1" si="124"/>
        <v>0</v>
      </c>
      <c r="Y370" s="812">
        <f t="shared" ca="1" si="124"/>
        <v>0</v>
      </c>
      <c r="Z370" s="812">
        <f t="shared" ca="1" si="124"/>
        <v>0</v>
      </c>
    </row>
    <row r="371" spans="2:26" s="793" customFormat="1" hidden="1" x14ac:dyDescent="0.2">
      <c r="B371" s="809"/>
    </row>
    <row r="372" spans="2:26" s="793" customFormat="1" hidden="1" x14ac:dyDescent="0.2">
      <c r="B372" s="813" t="s">
        <v>420</v>
      </c>
      <c r="C372" s="813"/>
      <c r="D372" s="814">
        <f ca="1">+IRR(F370:Z370)</f>
        <v>0.11946618658999264</v>
      </c>
    </row>
    <row r="373" spans="2:26" s="793" customFormat="1" hidden="1" x14ac:dyDescent="0.2">
      <c r="B373" s="809"/>
      <c r="D373" s="790"/>
    </row>
    <row r="374" spans="2:26" s="793" customFormat="1" hidden="1" x14ac:dyDescent="0.2">
      <c r="B374" s="810" t="s">
        <v>406</v>
      </c>
      <c r="F374" s="810">
        <f>+F362</f>
        <v>0</v>
      </c>
      <c r="G374" s="810">
        <f t="shared" ref="G374:Z374" si="125">+G362</f>
        <v>1</v>
      </c>
      <c r="H374" s="810">
        <f t="shared" si="125"/>
        <v>2</v>
      </c>
      <c r="I374" s="810">
        <f t="shared" si="125"/>
        <v>3</v>
      </c>
      <c r="J374" s="810">
        <f t="shared" si="125"/>
        <v>4</v>
      </c>
      <c r="K374" s="810">
        <f t="shared" si="125"/>
        <v>5</v>
      </c>
      <c r="L374" s="810">
        <f t="shared" si="125"/>
        <v>6</v>
      </c>
      <c r="M374" s="810">
        <f t="shared" si="125"/>
        <v>7</v>
      </c>
      <c r="N374" s="810">
        <f t="shared" si="125"/>
        <v>8</v>
      </c>
      <c r="O374" s="810">
        <f t="shared" si="125"/>
        <v>9</v>
      </c>
      <c r="P374" s="810">
        <f t="shared" si="125"/>
        <v>10</v>
      </c>
      <c r="Q374" s="810">
        <f t="shared" si="125"/>
        <v>11</v>
      </c>
      <c r="R374" s="810">
        <f t="shared" si="125"/>
        <v>12</v>
      </c>
      <c r="S374" s="810">
        <f t="shared" si="125"/>
        <v>13</v>
      </c>
      <c r="T374" s="810">
        <f t="shared" si="125"/>
        <v>14</v>
      </c>
      <c r="U374" s="810">
        <f t="shared" si="125"/>
        <v>15</v>
      </c>
      <c r="V374" s="810">
        <f t="shared" si="125"/>
        <v>16</v>
      </c>
      <c r="W374" s="810">
        <f t="shared" si="125"/>
        <v>17</v>
      </c>
      <c r="X374" s="810">
        <f t="shared" si="125"/>
        <v>18</v>
      </c>
      <c r="Y374" s="810">
        <f t="shared" si="125"/>
        <v>19</v>
      </c>
      <c r="Z374" s="810">
        <f t="shared" si="125"/>
        <v>20</v>
      </c>
    </row>
    <row r="375" spans="2:26" s="793" customFormat="1" hidden="1" x14ac:dyDescent="0.2">
      <c r="B375" s="788" t="s">
        <v>398</v>
      </c>
      <c r="D375" s="803"/>
      <c r="E375" s="803"/>
      <c r="F375" s="792">
        <f ca="1">+'Phase III Pro Forma'!F372/1000000</f>
        <v>-55.765379325386164</v>
      </c>
      <c r="G375" s="792">
        <f ca="1">+'Phase III Pro Forma'!G372/1000000</f>
        <v>-154.13035324336113</v>
      </c>
      <c r="H375" s="792">
        <f ca="1">+'Phase III Pro Forma'!H372/1000000</f>
        <v>-79.349002149432479</v>
      </c>
      <c r="I375" s="792">
        <f ca="1">+'Phase III Pro Forma'!I372/1000000</f>
        <v>0</v>
      </c>
      <c r="J375" s="792">
        <f ca="1">+'Phase III Pro Forma'!J372/1000000</f>
        <v>0</v>
      </c>
      <c r="K375" s="792">
        <f ca="1">+'Phase III Pro Forma'!K372/1000000</f>
        <v>0</v>
      </c>
      <c r="L375" s="792">
        <f ca="1">+'Phase III Pro Forma'!L372/1000000</f>
        <v>0</v>
      </c>
      <c r="M375" s="792">
        <f ca="1">+'Phase III Pro Forma'!M372/1000000</f>
        <v>0</v>
      </c>
      <c r="N375" s="792">
        <f ca="1">+'Phase III Pro Forma'!N372/1000000</f>
        <v>0</v>
      </c>
      <c r="O375" s="792">
        <f ca="1">+'Phase III Pro Forma'!O372/1000000</f>
        <v>0</v>
      </c>
      <c r="P375" s="792">
        <f ca="1">+'Phase III Pro Forma'!P372/1000000</f>
        <v>0</v>
      </c>
      <c r="Q375" s="792">
        <f ca="1">+'Phase III Pro Forma'!Q372/1000000</f>
        <v>0</v>
      </c>
      <c r="R375" s="792">
        <f ca="1">+'Phase III Pro Forma'!R372/1000000</f>
        <v>0</v>
      </c>
      <c r="S375" s="792">
        <f ca="1">+'Phase III Pro Forma'!S372/1000000</f>
        <v>0</v>
      </c>
      <c r="T375" s="792">
        <f ca="1">+'Phase III Pro Forma'!T372/1000000</f>
        <v>0</v>
      </c>
      <c r="U375" s="792">
        <f ca="1">+'Phase III Pro Forma'!U372/1000000</f>
        <v>0</v>
      </c>
      <c r="V375" s="792">
        <f ca="1">+'Phase III Pro Forma'!V372/1000000</f>
        <v>0</v>
      </c>
      <c r="W375" s="792">
        <f ca="1">+'Phase III Pro Forma'!W372/1000000</f>
        <v>0</v>
      </c>
      <c r="X375" s="792">
        <f ca="1">+'Phase III Pro Forma'!X372/1000000</f>
        <v>0</v>
      </c>
      <c r="Y375" s="792">
        <f ca="1">+'Phase III Pro Forma'!Y372/1000000</f>
        <v>0</v>
      </c>
      <c r="Z375" s="792">
        <f ca="1">+'Phase III Pro Forma'!Z372/1000000</f>
        <v>0</v>
      </c>
    </row>
    <row r="376" spans="2:26" s="793" customFormat="1" hidden="1" x14ac:dyDescent="0.2">
      <c r="B376" s="788" t="s">
        <v>416</v>
      </c>
      <c r="D376" s="803"/>
      <c r="E376" s="803"/>
      <c r="F376" s="789">
        <f ca="1">+'Phase III Pro Forma'!F373/1000000</f>
        <v>11.710729658331095</v>
      </c>
      <c r="G376" s="789">
        <f ca="1">+'Phase III Pro Forma'!G373/1000000</f>
        <v>32.367374181105831</v>
      </c>
      <c r="H376" s="789">
        <f ca="1">+'Phase III Pro Forma'!H373/1000000</f>
        <v>16.663290451380821</v>
      </c>
      <c r="I376" s="789">
        <f ca="1">+'Phase III Pro Forma'!I373/1000000</f>
        <v>0</v>
      </c>
      <c r="J376" s="789">
        <f ca="1">+'Phase III Pro Forma'!J373/1000000</f>
        <v>0</v>
      </c>
      <c r="K376" s="789">
        <f ca="1">+'Phase III Pro Forma'!K373/1000000</f>
        <v>0</v>
      </c>
      <c r="L376" s="789">
        <f ca="1">+'Phase III Pro Forma'!L373/1000000</f>
        <v>0</v>
      </c>
      <c r="M376" s="789">
        <f ca="1">+'Phase III Pro Forma'!M373/1000000</f>
        <v>0</v>
      </c>
      <c r="N376" s="789">
        <f ca="1">+'Phase III Pro Forma'!N373/1000000</f>
        <v>0</v>
      </c>
      <c r="O376" s="789">
        <f ca="1">+'Phase III Pro Forma'!O373/1000000</f>
        <v>0</v>
      </c>
      <c r="P376" s="789">
        <f ca="1">+'Phase III Pro Forma'!P373/1000000</f>
        <v>0</v>
      </c>
      <c r="Q376" s="789">
        <f ca="1">+'Phase III Pro Forma'!Q373/1000000</f>
        <v>0</v>
      </c>
      <c r="R376" s="789">
        <f ca="1">+'Phase III Pro Forma'!R373/1000000</f>
        <v>0</v>
      </c>
      <c r="S376" s="789">
        <f ca="1">+'Phase III Pro Forma'!S373/1000000</f>
        <v>0</v>
      </c>
      <c r="T376" s="789">
        <f ca="1">+'Phase III Pro Forma'!T373/1000000</f>
        <v>0</v>
      </c>
      <c r="U376" s="789">
        <f ca="1">+'Phase III Pro Forma'!U373/1000000</f>
        <v>0</v>
      </c>
      <c r="V376" s="789">
        <f ca="1">+'Phase III Pro Forma'!V373/1000000</f>
        <v>0</v>
      </c>
      <c r="W376" s="789">
        <f ca="1">+'Phase III Pro Forma'!W373/1000000</f>
        <v>0</v>
      </c>
      <c r="X376" s="789">
        <f ca="1">+'Phase III Pro Forma'!X373/1000000</f>
        <v>0</v>
      </c>
      <c r="Y376" s="789">
        <f ca="1">+'Phase III Pro Forma'!Y373/1000000</f>
        <v>0</v>
      </c>
      <c r="Z376" s="789">
        <f ca="1">+'Phase III Pro Forma'!Z373/1000000</f>
        <v>0</v>
      </c>
    </row>
    <row r="377" spans="2:26" s="793" customFormat="1" hidden="1" x14ac:dyDescent="0.2">
      <c r="B377" s="788" t="s">
        <v>417</v>
      </c>
      <c r="D377" s="803"/>
      <c r="E377" s="803"/>
      <c r="F377" s="789">
        <f ca="1">+'Phase III Pro Forma'!F374/1000000</f>
        <v>0</v>
      </c>
      <c r="G377" s="789">
        <f ca="1">+'Phase III Pro Forma'!G374/1000000</f>
        <v>0</v>
      </c>
      <c r="H377" s="789">
        <f ca="1">+'Phase III Pro Forma'!H374/1000000</f>
        <v>-60.741394290817745</v>
      </c>
      <c r="I377" s="789">
        <f ca="1">+'Phase III Pro Forma'!I374/1000000</f>
        <v>0</v>
      </c>
      <c r="J377" s="789">
        <f ca="1">+'Phase III Pro Forma'!J374/1000000</f>
        <v>0</v>
      </c>
      <c r="K377" s="789">
        <f ca="1">+'Phase III Pro Forma'!K374/1000000</f>
        <v>0</v>
      </c>
      <c r="L377" s="789">
        <f ca="1">+'Phase III Pro Forma'!L374/1000000</f>
        <v>0</v>
      </c>
      <c r="M377" s="789">
        <f ca="1">+'Phase III Pro Forma'!M374/1000000</f>
        <v>0</v>
      </c>
      <c r="N377" s="789">
        <f ca="1">+'Phase III Pro Forma'!N374/1000000</f>
        <v>0</v>
      </c>
      <c r="O377" s="789">
        <f ca="1">+'Phase III Pro Forma'!O374/1000000</f>
        <v>0</v>
      </c>
      <c r="P377" s="789">
        <f ca="1">+'Phase III Pro Forma'!P374/1000000</f>
        <v>0</v>
      </c>
      <c r="Q377" s="789">
        <f ca="1">+'Phase III Pro Forma'!Q374/1000000</f>
        <v>0</v>
      </c>
      <c r="R377" s="789">
        <f ca="1">+'Phase III Pro Forma'!R374/1000000</f>
        <v>0</v>
      </c>
      <c r="S377" s="789">
        <f ca="1">+'Phase III Pro Forma'!S374/1000000</f>
        <v>0</v>
      </c>
      <c r="T377" s="789">
        <f ca="1">+'Phase III Pro Forma'!T374/1000000</f>
        <v>0</v>
      </c>
      <c r="U377" s="789">
        <f ca="1">+'Phase III Pro Forma'!U374/1000000</f>
        <v>0</v>
      </c>
      <c r="V377" s="789">
        <f ca="1">+'Phase III Pro Forma'!V374/1000000</f>
        <v>0</v>
      </c>
      <c r="W377" s="789">
        <f ca="1">+'Phase III Pro Forma'!W374/1000000</f>
        <v>0</v>
      </c>
      <c r="X377" s="789">
        <f ca="1">+'Phase III Pro Forma'!X374/1000000</f>
        <v>0</v>
      </c>
      <c r="Y377" s="789">
        <f ca="1">+'Phase III Pro Forma'!Y374/1000000</f>
        <v>0</v>
      </c>
      <c r="Z377" s="789">
        <f ca="1">+'Phase III Pro Forma'!Z374/1000000</f>
        <v>0</v>
      </c>
    </row>
    <row r="378" spans="2:26" s="793" customFormat="1" hidden="1" x14ac:dyDescent="0.2">
      <c r="B378" s="788" t="s">
        <v>418</v>
      </c>
      <c r="D378" s="803"/>
      <c r="E378" s="803"/>
      <c r="F378" s="789">
        <f>+'Phase III Pro Forma'!F375/1000000</f>
        <v>0</v>
      </c>
      <c r="G378" s="789">
        <f>+'Phase III Pro Forma'!G375/1000000</f>
        <v>0</v>
      </c>
      <c r="H378" s="789">
        <f ca="1">+'Phase III Pro Forma'!H375/1000000</f>
        <v>4.4078103839436924</v>
      </c>
      <c r="I378" s="789">
        <f>+'Phase III Pro Forma'!I375/1000000</f>
        <v>0</v>
      </c>
      <c r="J378" s="789">
        <f>+'Phase III Pro Forma'!J375/1000000</f>
        <v>0</v>
      </c>
      <c r="K378" s="789">
        <f>+'Phase III Pro Forma'!K375/1000000</f>
        <v>0</v>
      </c>
      <c r="L378" s="789">
        <f>+'Phase III Pro Forma'!L375/1000000</f>
        <v>0</v>
      </c>
      <c r="M378" s="789">
        <f>+'Phase III Pro Forma'!M375/1000000</f>
        <v>0</v>
      </c>
      <c r="N378" s="789">
        <f>+'Phase III Pro Forma'!N375/1000000</f>
        <v>0</v>
      </c>
      <c r="O378" s="789">
        <f>+'Phase III Pro Forma'!O375/1000000</f>
        <v>0</v>
      </c>
      <c r="P378" s="789">
        <f>+'Phase III Pro Forma'!P375/1000000</f>
        <v>0</v>
      </c>
      <c r="Q378" s="789">
        <f>+'Phase III Pro Forma'!Q375/1000000</f>
        <v>0</v>
      </c>
      <c r="R378" s="789">
        <f>+'Phase III Pro Forma'!R375/1000000</f>
        <v>0</v>
      </c>
      <c r="S378" s="789">
        <f>+'Phase III Pro Forma'!S375/1000000</f>
        <v>0</v>
      </c>
      <c r="T378" s="789">
        <f>+'Phase III Pro Forma'!T375/1000000</f>
        <v>0</v>
      </c>
      <c r="U378" s="789">
        <f>+'Phase III Pro Forma'!U375/1000000</f>
        <v>0</v>
      </c>
      <c r="V378" s="789">
        <f>+'Phase III Pro Forma'!V375/1000000</f>
        <v>0</v>
      </c>
      <c r="W378" s="789">
        <f>+'Phase III Pro Forma'!W375/1000000</f>
        <v>0</v>
      </c>
      <c r="X378" s="789">
        <f>+'Phase III Pro Forma'!X375/1000000</f>
        <v>0</v>
      </c>
      <c r="Y378" s="789">
        <f>+'Phase III Pro Forma'!Y375/1000000</f>
        <v>0</v>
      </c>
      <c r="Z378" s="789">
        <f>+'Phase III Pro Forma'!Z375/1000000</f>
        <v>0</v>
      </c>
    </row>
    <row r="379" spans="2:26" s="793" customFormat="1" hidden="1" x14ac:dyDescent="0.2">
      <c r="B379" s="788" t="s">
        <v>408</v>
      </c>
      <c r="D379" s="803"/>
      <c r="E379" s="803"/>
      <c r="F379" s="789">
        <f ca="1">+'Phase III Pro Forma'!F376/1000000</f>
        <v>0</v>
      </c>
      <c r="G379" s="789">
        <f ca="1">+'Phase III Pro Forma'!G376/1000000</f>
        <v>0</v>
      </c>
      <c r="H379" s="789">
        <f ca="1">+'Phase III Pro Forma'!H376/1000000</f>
        <v>0</v>
      </c>
      <c r="I379" s="789">
        <f ca="1">+'Phase III Pro Forma'!I376/1000000</f>
        <v>-2.6898243848630523</v>
      </c>
      <c r="J379" s="789">
        <f ca="1">+'Phase III Pro Forma'!J376/1000000</f>
        <v>-4.0798569545800119</v>
      </c>
      <c r="K379" s="789">
        <f ca="1">+'Phase III Pro Forma'!K376/1000000</f>
        <v>-4.1392395541875748</v>
      </c>
      <c r="L379" s="789">
        <f ca="1">+'Phase III Pro Forma'!L376/1000000</f>
        <v>-4.5857924630334033</v>
      </c>
      <c r="M379" s="789">
        <f>+'Phase III Pro Forma'!M376/1000000</f>
        <v>0</v>
      </c>
      <c r="N379" s="789">
        <f>+'Phase III Pro Forma'!N376/1000000</f>
        <v>0</v>
      </c>
      <c r="O379" s="789">
        <f>+'Phase III Pro Forma'!O376/1000000</f>
        <v>0</v>
      </c>
      <c r="P379" s="789">
        <f>+'Phase III Pro Forma'!P376/1000000</f>
        <v>0</v>
      </c>
      <c r="Q379" s="789">
        <f>+'Phase III Pro Forma'!Q376/1000000</f>
        <v>0</v>
      </c>
      <c r="R379" s="789">
        <f>+'Phase III Pro Forma'!R376/1000000</f>
        <v>0</v>
      </c>
      <c r="S379" s="789">
        <f>+'Phase III Pro Forma'!S376/1000000</f>
        <v>0</v>
      </c>
      <c r="T379" s="789">
        <f>+'Phase III Pro Forma'!T376/1000000</f>
        <v>0</v>
      </c>
      <c r="U379" s="789">
        <f>+'Phase III Pro Forma'!U376/1000000</f>
        <v>0</v>
      </c>
      <c r="V379" s="789">
        <f>+'Phase III Pro Forma'!V376/1000000</f>
        <v>0</v>
      </c>
      <c r="W379" s="789">
        <f>+'Phase III Pro Forma'!W376/1000000</f>
        <v>0</v>
      </c>
      <c r="X379" s="789">
        <f>+'Phase III Pro Forma'!X376/1000000</f>
        <v>0</v>
      </c>
      <c r="Y379" s="789">
        <f>+'Phase III Pro Forma'!Y376/1000000</f>
        <v>0</v>
      </c>
      <c r="Z379" s="789">
        <f>+'Phase III Pro Forma'!Z376/1000000</f>
        <v>0</v>
      </c>
    </row>
    <row r="380" spans="2:26" s="793" customFormat="1" hidden="1" x14ac:dyDescent="0.2">
      <c r="B380" s="788" t="s">
        <v>409</v>
      </c>
      <c r="D380" s="803"/>
      <c r="E380" s="803"/>
      <c r="F380" s="789">
        <f ca="1">+'Phase III Pro Forma'!F377/1000000</f>
        <v>0</v>
      </c>
      <c r="G380" s="789">
        <f ca="1">+'Phase III Pro Forma'!G377/1000000</f>
        <v>0</v>
      </c>
      <c r="H380" s="789">
        <f ca="1">+'Phase III Pro Forma'!H377/1000000</f>
        <v>0</v>
      </c>
      <c r="I380" s="789">
        <f ca="1">+'Phase III Pro Forma'!I377/1000000</f>
        <v>12.808687546966917</v>
      </c>
      <c r="J380" s="789">
        <f ca="1">+'Phase III Pro Forma'!J377/1000000</f>
        <v>25.878867695486186</v>
      </c>
      <c r="K380" s="789">
        <f ca="1">+'Phase III Pro Forma'!K377/1000000</f>
        <v>26.161641979331723</v>
      </c>
      <c r="L380" s="789">
        <f ca="1">+'Phase III Pro Forma'!L377/1000000</f>
        <v>28.28808440240709</v>
      </c>
      <c r="M380" s="789">
        <f>+'Phase III Pro Forma'!M377/1000000</f>
        <v>0</v>
      </c>
      <c r="N380" s="789">
        <f>+'Phase III Pro Forma'!N377/1000000</f>
        <v>0</v>
      </c>
      <c r="O380" s="789">
        <f>+'Phase III Pro Forma'!O377/1000000</f>
        <v>0</v>
      </c>
      <c r="P380" s="789">
        <f>+'Phase III Pro Forma'!P377/1000000</f>
        <v>0</v>
      </c>
      <c r="Q380" s="789">
        <f>+'Phase III Pro Forma'!Q377/1000000</f>
        <v>0</v>
      </c>
      <c r="R380" s="789">
        <f>+'Phase III Pro Forma'!R377/1000000</f>
        <v>0</v>
      </c>
      <c r="S380" s="789">
        <f>+'Phase III Pro Forma'!S377/1000000</f>
        <v>0</v>
      </c>
      <c r="T380" s="789">
        <f>+'Phase III Pro Forma'!T377/1000000</f>
        <v>0</v>
      </c>
      <c r="U380" s="789">
        <f>+'Phase III Pro Forma'!U377/1000000</f>
        <v>0</v>
      </c>
      <c r="V380" s="789">
        <f>+'Phase III Pro Forma'!V377/1000000</f>
        <v>0</v>
      </c>
      <c r="W380" s="789">
        <f>+'Phase III Pro Forma'!W377/1000000</f>
        <v>0</v>
      </c>
      <c r="X380" s="789">
        <f>+'Phase III Pro Forma'!X377/1000000</f>
        <v>0</v>
      </c>
      <c r="Y380" s="789">
        <f>+'Phase III Pro Forma'!Y377/1000000</f>
        <v>0</v>
      </c>
      <c r="Z380" s="789">
        <f>+'Phase III Pro Forma'!Z377/1000000</f>
        <v>0</v>
      </c>
    </row>
    <row r="381" spans="2:26" s="793" customFormat="1" hidden="1" x14ac:dyDescent="0.2">
      <c r="B381" s="788" t="s">
        <v>403</v>
      </c>
      <c r="D381" s="803"/>
      <c r="E381" s="803"/>
      <c r="F381" s="789">
        <f>+'Phase III Pro Forma'!F378/1000000</f>
        <v>0</v>
      </c>
      <c r="G381" s="789">
        <f>+'Phase III Pro Forma'!G378/1000000</f>
        <v>0</v>
      </c>
      <c r="H381" s="789">
        <f>+'Phase III Pro Forma'!H378/1000000</f>
        <v>0</v>
      </c>
      <c r="I381" s="789">
        <f>+'Phase III Pro Forma'!I378/1000000</f>
        <v>0</v>
      </c>
      <c r="J381" s="789">
        <f>+'Phase III Pro Forma'!J378/1000000</f>
        <v>0</v>
      </c>
      <c r="K381" s="789">
        <f>+'Phase III Pro Forma'!K378/1000000</f>
        <v>0</v>
      </c>
      <c r="L381" s="789">
        <f ca="1">+'Phase III Pro Forma'!L378/1000000</f>
        <v>454.19247916789789</v>
      </c>
      <c r="M381" s="789">
        <f>+'Phase III Pro Forma'!M378/1000000</f>
        <v>0</v>
      </c>
      <c r="N381" s="789">
        <f>+'Phase III Pro Forma'!N378/1000000</f>
        <v>0</v>
      </c>
      <c r="O381" s="789">
        <f>+'Phase III Pro Forma'!O378/1000000</f>
        <v>0</v>
      </c>
      <c r="P381" s="789">
        <f>+'Phase III Pro Forma'!P378/1000000</f>
        <v>0</v>
      </c>
      <c r="Q381" s="789">
        <f>+'Phase III Pro Forma'!Q378/1000000</f>
        <v>0</v>
      </c>
      <c r="R381" s="789">
        <f>+'Phase III Pro Forma'!R378/1000000</f>
        <v>0</v>
      </c>
      <c r="S381" s="789">
        <f>+'Phase III Pro Forma'!S378/1000000</f>
        <v>0</v>
      </c>
      <c r="T381" s="789">
        <f>+'Phase III Pro Forma'!T378/1000000</f>
        <v>0</v>
      </c>
      <c r="U381" s="789">
        <f>+'Phase III Pro Forma'!U378/1000000</f>
        <v>0</v>
      </c>
      <c r="V381" s="789">
        <f>+'Phase III Pro Forma'!V378/1000000</f>
        <v>0</v>
      </c>
      <c r="W381" s="789">
        <f>+'Phase III Pro Forma'!W378/1000000</f>
        <v>0</v>
      </c>
      <c r="X381" s="789">
        <f>+'Phase III Pro Forma'!X378/1000000</f>
        <v>0</v>
      </c>
      <c r="Y381" s="789">
        <f>+'Phase III Pro Forma'!Y378/1000000</f>
        <v>0</v>
      </c>
      <c r="Z381" s="789">
        <f>+'Phase III Pro Forma'!Z378/1000000</f>
        <v>0</v>
      </c>
    </row>
    <row r="382" spans="2:26" s="793" customFormat="1" hidden="1" x14ac:dyDescent="0.2">
      <c r="B382" s="788" t="s">
        <v>415</v>
      </c>
      <c r="D382" s="803"/>
      <c r="E382" s="803"/>
      <c r="F382" s="789">
        <f>+'Phase III Pro Forma'!F379/1000000</f>
        <v>0</v>
      </c>
      <c r="G382" s="789">
        <f>+'Phase III Pro Forma'!G379/1000000</f>
        <v>0</v>
      </c>
      <c r="H382" s="789">
        <f>+'Phase III Pro Forma'!H379/1000000</f>
        <v>0</v>
      </c>
      <c r="I382" s="789">
        <f>+'Phase III Pro Forma'!I379/1000000</f>
        <v>0</v>
      </c>
      <c r="J382" s="789">
        <f>+'Phase III Pro Forma'!J379/1000000</f>
        <v>0</v>
      </c>
      <c r="K382" s="789">
        <f>+'Phase III Pro Forma'!K379/1000000</f>
        <v>0</v>
      </c>
      <c r="L382" s="789">
        <f ca="1">+'Phase III Pro Forma'!L379/1000000</f>
        <v>-38.703142118857066</v>
      </c>
      <c r="M382" s="789">
        <f>+'Phase III Pro Forma'!M379/1000000</f>
        <v>0</v>
      </c>
      <c r="N382" s="789">
        <f>+'Phase III Pro Forma'!N379/1000000</f>
        <v>0</v>
      </c>
      <c r="O382" s="789">
        <f>+'Phase III Pro Forma'!O379/1000000</f>
        <v>0</v>
      </c>
      <c r="P382" s="789">
        <f>+'Phase III Pro Forma'!P379/1000000</f>
        <v>0</v>
      </c>
      <c r="Q382" s="789">
        <f>+'Phase III Pro Forma'!Q379/1000000</f>
        <v>0</v>
      </c>
      <c r="R382" s="789">
        <f>+'Phase III Pro Forma'!R379/1000000</f>
        <v>0</v>
      </c>
      <c r="S382" s="789">
        <f>+'Phase III Pro Forma'!S379/1000000</f>
        <v>0</v>
      </c>
      <c r="T382" s="789">
        <f>+'Phase III Pro Forma'!T379/1000000</f>
        <v>0</v>
      </c>
      <c r="U382" s="789">
        <f>+'Phase III Pro Forma'!U379/1000000</f>
        <v>0</v>
      </c>
      <c r="V382" s="789">
        <f>+'Phase III Pro Forma'!V379/1000000</f>
        <v>0</v>
      </c>
      <c r="W382" s="789">
        <f>+'Phase III Pro Forma'!W379/1000000</f>
        <v>0</v>
      </c>
      <c r="X382" s="789">
        <f>+'Phase III Pro Forma'!X379/1000000</f>
        <v>0</v>
      </c>
      <c r="Y382" s="789">
        <f>+'Phase III Pro Forma'!Y379/1000000</f>
        <v>0</v>
      </c>
      <c r="Z382" s="789">
        <f>+'Phase III Pro Forma'!Z379/1000000</f>
        <v>0</v>
      </c>
    </row>
    <row r="383" spans="2:26" s="793" customFormat="1" hidden="1" x14ac:dyDescent="0.2">
      <c r="B383" s="811" t="s">
        <v>406</v>
      </c>
      <c r="C383" s="811"/>
      <c r="D383" s="812">
        <f t="shared" ref="D383" ca="1" si="126">+SUM(F383:Z383)</f>
        <v>208.29498098233256</v>
      </c>
      <c r="E383" s="812"/>
      <c r="F383" s="812">
        <f t="shared" ref="F383:Z383" ca="1" si="127">+SUM(F375:F382)</f>
        <v>-44.054649667055067</v>
      </c>
      <c r="G383" s="812">
        <f t="shared" ca="1" si="127"/>
        <v>-121.7629790622553</v>
      </c>
      <c r="H383" s="812">
        <f t="shared" ca="1" si="127"/>
        <v>-119.01929560492572</v>
      </c>
      <c r="I383" s="812">
        <f t="shared" ca="1" si="127"/>
        <v>10.118863162103864</v>
      </c>
      <c r="J383" s="812">
        <f t="shared" ca="1" si="127"/>
        <v>21.799010740906173</v>
      </c>
      <c r="K383" s="812">
        <f t="shared" ca="1" si="127"/>
        <v>22.022402425144147</v>
      </c>
      <c r="L383" s="812">
        <f t="shared" ca="1" si="127"/>
        <v>439.19162898841455</v>
      </c>
      <c r="M383" s="812">
        <f t="shared" ca="1" si="127"/>
        <v>0</v>
      </c>
      <c r="N383" s="812">
        <f t="shared" ca="1" si="127"/>
        <v>0</v>
      </c>
      <c r="O383" s="812">
        <f t="shared" ca="1" si="127"/>
        <v>0</v>
      </c>
      <c r="P383" s="812">
        <f t="shared" ca="1" si="127"/>
        <v>0</v>
      </c>
      <c r="Q383" s="812">
        <f t="shared" ca="1" si="127"/>
        <v>0</v>
      </c>
      <c r="R383" s="812">
        <f t="shared" ca="1" si="127"/>
        <v>0</v>
      </c>
      <c r="S383" s="812">
        <f t="shared" ca="1" si="127"/>
        <v>0</v>
      </c>
      <c r="T383" s="812">
        <f t="shared" ca="1" si="127"/>
        <v>0</v>
      </c>
      <c r="U383" s="812">
        <f t="shared" ca="1" si="127"/>
        <v>0</v>
      </c>
      <c r="V383" s="812">
        <f t="shared" ca="1" si="127"/>
        <v>0</v>
      </c>
      <c r="W383" s="812">
        <f t="shared" ca="1" si="127"/>
        <v>0</v>
      </c>
      <c r="X383" s="812">
        <f t="shared" ca="1" si="127"/>
        <v>0</v>
      </c>
      <c r="Y383" s="812">
        <f t="shared" ca="1" si="127"/>
        <v>0</v>
      </c>
      <c r="Z383" s="812">
        <f t="shared" ca="1" si="127"/>
        <v>0</v>
      </c>
    </row>
    <row r="384" spans="2:26" s="793" customFormat="1" hidden="1" x14ac:dyDescent="0.2"/>
    <row r="385" spans="2:26" s="793" customFormat="1" hidden="1" x14ac:dyDescent="0.2">
      <c r="B385" s="815" t="s">
        <v>421</v>
      </c>
      <c r="C385" s="815"/>
      <c r="D385" s="816">
        <f ca="1">+IRR(F383:Z383)</f>
        <v>0.1282413751903273</v>
      </c>
    </row>
    <row r="386" spans="2:26" s="793" customFormat="1" hidden="1" x14ac:dyDescent="0.2">
      <c r="B386" s="817" t="s">
        <v>422</v>
      </c>
      <c r="C386" s="818"/>
      <c r="D386" s="820">
        <f ca="1">+'Phase III Pro Forma'!D383</f>
        <v>0.16233085467130121</v>
      </c>
    </row>
    <row r="387" spans="2:26" s="793" customFormat="1" hidden="1" x14ac:dyDescent="0.2"/>
    <row r="388" spans="2:26" s="793" customFormat="1" hidden="1" x14ac:dyDescent="0.2">
      <c r="B388" s="793" t="s">
        <v>419</v>
      </c>
      <c r="F388" s="789">
        <f ca="1">+'Phase III Pro Forma'!F385/1000000</f>
        <v>0</v>
      </c>
      <c r="G388" s="789">
        <f ca="1">+'Phase III Pro Forma'!G385/1000000</f>
        <v>0</v>
      </c>
      <c r="H388" s="789">
        <f ca="1">+'Phase III Pro Forma'!H385/1000000</f>
        <v>0</v>
      </c>
      <c r="I388" s="789">
        <f ca="1">+'Phase III Pro Forma'!I385/1000000</f>
        <v>0</v>
      </c>
      <c r="J388" s="789">
        <f ca="1">+'Phase III Pro Forma'!J385/1000000</f>
        <v>0</v>
      </c>
      <c r="K388" s="789">
        <f ca="1">+'Phase III Pro Forma'!K385/1000000</f>
        <v>1.1710729658331096</v>
      </c>
      <c r="L388" s="789">
        <f ca="1">+'Phase III Pro Forma'!L385/1000000</f>
        <v>3.2367374181105832</v>
      </c>
      <c r="M388" s="789">
        <f ca="1">+'Phase III Pro Forma'!M385/1000000</f>
        <v>0</v>
      </c>
      <c r="N388" s="789">
        <f ca="1">+'Phase III Pro Forma'!N385/1000000</f>
        <v>0</v>
      </c>
      <c r="O388" s="789">
        <f ca="1">+'Phase III Pro Forma'!O385/1000000</f>
        <v>0</v>
      </c>
      <c r="P388" s="789">
        <f ca="1">+'Phase III Pro Forma'!P385/1000000</f>
        <v>0</v>
      </c>
      <c r="Q388" s="789">
        <f ca="1">+'Phase III Pro Forma'!Q385/1000000</f>
        <v>0</v>
      </c>
      <c r="R388" s="789">
        <f ca="1">+'Phase III Pro Forma'!R385/1000000</f>
        <v>0</v>
      </c>
      <c r="S388" s="789">
        <f ca="1">+'Phase III Pro Forma'!S385/1000000</f>
        <v>0</v>
      </c>
      <c r="T388" s="789">
        <f ca="1">+'Phase III Pro Forma'!T385/1000000</f>
        <v>0</v>
      </c>
      <c r="U388" s="789">
        <f ca="1">+'Phase III Pro Forma'!U385/1000000</f>
        <v>0</v>
      </c>
      <c r="V388" s="789">
        <f ca="1">+'Phase III Pro Forma'!V385/1000000</f>
        <v>0</v>
      </c>
      <c r="W388" s="789">
        <f ca="1">+'Phase III Pro Forma'!W385/1000000</f>
        <v>0</v>
      </c>
      <c r="X388" s="789">
        <f ca="1">+'Phase III Pro Forma'!X385/1000000</f>
        <v>0</v>
      </c>
      <c r="Y388" s="789">
        <f ca="1">+'Phase III Pro Forma'!Y385/1000000</f>
        <v>0</v>
      </c>
      <c r="Z388" s="789">
        <f ca="1">+'Phase III Pro Forma'!Z385/1000000</f>
        <v>0</v>
      </c>
    </row>
    <row r="389" spans="2:26" s="793" customFormat="1" hidden="1" x14ac:dyDescent="0.2"/>
    <row r="390" spans="2:26" s="793" customFormat="1" hidden="1" x14ac:dyDescent="0.2">
      <c r="B390" s="810" t="s">
        <v>399</v>
      </c>
    </row>
    <row r="391" spans="2:26" s="793" customFormat="1" hidden="1" x14ac:dyDescent="0.2">
      <c r="B391" s="788" t="s">
        <v>400</v>
      </c>
      <c r="D391" s="803">
        <f ca="1">+SUM(F391:Z391)</f>
        <v>1403.2871184601083</v>
      </c>
      <c r="E391" s="803"/>
      <c r="F391" s="792">
        <f>+'Phase III Pro Forma'!F388/1000000</f>
        <v>0</v>
      </c>
      <c r="G391" s="792">
        <f ca="1">+'Phase III Pro Forma'!G388/1000000</f>
        <v>55.765379325386164</v>
      </c>
      <c r="H391" s="792">
        <f ca="1">+'Phase III Pro Forma'!H388/1000000</f>
        <v>209.89573256874729</v>
      </c>
      <c r="I391" s="792">
        <f ca="1">+'Phase III Pro Forma'!I388/1000000</f>
        <v>289.24473471817981</v>
      </c>
      <c r="J391" s="792">
        <f ca="1">+'Phase III Pro Forma'!J388/1000000</f>
        <v>289.24473471817976</v>
      </c>
      <c r="K391" s="792">
        <f ca="1">+'Phase III Pro Forma'!K388/1000000</f>
        <v>282.79375728259845</v>
      </c>
      <c r="L391" s="792">
        <f ca="1">+'Phase III Pro Forma'!L388/1000000</f>
        <v>276.34277984701697</v>
      </c>
      <c r="M391" s="792">
        <f ca="1">+'Phase III Pro Forma'!M388/1000000</f>
        <v>0</v>
      </c>
      <c r="N391" s="792">
        <f ca="1">+'Phase III Pro Forma'!N388/1000000</f>
        <v>0</v>
      </c>
      <c r="O391" s="792">
        <f ca="1">+'Phase III Pro Forma'!O388/1000000</f>
        <v>0</v>
      </c>
      <c r="P391" s="792">
        <f ca="1">+'Phase III Pro Forma'!P388/1000000</f>
        <v>0</v>
      </c>
      <c r="Q391" s="792">
        <f ca="1">+'Phase III Pro Forma'!Q388/1000000</f>
        <v>0</v>
      </c>
      <c r="R391" s="792">
        <f ca="1">+'Phase III Pro Forma'!R388/1000000</f>
        <v>0</v>
      </c>
      <c r="S391" s="792">
        <f ca="1">+'Phase III Pro Forma'!S388/1000000</f>
        <v>0</v>
      </c>
      <c r="T391" s="792">
        <f ca="1">+'Phase III Pro Forma'!T388/1000000</f>
        <v>0</v>
      </c>
      <c r="U391" s="792">
        <f ca="1">+'Phase III Pro Forma'!U388/1000000</f>
        <v>0</v>
      </c>
      <c r="V391" s="792">
        <f ca="1">+'Phase III Pro Forma'!V388/1000000</f>
        <v>0</v>
      </c>
      <c r="W391" s="792">
        <f ca="1">+'Phase III Pro Forma'!W388/1000000</f>
        <v>0</v>
      </c>
      <c r="X391" s="792">
        <f ca="1">+'Phase III Pro Forma'!X388/1000000</f>
        <v>0</v>
      </c>
      <c r="Y391" s="792">
        <f ca="1">+'Phase III Pro Forma'!Y388/1000000</f>
        <v>0</v>
      </c>
      <c r="Z391" s="792">
        <f ca="1">+'Phase III Pro Forma'!Z388/1000000</f>
        <v>0</v>
      </c>
    </row>
    <row r="392" spans="2:26" s="793" customFormat="1" hidden="1" x14ac:dyDescent="0.2">
      <c r="B392" s="788" t="s">
        <v>398</v>
      </c>
      <c r="D392" s="803">
        <f t="shared" ref="D392:D397" ca="1" si="128">+SUM(F392:Z392)</f>
        <v>289.24473471817981</v>
      </c>
      <c r="E392" s="803"/>
      <c r="F392" s="789">
        <f ca="1">+'Phase III Pro Forma'!F389/1000000</f>
        <v>55.765379325386164</v>
      </c>
      <c r="G392" s="789">
        <f ca="1">+'Phase III Pro Forma'!G389/1000000</f>
        <v>154.13035324336113</v>
      </c>
      <c r="H392" s="789">
        <f ca="1">+'Phase III Pro Forma'!H389/1000000</f>
        <v>79.349002149432479</v>
      </c>
      <c r="I392" s="789">
        <f ca="1">+'Phase III Pro Forma'!I389/1000000</f>
        <v>0</v>
      </c>
      <c r="J392" s="789">
        <f ca="1">+'Phase III Pro Forma'!J389/1000000</f>
        <v>0</v>
      </c>
      <c r="K392" s="789">
        <f ca="1">+'Phase III Pro Forma'!K389/1000000</f>
        <v>0</v>
      </c>
      <c r="L392" s="789">
        <f ca="1">+'Phase III Pro Forma'!L389/1000000</f>
        <v>0</v>
      </c>
      <c r="M392" s="789">
        <f ca="1">+'Phase III Pro Forma'!M389/1000000</f>
        <v>0</v>
      </c>
      <c r="N392" s="789">
        <f ca="1">+'Phase III Pro Forma'!N389/1000000</f>
        <v>0</v>
      </c>
      <c r="O392" s="789">
        <f ca="1">+'Phase III Pro Forma'!O389/1000000</f>
        <v>0</v>
      </c>
      <c r="P392" s="789">
        <f ca="1">+'Phase III Pro Forma'!P389/1000000</f>
        <v>0</v>
      </c>
      <c r="Q392" s="789">
        <f ca="1">+'Phase III Pro Forma'!Q389/1000000</f>
        <v>0</v>
      </c>
      <c r="R392" s="789">
        <f ca="1">+'Phase III Pro Forma'!R389/1000000</f>
        <v>0</v>
      </c>
      <c r="S392" s="789">
        <f ca="1">+'Phase III Pro Forma'!S389/1000000</f>
        <v>0</v>
      </c>
      <c r="T392" s="789">
        <f ca="1">+'Phase III Pro Forma'!T389/1000000</f>
        <v>0</v>
      </c>
      <c r="U392" s="789">
        <f ca="1">+'Phase III Pro Forma'!U389/1000000</f>
        <v>0</v>
      </c>
      <c r="V392" s="789">
        <f ca="1">+'Phase III Pro Forma'!V389/1000000</f>
        <v>0</v>
      </c>
      <c r="W392" s="789">
        <f ca="1">+'Phase III Pro Forma'!W389/1000000</f>
        <v>0</v>
      </c>
      <c r="X392" s="789">
        <f ca="1">+'Phase III Pro Forma'!X389/1000000</f>
        <v>0</v>
      </c>
      <c r="Y392" s="789">
        <f ca="1">+'Phase III Pro Forma'!Y389/1000000</f>
        <v>0</v>
      </c>
      <c r="Z392" s="789">
        <f ca="1">+'Phase III Pro Forma'!Z389/1000000</f>
        <v>0</v>
      </c>
    </row>
    <row r="393" spans="2:26" s="793" customFormat="1" hidden="1" x14ac:dyDescent="0.2">
      <c r="B393" s="788" t="s">
        <v>248</v>
      </c>
      <c r="D393" s="803">
        <f t="shared" ca="1" si="128"/>
        <v>93.137281624191914</v>
      </c>
      <c r="E393" s="803"/>
      <c r="F393" s="789">
        <f ca="1">+'Phase III Pro Forma'!F390/1000000</f>
        <v>0</v>
      </c>
      <c r="G393" s="789">
        <f ca="1">+'Phase III Pro Forma'!G390/1000000</f>
        <v>0</v>
      </c>
      <c r="H393" s="789">
        <f ca="1">+'Phase III Pro Forma'!H390/1000000</f>
        <v>0</v>
      </c>
      <c r="I393" s="789">
        <f ca="1">+'Phase III Pro Forma'!I390/1000000</f>
        <v>12.808687546966917</v>
      </c>
      <c r="J393" s="789">
        <f ca="1">+'Phase III Pro Forma'!J390/1000000</f>
        <v>25.878867695486186</v>
      </c>
      <c r="K393" s="789">
        <f ca="1">+'Phase III Pro Forma'!K390/1000000</f>
        <v>26.161641979331723</v>
      </c>
      <c r="L393" s="789">
        <f ca="1">+'Phase III Pro Forma'!L390/1000000</f>
        <v>28.28808440240709</v>
      </c>
      <c r="M393" s="789">
        <f>+'Phase III Pro Forma'!M390/1000000</f>
        <v>0</v>
      </c>
      <c r="N393" s="789">
        <f>+'Phase III Pro Forma'!N390/1000000</f>
        <v>0</v>
      </c>
      <c r="O393" s="789">
        <f>+'Phase III Pro Forma'!O390/1000000</f>
        <v>0</v>
      </c>
      <c r="P393" s="789">
        <f>+'Phase III Pro Forma'!P390/1000000</f>
        <v>0</v>
      </c>
      <c r="Q393" s="789">
        <f>+'Phase III Pro Forma'!Q390/1000000</f>
        <v>0</v>
      </c>
      <c r="R393" s="789">
        <f>+'Phase III Pro Forma'!R390/1000000</f>
        <v>0</v>
      </c>
      <c r="S393" s="789">
        <f>+'Phase III Pro Forma'!S390/1000000</f>
        <v>0</v>
      </c>
      <c r="T393" s="789">
        <f>+'Phase III Pro Forma'!T390/1000000</f>
        <v>0</v>
      </c>
      <c r="U393" s="789">
        <f>+'Phase III Pro Forma'!U390/1000000</f>
        <v>0</v>
      </c>
      <c r="V393" s="789">
        <f>+'Phase III Pro Forma'!V390/1000000</f>
        <v>0</v>
      </c>
      <c r="W393" s="789">
        <f>+'Phase III Pro Forma'!W390/1000000</f>
        <v>0</v>
      </c>
      <c r="X393" s="789">
        <f>+'Phase III Pro Forma'!X390/1000000</f>
        <v>0</v>
      </c>
      <c r="Y393" s="789">
        <f>+'Phase III Pro Forma'!Y390/1000000</f>
        <v>0</v>
      </c>
      <c r="Z393" s="789">
        <f>+'Phase III Pro Forma'!Z390/1000000</f>
        <v>0</v>
      </c>
    </row>
    <row r="394" spans="2:26" s="793" customFormat="1" hidden="1" x14ac:dyDescent="0.2">
      <c r="B394" s="788" t="s">
        <v>410</v>
      </c>
      <c r="D394" s="803">
        <f t="shared" ca="1" si="128"/>
        <v>-19.35293230674408</v>
      </c>
      <c r="E394" s="803"/>
      <c r="F394" s="789">
        <f>+'Phase III Pro Forma'!F391/1000000</f>
        <v>0</v>
      </c>
      <c r="G394" s="789">
        <f>+'Phase III Pro Forma'!G391/1000000</f>
        <v>0</v>
      </c>
      <c r="H394" s="789">
        <f>+'Phase III Pro Forma'!H391/1000000</f>
        <v>0</v>
      </c>
      <c r="I394" s="789">
        <f>+'Phase III Pro Forma'!I391/1000000</f>
        <v>0</v>
      </c>
      <c r="J394" s="789">
        <f ca="1">+'Phase III Pro Forma'!J391/1000000</f>
        <v>-6.4509774355813594</v>
      </c>
      <c r="K394" s="789">
        <f ca="1">+'Phase III Pro Forma'!K391/1000000</f>
        <v>-6.4509774355813594</v>
      </c>
      <c r="L394" s="789">
        <f ca="1">+'Phase III Pro Forma'!L391/1000000</f>
        <v>-6.4509774355813594</v>
      </c>
      <c r="M394" s="789">
        <f>+'Phase III Pro Forma'!M391/1000000</f>
        <v>0</v>
      </c>
      <c r="N394" s="789">
        <f>+'Phase III Pro Forma'!N391/1000000</f>
        <v>0</v>
      </c>
      <c r="O394" s="789">
        <f>+'Phase III Pro Forma'!O391/1000000</f>
        <v>0</v>
      </c>
      <c r="P394" s="789">
        <f>+'Phase III Pro Forma'!P391/1000000</f>
        <v>0</v>
      </c>
      <c r="Q394" s="789">
        <f>+'Phase III Pro Forma'!Q391/1000000</f>
        <v>0</v>
      </c>
      <c r="R394" s="789">
        <f>+'Phase III Pro Forma'!R391/1000000</f>
        <v>0</v>
      </c>
      <c r="S394" s="789">
        <f>+'Phase III Pro Forma'!S391/1000000</f>
        <v>0</v>
      </c>
      <c r="T394" s="789">
        <f>+'Phase III Pro Forma'!T391/1000000</f>
        <v>0</v>
      </c>
      <c r="U394" s="789">
        <f>+'Phase III Pro Forma'!U391/1000000</f>
        <v>0</v>
      </c>
      <c r="V394" s="789">
        <f>+'Phase III Pro Forma'!V391/1000000</f>
        <v>0</v>
      </c>
      <c r="W394" s="789">
        <f>+'Phase III Pro Forma'!W391/1000000</f>
        <v>0</v>
      </c>
      <c r="X394" s="789">
        <f>+'Phase III Pro Forma'!X391/1000000</f>
        <v>0</v>
      </c>
      <c r="Y394" s="789">
        <f>+'Phase III Pro Forma'!Y391/1000000</f>
        <v>0</v>
      </c>
      <c r="Z394" s="789">
        <f>+'Phase III Pro Forma'!Z391/1000000</f>
        <v>0</v>
      </c>
    </row>
    <row r="395" spans="2:26" s="793" customFormat="1" hidden="1" x14ac:dyDescent="0.2">
      <c r="B395" s="788" t="s">
        <v>401</v>
      </c>
      <c r="D395" s="803">
        <f t="shared" ca="1" si="128"/>
        <v>-93.137281624191914</v>
      </c>
      <c r="E395" s="803"/>
      <c r="F395" s="789">
        <f ca="1">+'Phase III Pro Forma'!F392/1000000</f>
        <v>0</v>
      </c>
      <c r="G395" s="789">
        <f ca="1">+'Phase III Pro Forma'!G392/1000000</f>
        <v>0</v>
      </c>
      <c r="H395" s="789">
        <f ca="1">+'Phase III Pro Forma'!H392/1000000</f>
        <v>0</v>
      </c>
      <c r="I395" s="789">
        <f ca="1">+'Phase III Pro Forma'!I392/1000000</f>
        <v>-12.808687546966917</v>
      </c>
      <c r="J395" s="789">
        <f ca="1">+'Phase III Pro Forma'!J392/1000000</f>
        <v>-25.878867695486186</v>
      </c>
      <c r="K395" s="789">
        <f ca="1">+'Phase III Pro Forma'!K392/1000000</f>
        <v>-26.161641979331723</v>
      </c>
      <c r="L395" s="789">
        <f ca="1">+'Phase III Pro Forma'!L392/1000000</f>
        <v>-28.28808440240709</v>
      </c>
      <c r="M395" s="789">
        <f>+'Phase III Pro Forma'!M392/1000000</f>
        <v>0</v>
      </c>
      <c r="N395" s="789">
        <f>+'Phase III Pro Forma'!N392/1000000</f>
        <v>0</v>
      </c>
      <c r="O395" s="789">
        <f>+'Phase III Pro Forma'!O392/1000000</f>
        <v>0</v>
      </c>
      <c r="P395" s="789">
        <f>+'Phase III Pro Forma'!P392/1000000</f>
        <v>0</v>
      </c>
      <c r="Q395" s="789">
        <f>+'Phase III Pro Forma'!Q392/1000000</f>
        <v>0</v>
      </c>
      <c r="R395" s="789">
        <f>+'Phase III Pro Forma'!R392/1000000</f>
        <v>0</v>
      </c>
      <c r="S395" s="789">
        <f>+'Phase III Pro Forma'!S392/1000000</f>
        <v>0</v>
      </c>
      <c r="T395" s="789">
        <f>+'Phase III Pro Forma'!T392/1000000</f>
        <v>0</v>
      </c>
      <c r="U395" s="789">
        <f>+'Phase III Pro Forma'!U392/1000000</f>
        <v>0</v>
      </c>
      <c r="V395" s="789">
        <f>+'Phase III Pro Forma'!V392/1000000</f>
        <v>0</v>
      </c>
      <c r="W395" s="789">
        <f>+'Phase III Pro Forma'!W392/1000000</f>
        <v>0</v>
      </c>
      <c r="X395" s="789">
        <f>+'Phase III Pro Forma'!X392/1000000</f>
        <v>0</v>
      </c>
      <c r="Y395" s="789">
        <f>+'Phase III Pro Forma'!Y392/1000000</f>
        <v>0</v>
      </c>
      <c r="Z395" s="789">
        <f>+'Phase III Pro Forma'!Z392/1000000</f>
        <v>0</v>
      </c>
    </row>
    <row r="396" spans="2:26" s="793" customFormat="1" hidden="1" x14ac:dyDescent="0.2">
      <c r="B396" s="788" t="s">
        <v>403</v>
      </c>
      <c r="D396" s="803">
        <f t="shared" ca="1" si="128"/>
        <v>-454.19247916789789</v>
      </c>
      <c r="E396" s="803"/>
      <c r="F396" s="789">
        <f>+'Phase III Pro Forma'!F393/1000000</f>
        <v>0</v>
      </c>
      <c r="G396" s="789">
        <f>+'Phase III Pro Forma'!G393/1000000</f>
        <v>0</v>
      </c>
      <c r="H396" s="789">
        <f>+'Phase III Pro Forma'!H393/1000000</f>
        <v>0</v>
      </c>
      <c r="I396" s="789">
        <f>+'Phase III Pro Forma'!I393/1000000</f>
        <v>0</v>
      </c>
      <c r="J396" s="789">
        <f>+'Phase III Pro Forma'!J393/1000000</f>
        <v>0</v>
      </c>
      <c r="K396" s="789">
        <f>+'Phase III Pro Forma'!K393/1000000</f>
        <v>0</v>
      </c>
      <c r="L396" s="789">
        <f ca="1">+'Phase III Pro Forma'!L393/1000000</f>
        <v>-454.19247916789789</v>
      </c>
      <c r="M396" s="789">
        <f>+'Phase III Pro Forma'!M393/1000000</f>
        <v>0</v>
      </c>
      <c r="N396" s="789">
        <f>+'Phase III Pro Forma'!N393/1000000</f>
        <v>0</v>
      </c>
      <c r="O396" s="789">
        <f>+'Phase III Pro Forma'!O393/1000000</f>
        <v>0</v>
      </c>
      <c r="P396" s="789">
        <f>+'Phase III Pro Forma'!P393/1000000</f>
        <v>0</v>
      </c>
      <c r="Q396" s="789">
        <f>+'Phase III Pro Forma'!Q393/1000000</f>
        <v>0</v>
      </c>
      <c r="R396" s="789">
        <f>+'Phase III Pro Forma'!R393/1000000</f>
        <v>0</v>
      </c>
      <c r="S396" s="789">
        <f>+'Phase III Pro Forma'!S393/1000000</f>
        <v>0</v>
      </c>
      <c r="T396" s="789">
        <f>+'Phase III Pro Forma'!T393/1000000</f>
        <v>0</v>
      </c>
      <c r="U396" s="789">
        <f>+'Phase III Pro Forma'!U393/1000000</f>
        <v>0</v>
      </c>
      <c r="V396" s="789">
        <f>+'Phase III Pro Forma'!V393/1000000</f>
        <v>0</v>
      </c>
      <c r="W396" s="789">
        <f>+'Phase III Pro Forma'!W393/1000000</f>
        <v>0</v>
      </c>
      <c r="X396" s="789">
        <f>+'Phase III Pro Forma'!X393/1000000</f>
        <v>0</v>
      </c>
      <c r="Y396" s="789">
        <f>+'Phase III Pro Forma'!Y393/1000000</f>
        <v>0</v>
      </c>
      <c r="Z396" s="789">
        <f>+'Phase III Pro Forma'!Z393/1000000</f>
        <v>0</v>
      </c>
    </row>
    <row r="397" spans="2:26" s="793" customFormat="1" hidden="1" x14ac:dyDescent="0.2">
      <c r="B397" s="788" t="s">
        <v>414</v>
      </c>
      <c r="D397" s="803">
        <f t="shared" ca="1" si="128"/>
        <v>184.30067675646222</v>
      </c>
      <c r="E397" s="803"/>
      <c r="F397" s="789">
        <f>+'Phase III Pro Forma'!F394/1000000</f>
        <v>0</v>
      </c>
      <c r="G397" s="789">
        <f>+'Phase III Pro Forma'!G394/1000000</f>
        <v>0</v>
      </c>
      <c r="H397" s="789">
        <f>+'Phase III Pro Forma'!H394/1000000</f>
        <v>0</v>
      </c>
      <c r="I397" s="789">
        <f>+'Phase III Pro Forma'!I394/1000000</f>
        <v>0</v>
      </c>
      <c r="J397" s="789">
        <f>+'Phase III Pro Forma'!J394/1000000</f>
        <v>0</v>
      </c>
      <c r="K397" s="789">
        <f>+'Phase III Pro Forma'!K394/1000000</f>
        <v>0</v>
      </c>
      <c r="L397" s="789">
        <f ca="1">+'Phase III Pro Forma'!L394/1000000</f>
        <v>184.30067675646228</v>
      </c>
      <c r="M397" s="789">
        <f>+'Phase III Pro Forma'!M394/1000000</f>
        <v>0</v>
      </c>
      <c r="N397" s="789">
        <f>+'Phase III Pro Forma'!N394/1000000</f>
        <v>0</v>
      </c>
      <c r="O397" s="789">
        <f>+'Phase III Pro Forma'!O394/1000000</f>
        <v>0</v>
      </c>
      <c r="P397" s="789">
        <f>+'Phase III Pro Forma'!P394/1000000</f>
        <v>0</v>
      </c>
      <c r="Q397" s="789">
        <f>+'Phase III Pro Forma'!Q394/1000000</f>
        <v>0</v>
      </c>
      <c r="R397" s="789">
        <f>+'Phase III Pro Forma'!R394/1000000</f>
        <v>0</v>
      </c>
      <c r="S397" s="789">
        <f>+'Phase III Pro Forma'!S394/1000000</f>
        <v>0</v>
      </c>
      <c r="T397" s="789">
        <f>+'Phase III Pro Forma'!T394/1000000</f>
        <v>0</v>
      </c>
      <c r="U397" s="789">
        <f>+'Phase III Pro Forma'!U394/1000000</f>
        <v>0</v>
      </c>
      <c r="V397" s="789">
        <f>+'Phase III Pro Forma'!V394/1000000</f>
        <v>0</v>
      </c>
      <c r="W397" s="789">
        <f>+'Phase III Pro Forma'!W394/1000000</f>
        <v>0</v>
      </c>
      <c r="X397" s="789">
        <f>+'Phase III Pro Forma'!X394/1000000</f>
        <v>0</v>
      </c>
      <c r="Y397" s="789">
        <f>+'Phase III Pro Forma'!Y394/1000000</f>
        <v>0</v>
      </c>
      <c r="Z397" s="789">
        <f>+'Phase III Pro Forma'!Z394/1000000</f>
        <v>0</v>
      </c>
    </row>
    <row r="398" spans="2:26" s="793" customFormat="1" hidden="1" x14ac:dyDescent="0.2">
      <c r="B398" s="804" t="s">
        <v>402</v>
      </c>
      <c r="C398" s="804"/>
      <c r="D398" s="812">
        <f ca="1">+SUM(F398:Z398)</f>
        <v>1403.2871184601086</v>
      </c>
      <c r="E398" s="819"/>
      <c r="F398" s="819">
        <f ca="1">+SUM(F391:F397)</f>
        <v>55.765379325386164</v>
      </c>
      <c r="G398" s="819">
        <f t="shared" ref="G398:Z398" ca="1" si="129">+SUM(G391:G397)</f>
        <v>209.89573256874729</v>
      </c>
      <c r="H398" s="819">
        <f t="shared" ca="1" si="129"/>
        <v>289.24473471817976</v>
      </c>
      <c r="I398" s="819">
        <f t="shared" ca="1" si="129"/>
        <v>289.24473471817981</v>
      </c>
      <c r="J398" s="819">
        <f t="shared" ca="1" si="129"/>
        <v>282.79375728259839</v>
      </c>
      <c r="K398" s="819">
        <f t="shared" ca="1" si="129"/>
        <v>276.34277984701708</v>
      </c>
      <c r="L398" s="819">
        <f t="shared" ca="1" si="129"/>
        <v>0</v>
      </c>
      <c r="M398" s="819">
        <f t="shared" ca="1" si="129"/>
        <v>0</v>
      </c>
      <c r="N398" s="819">
        <f t="shared" ca="1" si="129"/>
        <v>0</v>
      </c>
      <c r="O398" s="819">
        <f t="shared" ca="1" si="129"/>
        <v>0</v>
      </c>
      <c r="P398" s="819">
        <f t="shared" ca="1" si="129"/>
        <v>0</v>
      </c>
      <c r="Q398" s="819">
        <f t="shared" ca="1" si="129"/>
        <v>0</v>
      </c>
      <c r="R398" s="819">
        <f t="shared" ca="1" si="129"/>
        <v>0</v>
      </c>
      <c r="S398" s="819">
        <f t="shared" ca="1" si="129"/>
        <v>0</v>
      </c>
      <c r="T398" s="819">
        <f t="shared" ca="1" si="129"/>
        <v>0</v>
      </c>
      <c r="U398" s="819">
        <f t="shared" ca="1" si="129"/>
        <v>0</v>
      </c>
      <c r="V398" s="819">
        <f t="shared" ca="1" si="129"/>
        <v>0</v>
      </c>
      <c r="W398" s="819">
        <f t="shared" ca="1" si="129"/>
        <v>0</v>
      </c>
      <c r="X398" s="819">
        <f t="shared" ca="1" si="129"/>
        <v>0</v>
      </c>
      <c r="Y398" s="819">
        <f t="shared" ca="1" si="129"/>
        <v>0</v>
      </c>
      <c r="Z398" s="819">
        <f t="shared" ca="1" si="129"/>
        <v>0</v>
      </c>
    </row>
    <row r="399" spans="2:26" hidden="1" x14ac:dyDescent="0.2"/>
    <row r="400" spans="2:26" x14ac:dyDescent="0.2">
      <c r="B400" s="36" t="s">
        <v>636</v>
      </c>
      <c r="C400" s="37"/>
      <c r="D400" s="37"/>
      <c r="E400" s="37"/>
      <c r="F400" s="135">
        <f>+F360</f>
        <v>45657</v>
      </c>
      <c r="G400" s="135">
        <f t="shared" ref="G400:Z400" si="130">+G360</f>
        <v>46022</v>
      </c>
      <c r="H400" s="135">
        <f t="shared" si="130"/>
        <v>46387</v>
      </c>
      <c r="I400" s="135">
        <f t="shared" si="130"/>
        <v>46752</v>
      </c>
      <c r="J400" s="135">
        <f t="shared" si="130"/>
        <v>47118</v>
      </c>
      <c r="K400" s="135">
        <f t="shared" si="130"/>
        <v>47483</v>
      </c>
      <c r="L400" s="135">
        <f t="shared" si="130"/>
        <v>47848</v>
      </c>
      <c r="M400" s="135">
        <f t="shared" si="130"/>
        <v>48213</v>
      </c>
      <c r="N400" s="135">
        <f t="shared" si="130"/>
        <v>48579</v>
      </c>
      <c r="O400" s="135">
        <f t="shared" si="130"/>
        <v>48944</v>
      </c>
      <c r="P400" s="135">
        <f t="shared" si="130"/>
        <v>49309</v>
      </c>
      <c r="Q400" s="135">
        <f t="shared" si="130"/>
        <v>49674</v>
      </c>
      <c r="R400" s="135">
        <f t="shared" si="130"/>
        <v>50040</v>
      </c>
      <c r="S400" s="135">
        <f t="shared" si="130"/>
        <v>50405</v>
      </c>
      <c r="T400" s="135">
        <f t="shared" si="130"/>
        <v>50770</v>
      </c>
      <c r="U400" s="135">
        <f t="shared" si="130"/>
        <v>51135</v>
      </c>
      <c r="V400" s="135">
        <f t="shared" si="130"/>
        <v>51501</v>
      </c>
      <c r="W400" s="135">
        <f t="shared" si="130"/>
        <v>51866</v>
      </c>
      <c r="X400" s="135">
        <f t="shared" si="130"/>
        <v>52231</v>
      </c>
      <c r="Y400" s="135">
        <f t="shared" si="130"/>
        <v>52596</v>
      </c>
      <c r="Z400" s="135">
        <f t="shared" si="130"/>
        <v>52962</v>
      </c>
    </row>
    <row r="401" spans="2:26" hidden="1" x14ac:dyDescent="0.2">
      <c r="B401" s="118"/>
    </row>
    <row r="402" spans="2:26" x14ac:dyDescent="0.2">
      <c r="B402" s="147" t="s">
        <v>646</v>
      </c>
      <c r="F402" s="784">
        <v>0</v>
      </c>
      <c r="G402" s="784">
        <f>+F402+1</f>
        <v>1</v>
      </c>
      <c r="H402" s="784">
        <f t="shared" ref="H402:Z402" si="131">+G402+1</f>
        <v>2</v>
      </c>
      <c r="I402" s="784">
        <f t="shared" si="131"/>
        <v>3</v>
      </c>
      <c r="J402" s="784">
        <f t="shared" si="131"/>
        <v>4</v>
      </c>
      <c r="K402" s="784">
        <f t="shared" si="131"/>
        <v>5</v>
      </c>
      <c r="L402" s="784">
        <f t="shared" si="131"/>
        <v>6</v>
      </c>
      <c r="M402" s="784">
        <f t="shared" si="131"/>
        <v>7</v>
      </c>
      <c r="N402" s="784">
        <f t="shared" si="131"/>
        <v>8</v>
      </c>
      <c r="O402" s="784">
        <f t="shared" si="131"/>
        <v>9</v>
      </c>
      <c r="P402" s="784">
        <f t="shared" si="131"/>
        <v>10</v>
      </c>
      <c r="Q402" s="784">
        <f t="shared" si="131"/>
        <v>11</v>
      </c>
      <c r="R402" s="784">
        <f t="shared" si="131"/>
        <v>12</v>
      </c>
      <c r="S402" s="784">
        <f t="shared" si="131"/>
        <v>13</v>
      </c>
      <c r="T402" s="784">
        <f t="shared" si="131"/>
        <v>14</v>
      </c>
      <c r="U402" s="784">
        <f t="shared" si="131"/>
        <v>15</v>
      </c>
      <c r="V402" s="784">
        <f t="shared" si="131"/>
        <v>16</v>
      </c>
      <c r="W402" s="784">
        <f t="shared" si="131"/>
        <v>17</v>
      </c>
      <c r="X402" s="784">
        <f t="shared" si="131"/>
        <v>18</v>
      </c>
      <c r="Y402" s="784">
        <f t="shared" si="131"/>
        <v>19</v>
      </c>
      <c r="Z402" s="784">
        <f t="shared" si="131"/>
        <v>20</v>
      </c>
    </row>
    <row r="403" spans="2:26" x14ac:dyDescent="0.2">
      <c r="B403" s="32" t="s">
        <v>398</v>
      </c>
      <c r="D403" s="47"/>
      <c r="E403" s="47"/>
      <c r="F403" s="48">
        <f ca="1">+'Phase III Pro Forma'!F400/1000000</f>
        <v>-55.765379325386164</v>
      </c>
      <c r="G403" s="48">
        <f ca="1">+'Phase III Pro Forma'!G400/1000000</f>
        <v>-22.795049819411577</v>
      </c>
      <c r="H403" s="48">
        <f ca="1">+'Phase III Pro Forma'!H400/1000000</f>
        <v>0</v>
      </c>
      <c r="I403" s="48">
        <f ca="1">+'Phase III Pro Forma'!I400/1000000</f>
        <v>0</v>
      </c>
      <c r="J403" s="48">
        <f ca="1">+'Phase III Pro Forma'!J400/1000000</f>
        <v>0</v>
      </c>
      <c r="K403" s="48">
        <f ca="1">+'Phase III Pro Forma'!K400/1000000</f>
        <v>0</v>
      </c>
      <c r="L403" s="48">
        <f ca="1">+'Phase III Pro Forma'!L400/1000000</f>
        <v>0</v>
      </c>
      <c r="M403" s="48">
        <f ca="1">+'Phase III Pro Forma'!M400/1000000</f>
        <v>0</v>
      </c>
      <c r="N403" s="48">
        <f ca="1">+'Phase III Pro Forma'!N400/1000000</f>
        <v>0</v>
      </c>
      <c r="O403" s="48">
        <f ca="1">+'Phase III Pro Forma'!O400/1000000</f>
        <v>0</v>
      </c>
      <c r="P403" s="48">
        <f ca="1">+'Phase III Pro Forma'!P400/1000000</f>
        <v>0</v>
      </c>
      <c r="Q403" s="48">
        <f ca="1">+'Phase III Pro Forma'!Q400/1000000</f>
        <v>0</v>
      </c>
      <c r="R403" s="48">
        <f ca="1">+'Phase III Pro Forma'!R400/1000000</f>
        <v>0</v>
      </c>
      <c r="S403" s="48">
        <f ca="1">+'Phase III Pro Forma'!S400/1000000</f>
        <v>0</v>
      </c>
      <c r="T403" s="48">
        <f ca="1">+'Phase III Pro Forma'!T400/1000000</f>
        <v>0</v>
      </c>
      <c r="U403" s="48">
        <f ca="1">+'Phase III Pro Forma'!U400/1000000</f>
        <v>0</v>
      </c>
      <c r="V403" s="48">
        <f ca="1">+'Phase III Pro Forma'!V400/1000000</f>
        <v>0</v>
      </c>
      <c r="W403" s="48">
        <f ca="1">+'Phase III Pro Forma'!W400/1000000</f>
        <v>0</v>
      </c>
      <c r="X403" s="48">
        <f ca="1">+'Phase III Pro Forma'!X400/1000000</f>
        <v>0</v>
      </c>
      <c r="Y403" s="48">
        <f ca="1">+'Phase III Pro Forma'!Y400/1000000</f>
        <v>0</v>
      </c>
      <c r="Z403" s="48">
        <f ca="1">+'Phase III Pro Forma'!Z400/1000000</f>
        <v>0</v>
      </c>
    </row>
    <row r="404" spans="2:26" x14ac:dyDescent="0.2">
      <c r="B404" s="32" t="s">
        <v>416</v>
      </c>
      <c r="D404" s="47"/>
      <c r="E404" s="47"/>
      <c r="F404" s="772">
        <f>+'Phase III Pro Forma'!F401/1000000</f>
        <v>0</v>
      </c>
      <c r="G404" s="772">
        <f>+'Phase III Pro Forma'!G401/1000000</f>
        <v>0</v>
      </c>
      <c r="H404" s="772">
        <f>+'Phase III Pro Forma'!H401/1000000</f>
        <v>0</v>
      </c>
      <c r="I404" s="772">
        <f>+'Phase III Pro Forma'!I401/1000000</f>
        <v>0</v>
      </c>
      <c r="J404" s="772">
        <f>+'Phase III Pro Forma'!J401/1000000</f>
        <v>0</v>
      </c>
      <c r="K404" s="772">
        <f>+'Phase III Pro Forma'!K401/1000000</f>
        <v>0</v>
      </c>
      <c r="L404" s="772">
        <f>+'Phase III Pro Forma'!L401/1000000</f>
        <v>0</v>
      </c>
      <c r="M404" s="772">
        <f>+'Phase III Pro Forma'!M401/1000000</f>
        <v>0</v>
      </c>
      <c r="N404" s="772">
        <f>+'Phase III Pro Forma'!N401/1000000</f>
        <v>0</v>
      </c>
      <c r="O404" s="772">
        <f>+'Phase III Pro Forma'!O401/1000000</f>
        <v>0</v>
      </c>
      <c r="P404" s="772">
        <f>+'Phase III Pro Forma'!P401/1000000</f>
        <v>0</v>
      </c>
      <c r="Q404" s="772">
        <f>+'Phase III Pro Forma'!Q401/1000000</f>
        <v>0</v>
      </c>
      <c r="R404" s="772">
        <f>+'Phase III Pro Forma'!R401/1000000</f>
        <v>0</v>
      </c>
      <c r="S404" s="772">
        <f>+'Phase III Pro Forma'!S401/1000000</f>
        <v>0</v>
      </c>
      <c r="T404" s="772">
        <f>+'Phase III Pro Forma'!T401/1000000</f>
        <v>0</v>
      </c>
      <c r="U404" s="772">
        <f>+'Phase III Pro Forma'!U401/1000000</f>
        <v>0</v>
      </c>
      <c r="V404" s="772">
        <f>+'Phase III Pro Forma'!V401/1000000</f>
        <v>0</v>
      </c>
      <c r="W404" s="772">
        <f>+'Phase III Pro Forma'!W401/1000000</f>
        <v>0</v>
      </c>
      <c r="X404" s="772">
        <f>+'Phase III Pro Forma'!X401/1000000</f>
        <v>0</v>
      </c>
      <c r="Y404" s="772">
        <f>+'Phase III Pro Forma'!Y401/1000000</f>
        <v>0</v>
      </c>
      <c r="Z404" s="772">
        <f>+'Phase III Pro Forma'!Z401/1000000</f>
        <v>0</v>
      </c>
    </row>
    <row r="405" spans="2:26" x14ac:dyDescent="0.2">
      <c r="B405" s="32" t="s">
        <v>417</v>
      </c>
      <c r="D405" s="47"/>
      <c r="E405" s="47"/>
      <c r="F405" s="772">
        <f>+'Phase III Pro Forma'!F402/1000000</f>
        <v>0</v>
      </c>
      <c r="G405" s="772">
        <f>+'Phase III Pro Forma'!G402/1000000</f>
        <v>0</v>
      </c>
      <c r="H405" s="772">
        <f>+'Phase III Pro Forma'!H402/1000000</f>
        <v>0</v>
      </c>
      <c r="I405" s="772">
        <f>+'Phase III Pro Forma'!I402/1000000</f>
        <v>0</v>
      </c>
      <c r="J405" s="772">
        <f>+'Phase III Pro Forma'!J402/1000000</f>
        <v>0</v>
      </c>
      <c r="K405" s="772">
        <f>+'Phase III Pro Forma'!K402/1000000</f>
        <v>0</v>
      </c>
      <c r="L405" s="772">
        <f>+'Phase III Pro Forma'!L402/1000000</f>
        <v>0</v>
      </c>
      <c r="M405" s="772">
        <f>+'Phase III Pro Forma'!M402/1000000</f>
        <v>0</v>
      </c>
      <c r="N405" s="772">
        <f>+'Phase III Pro Forma'!N402/1000000</f>
        <v>0</v>
      </c>
      <c r="O405" s="772">
        <f>+'Phase III Pro Forma'!O402/1000000</f>
        <v>0</v>
      </c>
      <c r="P405" s="772">
        <f>+'Phase III Pro Forma'!P402/1000000</f>
        <v>0</v>
      </c>
      <c r="Q405" s="772">
        <f>+'Phase III Pro Forma'!Q402/1000000</f>
        <v>0</v>
      </c>
      <c r="R405" s="772">
        <f>+'Phase III Pro Forma'!R402/1000000</f>
        <v>0</v>
      </c>
      <c r="S405" s="772">
        <f>+'Phase III Pro Forma'!S402/1000000</f>
        <v>0</v>
      </c>
      <c r="T405" s="772">
        <f>+'Phase III Pro Forma'!T402/1000000</f>
        <v>0</v>
      </c>
      <c r="U405" s="772">
        <f>+'Phase III Pro Forma'!U402/1000000</f>
        <v>0</v>
      </c>
      <c r="V405" s="772">
        <f>+'Phase III Pro Forma'!V402/1000000</f>
        <v>0</v>
      </c>
      <c r="W405" s="772">
        <f>+'Phase III Pro Forma'!W402/1000000</f>
        <v>0</v>
      </c>
      <c r="X405" s="772">
        <f>+'Phase III Pro Forma'!X402/1000000</f>
        <v>0</v>
      </c>
      <c r="Y405" s="772">
        <f>+'Phase III Pro Forma'!Y402/1000000</f>
        <v>0</v>
      </c>
      <c r="Z405" s="772">
        <f>+'Phase III Pro Forma'!Z402/1000000</f>
        <v>0</v>
      </c>
    </row>
    <row r="406" spans="2:26" x14ac:dyDescent="0.2">
      <c r="B406" s="32" t="s">
        <v>641</v>
      </c>
      <c r="D406" s="47"/>
      <c r="E406" s="47"/>
      <c r="F406" s="772">
        <f ca="1">+'Phase III Pro Forma'!F403/1000000</f>
        <v>0</v>
      </c>
      <c r="G406" s="772">
        <f ca="1">+'Phase III Pro Forma'!G403/1000000</f>
        <v>0</v>
      </c>
      <c r="H406" s="772">
        <f ca="1">+'Phase III Pro Forma'!H403/1000000</f>
        <v>0</v>
      </c>
      <c r="I406" s="772">
        <f ca="1">+'Phase III Pro Forma'!I403/1000000</f>
        <v>1.0824531731693492</v>
      </c>
      <c r="J406" s="772">
        <f ca="1">+'Phase III Pro Forma'!J403/1000000</f>
        <v>-0.34514329754667211</v>
      </c>
      <c r="K406" s="772">
        <f ca="1">+'Phase III Pro Forma'!K403/1000000</f>
        <v>-0.44453145171823522</v>
      </c>
      <c r="L406" s="772">
        <f ca="1">+'Phase III Pro Forma'!L403/1000000</f>
        <v>-0.93369027617472478</v>
      </c>
      <c r="M406" s="772">
        <f>+'Phase III Pro Forma'!M403/1000000</f>
        <v>0</v>
      </c>
      <c r="N406" s="772">
        <f>+'Phase III Pro Forma'!N403/1000000</f>
        <v>0</v>
      </c>
      <c r="O406" s="772">
        <f>+'Phase III Pro Forma'!O403/1000000</f>
        <v>0</v>
      </c>
      <c r="P406" s="772">
        <f>+'Phase III Pro Forma'!P403/1000000</f>
        <v>0</v>
      </c>
      <c r="Q406" s="772">
        <f>+'Phase III Pro Forma'!Q403/1000000</f>
        <v>0</v>
      </c>
      <c r="R406" s="772">
        <f>+'Phase III Pro Forma'!R403/1000000</f>
        <v>0</v>
      </c>
      <c r="S406" s="772">
        <f>+'Phase III Pro Forma'!S403/1000000</f>
        <v>0</v>
      </c>
      <c r="T406" s="772">
        <f>+'Phase III Pro Forma'!T403/1000000</f>
        <v>0</v>
      </c>
      <c r="U406" s="772">
        <f>+'Phase III Pro Forma'!U403/1000000</f>
        <v>0</v>
      </c>
      <c r="V406" s="772">
        <f>+'Phase III Pro Forma'!V403/1000000</f>
        <v>0</v>
      </c>
      <c r="W406" s="772">
        <f>+'Phase III Pro Forma'!W403/1000000</f>
        <v>0</v>
      </c>
      <c r="X406" s="772">
        <f>+'Phase III Pro Forma'!X403/1000000</f>
        <v>0</v>
      </c>
      <c r="Y406" s="772">
        <f>+'Phase III Pro Forma'!Y403/1000000</f>
        <v>0</v>
      </c>
      <c r="Z406" s="772">
        <f>+'Phase III Pro Forma'!Z403/1000000</f>
        <v>0</v>
      </c>
    </row>
    <row r="407" spans="2:26" x14ac:dyDescent="0.2">
      <c r="B407" s="32" t="s">
        <v>643</v>
      </c>
      <c r="D407" s="47"/>
      <c r="E407" s="47"/>
      <c r="F407" s="772">
        <f ca="1">+'Phase III Pro Forma'!F404/1000000</f>
        <v>0</v>
      </c>
      <c r="G407" s="772">
        <f ca="1">+'Phase III Pro Forma'!G404/1000000</f>
        <v>0</v>
      </c>
      <c r="H407" s="772">
        <f ca="1">+'Phase III Pro Forma'!H404/1000000</f>
        <v>0</v>
      </c>
      <c r="I407" s="772">
        <f ca="1">+'Phase III Pro Forma'!I404/1000000</f>
        <v>-10.042908735790785</v>
      </c>
      <c r="J407" s="772">
        <f ca="1">+'Phase III Pro Forma'!J404/1000000</f>
        <v>5.1637070895398312</v>
      </c>
      <c r="K407" s="772">
        <f ca="1">+'Phase III Pro Forma'!K404/1000000</f>
        <v>5.4464813733853701</v>
      </c>
      <c r="L407" s="772">
        <f ca="1">+'Phase III Pro Forma'!L404/1000000</f>
        <v>7.5729237964607403</v>
      </c>
      <c r="M407" s="772">
        <f>+'Phase III Pro Forma'!M404/1000000</f>
        <v>0</v>
      </c>
      <c r="N407" s="772">
        <f>+'Phase III Pro Forma'!N404/1000000</f>
        <v>0</v>
      </c>
      <c r="O407" s="772">
        <f>+'Phase III Pro Forma'!O404/1000000</f>
        <v>0</v>
      </c>
      <c r="P407" s="772">
        <f>+'Phase III Pro Forma'!P404/1000000</f>
        <v>0</v>
      </c>
      <c r="Q407" s="772">
        <f>+'Phase III Pro Forma'!Q404/1000000</f>
        <v>0</v>
      </c>
      <c r="R407" s="772">
        <f>+'Phase III Pro Forma'!R404/1000000</f>
        <v>0</v>
      </c>
      <c r="S407" s="772">
        <f>+'Phase III Pro Forma'!S404/1000000</f>
        <v>0</v>
      </c>
      <c r="T407" s="772">
        <f>+'Phase III Pro Forma'!T404/1000000</f>
        <v>0</v>
      </c>
      <c r="U407" s="772">
        <f>+'Phase III Pro Forma'!U404/1000000</f>
        <v>0</v>
      </c>
      <c r="V407" s="772">
        <f>+'Phase III Pro Forma'!V404/1000000</f>
        <v>0</v>
      </c>
      <c r="W407" s="772">
        <f>+'Phase III Pro Forma'!W404/1000000</f>
        <v>0</v>
      </c>
      <c r="X407" s="772">
        <f>+'Phase III Pro Forma'!X404/1000000</f>
        <v>0</v>
      </c>
      <c r="Y407" s="772">
        <f>+'Phase III Pro Forma'!Y404/1000000</f>
        <v>0</v>
      </c>
      <c r="Z407" s="772">
        <f>+'Phase III Pro Forma'!Z404/1000000</f>
        <v>0</v>
      </c>
    </row>
    <row r="408" spans="2:26" x14ac:dyDescent="0.2">
      <c r="B408" s="32" t="s">
        <v>642</v>
      </c>
      <c r="D408" s="47"/>
      <c r="E408" s="47"/>
      <c r="F408" s="772">
        <f>+'Phase III Pro Forma'!F405/1000000</f>
        <v>0</v>
      </c>
      <c r="G408" s="772">
        <f>+'Phase III Pro Forma'!G405/1000000</f>
        <v>0</v>
      </c>
      <c r="H408" s="772">
        <f>+'Phase III Pro Forma'!H405/1000000</f>
        <v>0</v>
      </c>
      <c r="I408" s="772">
        <f ca="1">+'Phase III Pro Forma'!I405/1000000</f>
        <v>44.337854744442943</v>
      </c>
      <c r="J408" s="772">
        <f>+'Phase III Pro Forma'!J405/1000000</f>
        <v>0</v>
      </c>
      <c r="K408" s="772">
        <f>+'Phase III Pro Forma'!K405/1000000</f>
        <v>0</v>
      </c>
      <c r="L408" s="772">
        <f ca="1">+'Phase III Pro Forma'!L405/1000000</f>
        <v>183.48633992872948</v>
      </c>
      <c r="M408" s="772">
        <f>+'Phase III Pro Forma'!M405/1000000</f>
        <v>0</v>
      </c>
      <c r="N408" s="772">
        <f>+'Phase III Pro Forma'!N405/1000000</f>
        <v>0</v>
      </c>
      <c r="O408" s="772">
        <f>+'Phase III Pro Forma'!O405/1000000</f>
        <v>0</v>
      </c>
      <c r="P408" s="772">
        <f>+'Phase III Pro Forma'!P405/1000000</f>
        <v>0</v>
      </c>
      <c r="Q408" s="772">
        <f>+'Phase III Pro Forma'!Q405/1000000</f>
        <v>0</v>
      </c>
      <c r="R408" s="772">
        <f>+'Phase III Pro Forma'!R405/1000000</f>
        <v>0</v>
      </c>
      <c r="S408" s="772">
        <f>+'Phase III Pro Forma'!S405/1000000</f>
        <v>0</v>
      </c>
      <c r="T408" s="772">
        <f>+'Phase III Pro Forma'!T405/1000000</f>
        <v>0</v>
      </c>
      <c r="U408" s="772">
        <f>+'Phase III Pro Forma'!U405/1000000</f>
        <v>0</v>
      </c>
      <c r="V408" s="772">
        <f>+'Phase III Pro Forma'!V405/1000000</f>
        <v>0</v>
      </c>
      <c r="W408" s="772">
        <f>+'Phase III Pro Forma'!W405/1000000</f>
        <v>0</v>
      </c>
      <c r="X408" s="772">
        <f>+'Phase III Pro Forma'!X405/1000000</f>
        <v>0</v>
      </c>
      <c r="Y408" s="772">
        <f>+'Phase III Pro Forma'!Y405/1000000</f>
        <v>0</v>
      </c>
      <c r="Z408" s="772">
        <f>+'Phase III Pro Forma'!Z405/1000000</f>
        <v>0</v>
      </c>
    </row>
    <row r="409" spans="2:26" x14ac:dyDescent="0.2">
      <c r="B409" s="32" t="s">
        <v>415</v>
      </c>
      <c r="D409" s="47"/>
      <c r="E409" s="47"/>
      <c r="F409" s="772">
        <f>+'Phase III Pro Forma'!F406/1000000</f>
        <v>0</v>
      </c>
      <c r="G409" s="772">
        <f>+'Phase III Pro Forma'!G406/1000000</f>
        <v>0</v>
      </c>
      <c r="H409" s="772">
        <f>+'Phase III Pro Forma'!H406/1000000</f>
        <v>0</v>
      </c>
      <c r="I409" s="772">
        <f>+'Phase III Pro Forma'!I406/1000000</f>
        <v>0</v>
      </c>
      <c r="J409" s="772">
        <f>+'Phase III Pro Forma'!J406/1000000</f>
        <v>0</v>
      </c>
      <c r="K409" s="772">
        <f>+'Phase III Pro Forma'!K406/1000000</f>
        <v>0</v>
      </c>
      <c r="L409" s="772">
        <f ca="1">+'Phase III Pro Forma'!L406/1000000</f>
        <v>-32.413921648643402</v>
      </c>
      <c r="M409" s="772">
        <f>+'Phase III Pro Forma'!M406/1000000</f>
        <v>0</v>
      </c>
      <c r="N409" s="772">
        <f>+'Phase III Pro Forma'!N406/1000000</f>
        <v>0</v>
      </c>
      <c r="O409" s="772">
        <f>+'Phase III Pro Forma'!O406/1000000</f>
        <v>0</v>
      </c>
      <c r="P409" s="772">
        <f>+'Phase III Pro Forma'!P406/1000000</f>
        <v>0</v>
      </c>
      <c r="Q409" s="772">
        <f>+'Phase III Pro Forma'!Q406/1000000</f>
        <v>0</v>
      </c>
      <c r="R409" s="772">
        <f>+'Phase III Pro Forma'!R406/1000000</f>
        <v>0</v>
      </c>
      <c r="S409" s="772">
        <f>+'Phase III Pro Forma'!S406/1000000</f>
        <v>0</v>
      </c>
      <c r="T409" s="772">
        <f>+'Phase III Pro Forma'!T406/1000000</f>
        <v>0</v>
      </c>
      <c r="U409" s="772">
        <f>+'Phase III Pro Forma'!U406/1000000</f>
        <v>0</v>
      </c>
      <c r="V409" s="772">
        <f>+'Phase III Pro Forma'!V406/1000000</f>
        <v>0</v>
      </c>
      <c r="W409" s="772">
        <f>+'Phase III Pro Forma'!W406/1000000</f>
        <v>0</v>
      </c>
      <c r="X409" s="772">
        <f>+'Phase III Pro Forma'!X406/1000000</f>
        <v>0</v>
      </c>
      <c r="Y409" s="772">
        <f>+'Phase III Pro Forma'!Y406/1000000</f>
        <v>0</v>
      </c>
      <c r="Z409" s="772">
        <f>+'Phase III Pro Forma'!Z406/1000000</f>
        <v>0</v>
      </c>
    </row>
    <row r="410" spans="2:26" x14ac:dyDescent="0.2">
      <c r="B410" s="137" t="s">
        <v>407</v>
      </c>
      <c r="C410" s="137"/>
      <c r="D410" s="138">
        <f t="shared" ref="D410" ca="1" si="132">+SUM(F410:Z410)</f>
        <v>124.34913555105636</v>
      </c>
      <c r="E410" s="138"/>
      <c r="F410" s="774">
        <f t="shared" ref="F410:Z410" ca="1" si="133">+SUM(F403:F409)</f>
        <v>-55.765379325386164</v>
      </c>
      <c r="G410" s="774">
        <f t="shared" ca="1" si="133"/>
        <v>-22.795049819411577</v>
      </c>
      <c r="H410" s="774">
        <f t="shared" ca="1" si="133"/>
        <v>0</v>
      </c>
      <c r="I410" s="774">
        <f t="shared" ca="1" si="133"/>
        <v>35.377399181821502</v>
      </c>
      <c r="J410" s="774">
        <f t="shared" ca="1" si="133"/>
        <v>4.8185637919931592</v>
      </c>
      <c r="K410" s="774">
        <f t="shared" ca="1" si="133"/>
        <v>5.0019499216671353</v>
      </c>
      <c r="L410" s="774">
        <f t="shared" ca="1" si="133"/>
        <v>157.7116518003721</v>
      </c>
      <c r="M410" s="774">
        <f t="shared" ca="1" si="133"/>
        <v>0</v>
      </c>
      <c r="N410" s="774">
        <f t="shared" ca="1" si="133"/>
        <v>0</v>
      </c>
      <c r="O410" s="774">
        <f t="shared" ca="1" si="133"/>
        <v>0</v>
      </c>
      <c r="P410" s="774">
        <f t="shared" ca="1" si="133"/>
        <v>0</v>
      </c>
      <c r="Q410" s="774">
        <f t="shared" ca="1" si="133"/>
        <v>0</v>
      </c>
      <c r="R410" s="774">
        <f t="shared" ca="1" si="133"/>
        <v>0</v>
      </c>
      <c r="S410" s="774">
        <f t="shared" ca="1" si="133"/>
        <v>0</v>
      </c>
      <c r="T410" s="774">
        <f t="shared" ca="1" si="133"/>
        <v>0</v>
      </c>
      <c r="U410" s="774">
        <f t="shared" ca="1" si="133"/>
        <v>0</v>
      </c>
      <c r="V410" s="774">
        <f t="shared" ca="1" si="133"/>
        <v>0</v>
      </c>
      <c r="W410" s="774">
        <f t="shared" ca="1" si="133"/>
        <v>0</v>
      </c>
      <c r="X410" s="774">
        <f t="shared" ca="1" si="133"/>
        <v>0</v>
      </c>
      <c r="Y410" s="774">
        <f t="shared" ca="1" si="133"/>
        <v>0</v>
      </c>
      <c r="Z410" s="774">
        <f t="shared" ca="1" si="133"/>
        <v>0</v>
      </c>
    </row>
    <row r="411" spans="2:26" ht="5" customHeight="1" x14ac:dyDescent="0.2">
      <c r="B411" s="118"/>
    </row>
    <row r="412" spans="2:26" x14ac:dyDescent="0.2">
      <c r="B412" s="223" t="s">
        <v>644</v>
      </c>
      <c r="C412" s="223"/>
      <c r="F412" s="224">
        <f ca="1">+IRR(F410:Z410)</f>
        <v>0.2093096250869404</v>
      </c>
      <c r="G412" s="33"/>
    </row>
    <row r="413" spans="2:26" ht="5" customHeight="1" x14ac:dyDescent="0.2">
      <c r="B413" s="118"/>
      <c r="D413" s="107"/>
    </row>
    <row r="414" spans="2:26" x14ac:dyDescent="0.2">
      <c r="B414" s="147" t="s">
        <v>645</v>
      </c>
      <c r="F414" s="784">
        <f>+F402</f>
        <v>0</v>
      </c>
      <c r="G414" s="784">
        <f t="shared" ref="G414:Z414" si="134">+G402</f>
        <v>1</v>
      </c>
      <c r="H414" s="784">
        <f t="shared" si="134"/>
        <v>2</v>
      </c>
      <c r="I414" s="784">
        <f t="shared" si="134"/>
        <v>3</v>
      </c>
      <c r="J414" s="784">
        <f t="shared" si="134"/>
        <v>4</v>
      </c>
      <c r="K414" s="784">
        <f t="shared" si="134"/>
        <v>5</v>
      </c>
      <c r="L414" s="784">
        <f t="shared" si="134"/>
        <v>6</v>
      </c>
      <c r="M414" s="784">
        <f t="shared" si="134"/>
        <v>7</v>
      </c>
      <c r="N414" s="784">
        <f t="shared" si="134"/>
        <v>8</v>
      </c>
      <c r="O414" s="784">
        <f t="shared" si="134"/>
        <v>9</v>
      </c>
      <c r="P414" s="784">
        <f t="shared" si="134"/>
        <v>10</v>
      </c>
      <c r="Q414" s="784">
        <f t="shared" si="134"/>
        <v>11</v>
      </c>
      <c r="R414" s="784">
        <f t="shared" si="134"/>
        <v>12</v>
      </c>
      <c r="S414" s="784">
        <f t="shared" si="134"/>
        <v>13</v>
      </c>
      <c r="T414" s="784">
        <f t="shared" si="134"/>
        <v>14</v>
      </c>
      <c r="U414" s="784">
        <f t="shared" si="134"/>
        <v>15</v>
      </c>
      <c r="V414" s="784">
        <f t="shared" si="134"/>
        <v>16</v>
      </c>
      <c r="W414" s="784">
        <f t="shared" si="134"/>
        <v>17</v>
      </c>
      <c r="X414" s="784">
        <f t="shared" si="134"/>
        <v>18</v>
      </c>
      <c r="Y414" s="784">
        <f t="shared" si="134"/>
        <v>19</v>
      </c>
      <c r="Z414" s="784">
        <f t="shared" si="134"/>
        <v>20</v>
      </c>
    </row>
    <row r="415" spans="2:26" x14ac:dyDescent="0.2">
      <c r="B415" s="32" t="s">
        <v>398</v>
      </c>
      <c r="D415" s="47"/>
      <c r="E415" s="47"/>
      <c r="F415" s="48">
        <f ca="1">+'Phase III Pro Forma'!F412/1000000</f>
        <v>-55.765379325386164</v>
      </c>
      <c r="G415" s="48">
        <f ca="1">+'Phase III Pro Forma'!G412/1000000</f>
        <v>-22.795049819411577</v>
      </c>
      <c r="H415" s="48">
        <f ca="1">+'Phase III Pro Forma'!H412/1000000</f>
        <v>0</v>
      </c>
      <c r="I415" s="48">
        <f ca="1">+'Phase III Pro Forma'!I412/1000000</f>
        <v>0</v>
      </c>
      <c r="J415" s="48">
        <f ca="1">+'Phase III Pro Forma'!J412/1000000</f>
        <v>0</v>
      </c>
      <c r="K415" s="48">
        <f ca="1">+'Phase III Pro Forma'!K412/1000000</f>
        <v>0</v>
      </c>
      <c r="L415" s="48">
        <f ca="1">+'Phase III Pro Forma'!L412/1000000</f>
        <v>0</v>
      </c>
      <c r="M415" s="48">
        <f ca="1">+'Phase III Pro Forma'!M412/1000000</f>
        <v>0</v>
      </c>
      <c r="N415" s="48">
        <f ca="1">+'Phase III Pro Forma'!N412/1000000</f>
        <v>0</v>
      </c>
      <c r="O415" s="48">
        <f ca="1">+'Phase III Pro Forma'!O412/1000000</f>
        <v>0</v>
      </c>
      <c r="P415" s="48">
        <f ca="1">+'Phase III Pro Forma'!P412/1000000</f>
        <v>0</v>
      </c>
      <c r="Q415" s="48">
        <f ca="1">+'Phase III Pro Forma'!Q412/1000000</f>
        <v>0</v>
      </c>
      <c r="R415" s="48">
        <f ca="1">+'Phase III Pro Forma'!R412/1000000</f>
        <v>0</v>
      </c>
      <c r="S415" s="48">
        <f ca="1">+'Phase III Pro Forma'!S412/1000000</f>
        <v>0</v>
      </c>
      <c r="T415" s="48">
        <f ca="1">+'Phase III Pro Forma'!T412/1000000</f>
        <v>0</v>
      </c>
      <c r="U415" s="48">
        <f ca="1">+'Phase III Pro Forma'!U412/1000000</f>
        <v>0</v>
      </c>
      <c r="V415" s="48">
        <f ca="1">+'Phase III Pro Forma'!V412/1000000</f>
        <v>0</v>
      </c>
      <c r="W415" s="48">
        <f ca="1">+'Phase III Pro Forma'!W412/1000000</f>
        <v>0</v>
      </c>
      <c r="X415" s="48">
        <f ca="1">+'Phase III Pro Forma'!X412/1000000</f>
        <v>0</v>
      </c>
      <c r="Y415" s="48">
        <f ca="1">+'Phase III Pro Forma'!Y412/1000000</f>
        <v>0</v>
      </c>
      <c r="Z415" s="48">
        <f ca="1">+'Phase III Pro Forma'!Z412/1000000</f>
        <v>0</v>
      </c>
    </row>
    <row r="416" spans="2:26" x14ac:dyDescent="0.2">
      <c r="B416" s="32" t="s">
        <v>416</v>
      </c>
      <c r="D416" s="47"/>
      <c r="E416" s="47"/>
      <c r="F416" s="772">
        <f ca="1">+'Phase III Pro Forma'!F413/1000000</f>
        <v>11.710729658331095</v>
      </c>
      <c r="G416" s="772">
        <f ca="1">+'Phase III Pro Forma'!G413/1000000</f>
        <v>4.786960462076431</v>
      </c>
      <c r="H416" s="772">
        <f ca="1">+'Phase III Pro Forma'!H413/1000000</f>
        <v>0</v>
      </c>
      <c r="I416" s="772">
        <f ca="1">+'Phase III Pro Forma'!I413/1000000</f>
        <v>0</v>
      </c>
      <c r="J416" s="772">
        <f ca="1">+'Phase III Pro Forma'!J413/1000000</f>
        <v>0</v>
      </c>
      <c r="K416" s="772">
        <f ca="1">+'Phase III Pro Forma'!K413/1000000</f>
        <v>0</v>
      </c>
      <c r="L416" s="772">
        <f ca="1">+'Phase III Pro Forma'!L413/1000000</f>
        <v>0</v>
      </c>
      <c r="M416" s="772">
        <f ca="1">+'Phase III Pro Forma'!M413/1000000</f>
        <v>0</v>
      </c>
      <c r="N416" s="772">
        <f ca="1">+'Phase III Pro Forma'!N413/1000000</f>
        <v>0</v>
      </c>
      <c r="O416" s="772">
        <f ca="1">+'Phase III Pro Forma'!O413/1000000</f>
        <v>0</v>
      </c>
      <c r="P416" s="772">
        <f ca="1">+'Phase III Pro Forma'!P413/1000000</f>
        <v>0</v>
      </c>
      <c r="Q416" s="772">
        <f ca="1">+'Phase III Pro Forma'!Q413/1000000</f>
        <v>0</v>
      </c>
      <c r="R416" s="772">
        <f ca="1">+'Phase III Pro Forma'!R413/1000000</f>
        <v>0</v>
      </c>
      <c r="S416" s="772">
        <f ca="1">+'Phase III Pro Forma'!S413/1000000</f>
        <v>0</v>
      </c>
      <c r="T416" s="772">
        <f ca="1">+'Phase III Pro Forma'!T413/1000000</f>
        <v>0</v>
      </c>
      <c r="U416" s="772">
        <f ca="1">+'Phase III Pro Forma'!U413/1000000</f>
        <v>0</v>
      </c>
      <c r="V416" s="772">
        <f ca="1">+'Phase III Pro Forma'!V413/1000000</f>
        <v>0</v>
      </c>
      <c r="W416" s="772">
        <f ca="1">+'Phase III Pro Forma'!W413/1000000</f>
        <v>0</v>
      </c>
      <c r="X416" s="772">
        <f ca="1">+'Phase III Pro Forma'!X413/1000000</f>
        <v>0</v>
      </c>
      <c r="Y416" s="772">
        <f ca="1">+'Phase III Pro Forma'!Y413/1000000</f>
        <v>0</v>
      </c>
      <c r="Z416" s="772">
        <f ca="1">+'Phase III Pro Forma'!Z413/1000000</f>
        <v>0</v>
      </c>
    </row>
    <row r="417" spans="2:26" x14ac:dyDescent="0.2">
      <c r="B417" s="32" t="s">
        <v>417</v>
      </c>
      <c r="D417" s="47"/>
      <c r="E417" s="47"/>
      <c r="F417" s="772">
        <f ca="1">+'Phase III Pro Forma'!F414/1000000</f>
        <v>0</v>
      </c>
      <c r="G417" s="772">
        <f ca="1">+'Phase III Pro Forma'!G414/1000000</f>
        <v>0</v>
      </c>
      <c r="H417" s="772">
        <f ca="1">+'Phase III Pro Forma'!H414/1000000</f>
        <v>-16.497690120407526</v>
      </c>
      <c r="I417" s="772">
        <f ca="1">+'Phase III Pro Forma'!I414/1000000</f>
        <v>0</v>
      </c>
      <c r="J417" s="772">
        <f ca="1">+'Phase III Pro Forma'!J414/1000000</f>
        <v>0</v>
      </c>
      <c r="K417" s="772">
        <f ca="1">+'Phase III Pro Forma'!K414/1000000</f>
        <v>0</v>
      </c>
      <c r="L417" s="772">
        <f ca="1">+'Phase III Pro Forma'!L414/1000000</f>
        <v>0</v>
      </c>
      <c r="M417" s="772">
        <f ca="1">+'Phase III Pro Forma'!M414/1000000</f>
        <v>0</v>
      </c>
      <c r="N417" s="772">
        <f ca="1">+'Phase III Pro Forma'!N414/1000000</f>
        <v>0</v>
      </c>
      <c r="O417" s="772">
        <f ca="1">+'Phase III Pro Forma'!O414/1000000</f>
        <v>0</v>
      </c>
      <c r="P417" s="772">
        <f ca="1">+'Phase III Pro Forma'!P414/1000000</f>
        <v>0</v>
      </c>
      <c r="Q417" s="772">
        <f ca="1">+'Phase III Pro Forma'!Q414/1000000</f>
        <v>0</v>
      </c>
      <c r="R417" s="772">
        <f ca="1">+'Phase III Pro Forma'!R414/1000000</f>
        <v>0</v>
      </c>
      <c r="S417" s="772">
        <f ca="1">+'Phase III Pro Forma'!S414/1000000</f>
        <v>0</v>
      </c>
      <c r="T417" s="772">
        <f ca="1">+'Phase III Pro Forma'!T414/1000000</f>
        <v>0</v>
      </c>
      <c r="U417" s="772">
        <f ca="1">+'Phase III Pro Forma'!U414/1000000</f>
        <v>0</v>
      </c>
      <c r="V417" s="772">
        <f ca="1">+'Phase III Pro Forma'!V414/1000000</f>
        <v>0</v>
      </c>
      <c r="W417" s="772">
        <f ca="1">+'Phase III Pro Forma'!W414/1000000</f>
        <v>0</v>
      </c>
      <c r="X417" s="772">
        <f ca="1">+'Phase III Pro Forma'!X414/1000000</f>
        <v>0</v>
      </c>
      <c r="Y417" s="772">
        <f ca="1">+'Phase III Pro Forma'!Y414/1000000</f>
        <v>0</v>
      </c>
      <c r="Z417" s="772">
        <f ca="1">+'Phase III Pro Forma'!Z414/1000000</f>
        <v>0</v>
      </c>
    </row>
    <row r="418" spans="2:26" x14ac:dyDescent="0.2">
      <c r="B418" s="32" t="s">
        <v>418</v>
      </c>
      <c r="D418" s="47"/>
      <c r="E418" s="47"/>
      <c r="F418" s="772">
        <f>+'Phase III Pro Forma'!F415/1000000</f>
        <v>0</v>
      </c>
      <c r="G418" s="772">
        <f>+'Phase III Pro Forma'!G415/1000000</f>
        <v>0</v>
      </c>
      <c r="H418" s="772">
        <f ca="1">+'Phase III Pro Forma'!H415/1000000</f>
        <v>1.6497690120407527</v>
      </c>
      <c r="I418" s="772">
        <f>+'Phase III Pro Forma'!I415/1000000</f>
        <v>0</v>
      </c>
      <c r="J418" s="772">
        <f>+'Phase III Pro Forma'!J415/1000000</f>
        <v>0</v>
      </c>
      <c r="K418" s="772">
        <f>+'Phase III Pro Forma'!K415/1000000</f>
        <v>0</v>
      </c>
      <c r="L418" s="772">
        <f>+'Phase III Pro Forma'!L415/1000000</f>
        <v>0</v>
      </c>
      <c r="M418" s="772">
        <f>+'Phase III Pro Forma'!M415/1000000</f>
        <v>0</v>
      </c>
      <c r="N418" s="772">
        <f>+'Phase III Pro Forma'!N415/1000000</f>
        <v>0</v>
      </c>
      <c r="O418" s="772">
        <f>+'Phase III Pro Forma'!O415/1000000</f>
        <v>0</v>
      </c>
      <c r="P418" s="772">
        <f>+'Phase III Pro Forma'!P415/1000000</f>
        <v>0</v>
      </c>
      <c r="Q418" s="772">
        <f>+'Phase III Pro Forma'!Q415/1000000</f>
        <v>0</v>
      </c>
      <c r="R418" s="772">
        <f>+'Phase III Pro Forma'!R415/1000000</f>
        <v>0</v>
      </c>
      <c r="S418" s="772">
        <f>+'Phase III Pro Forma'!S415/1000000</f>
        <v>0</v>
      </c>
      <c r="T418" s="772">
        <f>+'Phase III Pro Forma'!T415/1000000</f>
        <v>0</v>
      </c>
      <c r="U418" s="772">
        <f>+'Phase III Pro Forma'!U415/1000000</f>
        <v>0</v>
      </c>
      <c r="V418" s="772">
        <f>+'Phase III Pro Forma'!V415/1000000</f>
        <v>0</v>
      </c>
      <c r="W418" s="772">
        <f>+'Phase III Pro Forma'!W415/1000000</f>
        <v>0</v>
      </c>
      <c r="X418" s="772">
        <f>+'Phase III Pro Forma'!X415/1000000</f>
        <v>0</v>
      </c>
      <c r="Y418" s="772">
        <f>+'Phase III Pro Forma'!Y415/1000000</f>
        <v>0</v>
      </c>
      <c r="Z418" s="772">
        <f>+'Phase III Pro Forma'!Z415/1000000</f>
        <v>0</v>
      </c>
    </row>
    <row r="419" spans="2:26" x14ac:dyDescent="0.2">
      <c r="B419" s="32" t="s">
        <v>641</v>
      </c>
      <c r="D419" s="47"/>
      <c r="E419" s="47"/>
      <c r="F419" s="772">
        <f ca="1">+'Phase III Pro Forma'!F416/1000000</f>
        <v>0</v>
      </c>
      <c r="G419" s="772">
        <f ca="1">+'Phase III Pro Forma'!G416/1000000</f>
        <v>0</v>
      </c>
      <c r="H419" s="772">
        <f ca="1">+'Phase III Pro Forma'!H416/1000000</f>
        <v>0</v>
      </c>
      <c r="I419" s="772">
        <f ca="1">+'Phase III Pro Forma'!I416/1000000</f>
        <v>1.0824531731693492</v>
      </c>
      <c r="J419" s="772">
        <f ca="1">+'Phase III Pro Forma'!J416/1000000</f>
        <v>-0.34514329754667211</v>
      </c>
      <c r="K419" s="772">
        <f ca="1">+'Phase III Pro Forma'!K416/1000000</f>
        <v>-0.44453145171823522</v>
      </c>
      <c r="L419" s="772">
        <f ca="1">+'Phase III Pro Forma'!L416/1000000</f>
        <v>-0.93369027617472478</v>
      </c>
      <c r="M419" s="772">
        <f>+'Phase III Pro Forma'!M416/1000000</f>
        <v>0</v>
      </c>
      <c r="N419" s="772">
        <f>+'Phase III Pro Forma'!N416/1000000</f>
        <v>0</v>
      </c>
      <c r="O419" s="772">
        <f>+'Phase III Pro Forma'!O416/1000000</f>
        <v>0</v>
      </c>
      <c r="P419" s="772">
        <f>+'Phase III Pro Forma'!P416/1000000</f>
        <v>0</v>
      </c>
      <c r="Q419" s="772">
        <f>+'Phase III Pro Forma'!Q416/1000000</f>
        <v>0</v>
      </c>
      <c r="R419" s="772">
        <f>+'Phase III Pro Forma'!R416/1000000</f>
        <v>0</v>
      </c>
      <c r="S419" s="772">
        <f>+'Phase III Pro Forma'!S416/1000000</f>
        <v>0</v>
      </c>
      <c r="T419" s="772">
        <f>+'Phase III Pro Forma'!T416/1000000</f>
        <v>0</v>
      </c>
      <c r="U419" s="772">
        <f>+'Phase III Pro Forma'!U416/1000000</f>
        <v>0</v>
      </c>
      <c r="V419" s="772">
        <f>+'Phase III Pro Forma'!V416/1000000</f>
        <v>0</v>
      </c>
      <c r="W419" s="772">
        <f>+'Phase III Pro Forma'!W416/1000000</f>
        <v>0</v>
      </c>
      <c r="X419" s="772">
        <f>+'Phase III Pro Forma'!X416/1000000</f>
        <v>0</v>
      </c>
      <c r="Y419" s="772">
        <f>+'Phase III Pro Forma'!Y416/1000000</f>
        <v>0</v>
      </c>
      <c r="Z419" s="772">
        <f>+'Phase III Pro Forma'!Z416/1000000</f>
        <v>0</v>
      </c>
    </row>
    <row r="420" spans="2:26" x14ac:dyDescent="0.2">
      <c r="B420" s="32" t="s">
        <v>643</v>
      </c>
      <c r="D420" s="47"/>
      <c r="E420" s="47"/>
      <c r="F420" s="772">
        <f ca="1">+'Phase III Pro Forma'!F417/1000000</f>
        <v>0</v>
      </c>
      <c r="G420" s="772">
        <f ca="1">+'Phase III Pro Forma'!G417/1000000</f>
        <v>0</v>
      </c>
      <c r="H420" s="772">
        <f ca="1">+'Phase III Pro Forma'!H417/1000000</f>
        <v>0</v>
      </c>
      <c r="I420" s="772">
        <f ca="1">+'Phase III Pro Forma'!I417/1000000</f>
        <v>-10.042908735790785</v>
      </c>
      <c r="J420" s="772">
        <f ca="1">+'Phase III Pro Forma'!J417/1000000</f>
        <v>5.1637070895398312</v>
      </c>
      <c r="K420" s="772">
        <f ca="1">+'Phase III Pro Forma'!K417/1000000</f>
        <v>5.4464813733853701</v>
      </c>
      <c r="L420" s="772">
        <f ca="1">+'Phase III Pro Forma'!L417/1000000</f>
        <v>7.5729237964607403</v>
      </c>
      <c r="M420" s="772">
        <f>+'Phase III Pro Forma'!M417/1000000</f>
        <v>0</v>
      </c>
      <c r="N420" s="772">
        <f>+'Phase III Pro Forma'!N417/1000000</f>
        <v>0</v>
      </c>
      <c r="O420" s="772">
        <f>+'Phase III Pro Forma'!O417/1000000</f>
        <v>0</v>
      </c>
      <c r="P420" s="772">
        <f>+'Phase III Pro Forma'!P417/1000000</f>
        <v>0</v>
      </c>
      <c r="Q420" s="772">
        <f>+'Phase III Pro Forma'!Q417/1000000</f>
        <v>0</v>
      </c>
      <c r="R420" s="772">
        <f>+'Phase III Pro Forma'!R417/1000000</f>
        <v>0</v>
      </c>
      <c r="S420" s="772">
        <f>+'Phase III Pro Forma'!S417/1000000</f>
        <v>0</v>
      </c>
      <c r="T420" s="772">
        <f>+'Phase III Pro Forma'!T417/1000000</f>
        <v>0</v>
      </c>
      <c r="U420" s="772">
        <f>+'Phase III Pro Forma'!U417/1000000</f>
        <v>0</v>
      </c>
      <c r="V420" s="772">
        <f>+'Phase III Pro Forma'!V417/1000000</f>
        <v>0</v>
      </c>
      <c r="W420" s="772">
        <f>+'Phase III Pro Forma'!W417/1000000</f>
        <v>0</v>
      </c>
      <c r="X420" s="772">
        <f>+'Phase III Pro Forma'!X417/1000000</f>
        <v>0</v>
      </c>
      <c r="Y420" s="772">
        <f>+'Phase III Pro Forma'!Y417/1000000</f>
        <v>0</v>
      </c>
      <c r="Z420" s="772">
        <f>+'Phase III Pro Forma'!Z417/1000000</f>
        <v>0</v>
      </c>
    </row>
    <row r="421" spans="2:26" x14ac:dyDescent="0.2">
      <c r="B421" s="32" t="s">
        <v>642</v>
      </c>
      <c r="D421" s="47"/>
      <c r="E421" s="47"/>
      <c r="F421" s="772">
        <f>+'Phase III Pro Forma'!F418/1000000</f>
        <v>0</v>
      </c>
      <c r="G421" s="772">
        <f>+'Phase III Pro Forma'!G418/1000000</f>
        <v>0</v>
      </c>
      <c r="H421" s="772">
        <f>+'Phase III Pro Forma'!H418/1000000</f>
        <v>0</v>
      </c>
      <c r="I421" s="772">
        <f ca="1">+'Phase III Pro Forma'!I418/1000000</f>
        <v>44.337854744442943</v>
      </c>
      <c r="J421" s="772">
        <f>+'Phase III Pro Forma'!J418/1000000</f>
        <v>0</v>
      </c>
      <c r="K421" s="772">
        <f>+'Phase III Pro Forma'!K418/1000000</f>
        <v>0</v>
      </c>
      <c r="L421" s="772">
        <f ca="1">+'Phase III Pro Forma'!L418/1000000</f>
        <v>183.48633992872948</v>
      </c>
      <c r="M421" s="772">
        <f>+'Phase III Pro Forma'!M418/1000000</f>
        <v>0</v>
      </c>
      <c r="N421" s="772">
        <f>+'Phase III Pro Forma'!N418/1000000</f>
        <v>0</v>
      </c>
      <c r="O421" s="772">
        <f>+'Phase III Pro Forma'!O418/1000000</f>
        <v>0</v>
      </c>
      <c r="P421" s="772">
        <f>+'Phase III Pro Forma'!P418/1000000</f>
        <v>0</v>
      </c>
      <c r="Q421" s="772">
        <f>+'Phase III Pro Forma'!Q418/1000000</f>
        <v>0</v>
      </c>
      <c r="R421" s="772">
        <f>+'Phase III Pro Forma'!R418/1000000</f>
        <v>0</v>
      </c>
      <c r="S421" s="772">
        <f>+'Phase III Pro Forma'!S418/1000000</f>
        <v>0</v>
      </c>
      <c r="T421" s="772">
        <f>+'Phase III Pro Forma'!T418/1000000</f>
        <v>0</v>
      </c>
      <c r="U421" s="772">
        <f>+'Phase III Pro Forma'!U418/1000000</f>
        <v>0</v>
      </c>
      <c r="V421" s="772">
        <f>+'Phase III Pro Forma'!V418/1000000</f>
        <v>0</v>
      </c>
      <c r="W421" s="772">
        <f>+'Phase III Pro Forma'!W418/1000000</f>
        <v>0</v>
      </c>
      <c r="X421" s="772">
        <f>+'Phase III Pro Forma'!X418/1000000</f>
        <v>0</v>
      </c>
      <c r="Y421" s="772">
        <f>+'Phase III Pro Forma'!Y418/1000000</f>
        <v>0</v>
      </c>
      <c r="Z421" s="772">
        <f>+'Phase III Pro Forma'!Z418/1000000</f>
        <v>0</v>
      </c>
    </row>
    <row r="422" spans="2:26" x14ac:dyDescent="0.2">
      <c r="B422" s="32" t="s">
        <v>415</v>
      </c>
      <c r="D422" s="47"/>
      <c r="E422" s="47"/>
      <c r="F422" s="772">
        <f>+'Phase III Pro Forma'!F419/1000000</f>
        <v>0</v>
      </c>
      <c r="G422" s="772">
        <f>+'Phase III Pro Forma'!G419/1000000</f>
        <v>0</v>
      </c>
      <c r="H422" s="772">
        <f>+'Phase III Pro Forma'!H419/1000000</f>
        <v>0</v>
      </c>
      <c r="I422" s="772">
        <f>+'Phase III Pro Forma'!I419/1000000</f>
        <v>0</v>
      </c>
      <c r="J422" s="772">
        <f>+'Phase III Pro Forma'!J419/1000000</f>
        <v>0</v>
      </c>
      <c r="K422" s="772">
        <f>+'Phase III Pro Forma'!K419/1000000</f>
        <v>0</v>
      </c>
      <c r="L422" s="772">
        <f ca="1">+'Phase III Pro Forma'!L419/1000000</f>
        <v>-32.413921648643402</v>
      </c>
      <c r="M422" s="772">
        <f>+'Phase III Pro Forma'!M419/1000000</f>
        <v>0</v>
      </c>
      <c r="N422" s="772">
        <f>+'Phase III Pro Forma'!N419/1000000</f>
        <v>0</v>
      </c>
      <c r="O422" s="772">
        <f>+'Phase III Pro Forma'!O419/1000000</f>
        <v>0</v>
      </c>
      <c r="P422" s="772">
        <f>+'Phase III Pro Forma'!P419/1000000</f>
        <v>0</v>
      </c>
      <c r="Q422" s="772">
        <f>+'Phase III Pro Forma'!Q419/1000000</f>
        <v>0</v>
      </c>
      <c r="R422" s="772">
        <f>+'Phase III Pro Forma'!R419/1000000</f>
        <v>0</v>
      </c>
      <c r="S422" s="772">
        <f>+'Phase III Pro Forma'!S419/1000000</f>
        <v>0</v>
      </c>
      <c r="T422" s="772">
        <f>+'Phase III Pro Forma'!T419/1000000</f>
        <v>0</v>
      </c>
      <c r="U422" s="772">
        <f>+'Phase III Pro Forma'!U419/1000000</f>
        <v>0</v>
      </c>
      <c r="V422" s="772">
        <f>+'Phase III Pro Forma'!V419/1000000</f>
        <v>0</v>
      </c>
      <c r="W422" s="772">
        <f>+'Phase III Pro Forma'!W419/1000000</f>
        <v>0</v>
      </c>
      <c r="X422" s="772">
        <f>+'Phase III Pro Forma'!X419/1000000</f>
        <v>0</v>
      </c>
      <c r="Y422" s="772">
        <f>+'Phase III Pro Forma'!Y419/1000000</f>
        <v>0</v>
      </c>
      <c r="Z422" s="772">
        <f>+'Phase III Pro Forma'!Z419/1000000</f>
        <v>0</v>
      </c>
    </row>
    <row r="423" spans="2:26" x14ac:dyDescent="0.2">
      <c r="B423" s="137" t="s">
        <v>406</v>
      </c>
      <c r="C423" s="137"/>
      <c r="D423" s="138">
        <f t="shared" ref="D423" ca="1" si="135">+SUM(F423:Z423)</f>
        <v>125.99890456309711</v>
      </c>
      <c r="E423" s="138"/>
      <c r="F423" s="774">
        <f t="shared" ref="F423:Z423" ca="1" si="136">+SUM(F415:F422)</f>
        <v>-44.054649667055067</v>
      </c>
      <c r="G423" s="774">
        <f t="shared" ca="1" si="136"/>
        <v>-18.008089357335145</v>
      </c>
      <c r="H423" s="774">
        <f t="shared" ca="1" si="136"/>
        <v>-14.847921108366773</v>
      </c>
      <c r="I423" s="774">
        <f t="shared" ca="1" si="136"/>
        <v>35.377399181821502</v>
      </c>
      <c r="J423" s="774">
        <f t="shared" ca="1" si="136"/>
        <v>4.8185637919931592</v>
      </c>
      <c r="K423" s="774">
        <f t="shared" ca="1" si="136"/>
        <v>5.0019499216671353</v>
      </c>
      <c r="L423" s="774">
        <f t="shared" ca="1" si="136"/>
        <v>157.7116518003721</v>
      </c>
      <c r="M423" s="774">
        <f t="shared" ca="1" si="136"/>
        <v>0</v>
      </c>
      <c r="N423" s="774">
        <f t="shared" ca="1" si="136"/>
        <v>0</v>
      </c>
      <c r="O423" s="774">
        <f t="shared" ca="1" si="136"/>
        <v>0</v>
      </c>
      <c r="P423" s="774">
        <f t="shared" ca="1" si="136"/>
        <v>0</v>
      </c>
      <c r="Q423" s="774">
        <f t="shared" ca="1" si="136"/>
        <v>0</v>
      </c>
      <c r="R423" s="774">
        <f t="shared" ca="1" si="136"/>
        <v>0</v>
      </c>
      <c r="S423" s="774">
        <f t="shared" ca="1" si="136"/>
        <v>0</v>
      </c>
      <c r="T423" s="774">
        <f t="shared" ca="1" si="136"/>
        <v>0</v>
      </c>
      <c r="U423" s="774">
        <f t="shared" ca="1" si="136"/>
        <v>0</v>
      </c>
      <c r="V423" s="774">
        <f t="shared" ca="1" si="136"/>
        <v>0</v>
      </c>
      <c r="W423" s="774">
        <f t="shared" ca="1" si="136"/>
        <v>0</v>
      </c>
      <c r="X423" s="774">
        <f t="shared" ca="1" si="136"/>
        <v>0</v>
      </c>
      <c r="Y423" s="774">
        <f t="shared" ca="1" si="136"/>
        <v>0</v>
      </c>
      <c r="Z423" s="774">
        <f t="shared" ca="1" si="136"/>
        <v>0</v>
      </c>
    </row>
    <row r="424" spans="2:26" ht="5" customHeight="1" x14ac:dyDescent="0.2"/>
    <row r="425" spans="2:26" x14ac:dyDescent="0.2">
      <c r="B425" s="188" t="s">
        <v>638</v>
      </c>
      <c r="C425" s="188"/>
      <c r="F425" s="189">
        <f ca="1">+IRR(F423:Z423)</f>
        <v>0.2297167285206847</v>
      </c>
    </row>
    <row r="426" spans="2:26" x14ac:dyDescent="0.2">
      <c r="B426" s="192" t="s">
        <v>639</v>
      </c>
      <c r="C426" s="191"/>
      <c r="F426" s="225">
        <f ca="1">+'Phase III Pro Forma'!D423</f>
        <v>0.29078066901367527</v>
      </c>
    </row>
    <row r="427" spans="2:26" hidden="1" x14ac:dyDescent="0.2">
      <c r="B427" s="793"/>
      <c r="C427" s="793"/>
      <c r="D427" s="793"/>
      <c r="E427" s="793"/>
      <c r="F427" s="793"/>
      <c r="G427" s="793"/>
      <c r="H427" s="793"/>
      <c r="I427" s="793"/>
      <c r="J427" s="793"/>
      <c r="K427" s="793"/>
      <c r="L427" s="793"/>
      <c r="M427" s="793"/>
      <c r="N427" s="793"/>
      <c r="O427" s="793"/>
      <c r="P427" s="793"/>
      <c r="Q427" s="793"/>
      <c r="R427" s="793"/>
      <c r="S427" s="793"/>
      <c r="T427" s="793"/>
      <c r="U427" s="793"/>
      <c r="V427" s="793"/>
      <c r="W427" s="793"/>
      <c r="X427" s="793"/>
      <c r="Y427" s="793"/>
      <c r="Z427" s="793"/>
    </row>
    <row r="428" spans="2:26" hidden="1" x14ac:dyDescent="0.2">
      <c r="B428" s="793" t="s">
        <v>419</v>
      </c>
      <c r="C428" s="793"/>
      <c r="D428" s="793"/>
      <c r="E428" s="793"/>
      <c r="F428" s="789">
        <f ca="1">+'Phase III Pro Forma'!F425</f>
        <v>0</v>
      </c>
      <c r="G428" s="789">
        <f ca="1">+'Phase III Pro Forma'!G425</f>
        <v>0</v>
      </c>
      <c r="H428" s="789">
        <f ca="1">+'Phase III Pro Forma'!H425</f>
        <v>0</v>
      </c>
      <c r="I428" s="789">
        <f ca="1">+'Phase III Pro Forma'!I425</f>
        <v>0</v>
      </c>
      <c r="J428" s="789">
        <f ca="1">+'Phase III Pro Forma'!J425</f>
        <v>0</v>
      </c>
      <c r="K428" s="789">
        <f ca="1">+'Phase III Pro Forma'!K425</f>
        <v>1171072.9658331096</v>
      </c>
      <c r="L428" s="789">
        <f ca="1">+'Phase III Pro Forma'!L425</f>
        <v>478696.04620764311</v>
      </c>
      <c r="M428" s="789">
        <f ca="1">+'Phase III Pro Forma'!M425</f>
        <v>0</v>
      </c>
      <c r="N428" s="789">
        <f ca="1">+'Phase III Pro Forma'!N425</f>
        <v>0</v>
      </c>
      <c r="O428" s="789">
        <f ca="1">+'Phase III Pro Forma'!O425</f>
        <v>0</v>
      </c>
      <c r="P428" s="789">
        <f ca="1">+'Phase III Pro Forma'!P425</f>
        <v>0</v>
      </c>
      <c r="Q428" s="789">
        <f ca="1">+'Phase III Pro Forma'!Q425</f>
        <v>0</v>
      </c>
      <c r="R428" s="789">
        <f ca="1">+'Phase III Pro Forma'!R425</f>
        <v>0</v>
      </c>
      <c r="S428" s="789">
        <f ca="1">+'Phase III Pro Forma'!S425</f>
        <v>0</v>
      </c>
      <c r="T428" s="789">
        <f ca="1">+'Phase III Pro Forma'!T425</f>
        <v>0</v>
      </c>
      <c r="U428" s="789">
        <f ca="1">+'Phase III Pro Forma'!U425</f>
        <v>0</v>
      </c>
      <c r="V428" s="789">
        <f ca="1">+'Phase III Pro Forma'!V425</f>
        <v>0</v>
      </c>
      <c r="W428" s="789">
        <f ca="1">+'Phase III Pro Forma'!W425</f>
        <v>0</v>
      </c>
      <c r="X428" s="789">
        <f ca="1">+'Phase III Pro Forma'!X425</f>
        <v>0</v>
      </c>
      <c r="Y428" s="789">
        <f ca="1">+'Phase III Pro Forma'!Y425</f>
        <v>0</v>
      </c>
      <c r="Z428" s="789">
        <f ca="1">+'Phase III Pro Forma'!Z425</f>
        <v>0</v>
      </c>
    </row>
    <row r="429" spans="2:26" ht="5" customHeight="1" x14ac:dyDescent="0.2"/>
    <row r="430" spans="2:26" x14ac:dyDescent="0.2">
      <c r="B430" s="147" t="s">
        <v>399</v>
      </c>
    </row>
    <row r="431" spans="2:26" x14ac:dyDescent="0.2">
      <c r="B431" s="32" t="s">
        <v>400</v>
      </c>
      <c r="D431" s="47">
        <f ca="1">+SUM(F431:Z431)</f>
        <v>319.84907017239851</v>
      </c>
      <c r="E431" s="47"/>
      <c r="F431" s="48">
        <v>0</v>
      </c>
      <c r="G431" s="48">
        <f ca="1">+F438</f>
        <v>55.765379325386164</v>
      </c>
      <c r="H431" s="48">
        <f t="shared" ref="H431:Z431" ca="1" si="137">+G438</f>
        <v>78.560429144797737</v>
      </c>
      <c r="I431" s="48">
        <f t="shared" ca="1" si="137"/>
        <v>78.560429144797737</v>
      </c>
      <c r="J431" s="48">
        <f t="shared" ca="1" si="137"/>
        <v>39.110944216291522</v>
      </c>
      <c r="K431" s="48">
        <f t="shared" ca="1" si="137"/>
        <v>35.590776638878602</v>
      </c>
      <c r="L431" s="48">
        <f t="shared" ca="1" si="137"/>
        <v>32.261111702246836</v>
      </c>
      <c r="M431" s="48">
        <f t="shared" ca="1" si="137"/>
        <v>0</v>
      </c>
      <c r="N431" s="48">
        <f t="shared" ca="1" si="137"/>
        <v>0</v>
      </c>
      <c r="O431" s="48">
        <f t="shared" ca="1" si="137"/>
        <v>0</v>
      </c>
      <c r="P431" s="48">
        <f t="shared" ca="1" si="137"/>
        <v>0</v>
      </c>
      <c r="Q431" s="48">
        <f t="shared" ca="1" si="137"/>
        <v>0</v>
      </c>
      <c r="R431" s="48">
        <f t="shared" ca="1" si="137"/>
        <v>0</v>
      </c>
      <c r="S431" s="48">
        <f t="shared" ca="1" si="137"/>
        <v>0</v>
      </c>
      <c r="T431" s="48">
        <f t="shared" ca="1" si="137"/>
        <v>0</v>
      </c>
      <c r="U431" s="48">
        <f t="shared" ca="1" si="137"/>
        <v>0</v>
      </c>
      <c r="V431" s="48">
        <f t="shared" ca="1" si="137"/>
        <v>0</v>
      </c>
      <c r="W431" s="48">
        <f t="shared" ca="1" si="137"/>
        <v>0</v>
      </c>
      <c r="X431" s="48">
        <f t="shared" ca="1" si="137"/>
        <v>0</v>
      </c>
      <c r="Y431" s="48">
        <f t="shared" ca="1" si="137"/>
        <v>0</v>
      </c>
      <c r="Z431" s="48">
        <f t="shared" ca="1" si="137"/>
        <v>0</v>
      </c>
    </row>
    <row r="432" spans="2:26" x14ac:dyDescent="0.2">
      <c r="B432" s="32" t="s">
        <v>398</v>
      </c>
      <c r="D432" s="47">
        <f t="shared" ref="D432:D437" ca="1" si="138">+SUM(F432:Z432)</f>
        <v>78.560429144797737</v>
      </c>
      <c r="E432" s="47"/>
      <c r="F432" s="772">
        <f ca="1">+'Phase III Pro Forma'!F429/1000000</f>
        <v>55.765379325386164</v>
      </c>
      <c r="G432" s="772">
        <f ca="1">+'Phase III Pro Forma'!G429/1000000</f>
        <v>22.795049819411577</v>
      </c>
      <c r="H432" s="772">
        <f ca="1">+'Phase III Pro Forma'!H429/1000000</f>
        <v>0</v>
      </c>
      <c r="I432" s="772">
        <f ca="1">+'Phase III Pro Forma'!I429/1000000</f>
        <v>0</v>
      </c>
      <c r="J432" s="772">
        <f ca="1">+'Phase III Pro Forma'!J429/1000000</f>
        <v>0</v>
      </c>
      <c r="K432" s="772">
        <f ca="1">+'Phase III Pro Forma'!K429/1000000</f>
        <v>0</v>
      </c>
      <c r="L432" s="772">
        <f ca="1">+'Phase III Pro Forma'!L429/1000000</f>
        <v>0</v>
      </c>
      <c r="M432" s="772">
        <f ca="1">+'Phase III Pro Forma'!M429/1000000</f>
        <v>0</v>
      </c>
      <c r="N432" s="772">
        <f ca="1">+'Phase III Pro Forma'!N429/1000000</f>
        <v>0</v>
      </c>
      <c r="O432" s="772">
        <f ca="1">+'Phase III Pro Forma'!O429/1000000</f>
        <v>0</v>
      </c>
      <c r="P432" s="772">
        <f ca="1">+'Phase III Pro Forma'!P429/1000000</f>
        <v>0</v>
      </c>
      <c r="Q432" s="772">
        <f ca="1">+'Phase III Pro Forma'!Q429/1000000</f>
        <v>0</v>
      </c>
      <c r="R432" s="772">
        <f ca="1">+'Phase III Pro Forma'!R429/1000000</f>
        <v>0</v>
      </c>
      <c r="S432" s="772">
        <f ca="1">+'Phase III Pro Forma'!S429/1000000</f>
        <v>0</v>
      </c>
      <c r="T432" s="772">
        <f ca="1">+'Phase III Pro Forma'!T429/1000000</f>
        <v>0</v>
      </c>
      <c r="U432" s="772">
        <f ca="1">+'Phase III Pro Forma'!U429/1000000</f>
        <v>0</v>
      </c>
      <c r="V432" s="772">
        <f ca="1">+'Phase III Pro Forma'!V429/1000000</f>
        <v>0</v>
      </c>
      <c r="W432" s="772">
        <f ca="1">+'Phase III Pro Forma'!W429/1000000</f>
        <v>0</v>
      </c>
      <c r="X432" s="772">
        <f ca="1">+'Phase III Pro Forma'!X429/1000000</f>
        <v>0</v>
      </c>
      <c r="Y432" s="772">
        <f ca="1">+'Phase III Pro Forma'!Y429/1000000</f>
        <v>0</v>
      </c>
      <c r="Z432" s="772">
        <f ca="1">+'Phase III Pro Forma'!Z429/1000000</f>
        <v>0</v>
      </c>
    </row>
    <row r="433" spans="2:26" x14ac:dyDescent="0.2">
      <c r="B433" s="32" t="s">
        <v>637</v>
      </c>
      <c r="D433" s="47">
        <f t="shared" ca="1" si="138"/>
        <v>22.40489350803114</v>
      </c>
      <c r="E433" s="47"/>
      <c r="F433" s="772">
        <f ca="1">+'Phase III Pro Forma'!F430/1000000</f>
        <v>0</v>
      </c>
      <c r="G433" s="772">
        <f ca="1">+'Phase III Pro Forma'!G430/1000000</f>
        <v>0</v>
      </c>
      <c r="H433" s="772">
        <f ca="1">+'Phase III Pro Forma'!H430/1000000</f>
        <v>0</v>
      </c>
      <c r="I433" s="772">
        <f ca="1">+'Phase III Pro Forma'!I430/1000000</f>
        <v>-5.154538919854045</v>
      </c>
      <c r="J433" s="772">
        <f ca="1">+'Phase III Pro Forma'!J430/1000000</f>
        <v>8.0945169477083692</v>
      </c>
      <c r="K433" s="772">
        <f ca="1">+'Phase III Pro Forma'!K430/1000000</f>
        <v>8.5677938723348639</v>
      </c>
      <c r="L433" s="772">
        <f ca="1">+'Phase III Pro Forma'!L430/1000000</f>
        <v>10.897121607841946</v>
      </c>
      <c r="M433" s="772">
        <f>+'Phase III Pro Forma'!M430/1000000</f>
        <v>0</v>
      </c>
      <c r="N433" s="772">
        <f>+'Phase III Pro Forma'!N430/1000000</f>
        <v>0</v>
      </c>
      <c r="O433" s="772">
        <f>+'Phase III Pro Forma'!O430/1000000</f>
        <v>0</v>
      </c>
      <c r="P433" s="772">
        <f>+'Phase III Pro Forma'!P430/1000000</f>
        <v>0</v>
      </c>
      <c r="Q433" s="772">
        <f>+'Phase III Pro Forma'!Q430/1000000</f>
        <v>0</v>
      </c>
      <c r="R433" s="772">
        <f>+'Phase III Pro Forma'!R430/1000000</f>
        <v>0</v>
      </c>
      <c r="S433" s="772">
        <f>+'Phase III Pro Forma'!S430/1000000</f>
        <v>0</v>
      </c>
      <c r="T433" s="772">
        <f>+'Phase III Pro Forma'!T430/1000000</f>
        <v>0</v>
      </c>
      <c r="U433" s="772">
        <f>+'Phase III Pro Forma'!U430/1000000</f>
        <v>0</v>
      </c>
      <c r="V433" s="772">
        <f>+'Phase III Pro Forma'!V430/1000000</f>
        <v>0</v>
      </c>
      <c r="W433" s="772">
        <f>+'Phase III Pro Forma'!W430/1000000</f>
        <v>0</v>
      </c>
      <c r="X433" s="772">
        <f>+'Phase III Pro Forma'!X430/1000000</f>
        <v>0</v>
      </c>
      <c r="Y433" s="772">
        <f>+'Phase III Pro Forma'!Y430/1000000</f>
        <v>0</v>
      </c>
      <c r="Z433" s="772">
        <f>+'Phase III Pro Forma'!Z430/1000000</f>
        <v>0</v>
      </c>
    </row>
    <row r="434" spans="2:26" x14ac:dyDescent="0.2">
      <c r="B434" s="32" t="s">
        <v>410</v>
      </c>
      <c r="D434" s="47">
        <f t="shared" ca="1" si="138"/>
        <v>-19.35293230674408</v>
      </c>
      <c r="E434" s="47"/>
      <c r="F434" s="772">
        <f>+'Phase III Pro Forma'!F431/1000000</f>
        <v>0</v>
      </c>
      <c r="G434" s="772">
        <f>+'Phase III Pro Forma'!G431/1000000</f>
        <v>0</v>
      </c>
      <c r="H434" s="772">
        <f>+'Phase III Pro Forma'!H431/1000000</f>
        <v>0</v>
      </c>
      <c r="I434" s="772">
        <f>+'Phase III Pro Forma'!I431/1000000</f>
        <v>0</v>
      </c>
      <c r="J434" s="772">
        <f ca="1">+'Phase III Pro Forma'!J431/1000000</f>
        <v>-6.4509774355813594</v>
      </c>
      <c r="K434" s="772">
        <f ca="1">+'Phase III Pro Forma'!K431/1000000</f>
        <v>-6.4509774355813594</v>
      </c>
      <c r="L434" s="772">
        <f ca="1">+'Phase III Pro Forma'!L431/1000000</f>
        <v>-6.4509774355813594</v>
      </c>
      <c r="M434" s="772">
        <f>+'Phase III Pro Forma'!M431/1000000</f>
        <v>0</v>
      </c>
      <c r="N434" s="772">
        <f>+'Phase III Pro Forma'!N431/1000000</f>
        <v>0</v>
      </c>
      <c r="O434" s="772">
        <f>+'Phase III Pro Forma'!O431/1000000</f>
        <v>0</v>
      </c>
      <c r="P434" s="772">
        <f>+'Phase III Pro Forma'!P431/1000000</f>
        <v>0</v>
      </c>
      <c r="Q434" s="772">
        <f>+'Phase III Pro Forma'!Q431/1000000</f>
        <v>0</v>
      </c>
      <c r="R434" s="772">
        <f>+'Phase III Pro Forma'!R431/1000000</f>
        <v>0</v>
      </c>
      <c r="S434" s="772">
        <f>+'Phase III Pro Forma'!S431/1000000</f>
        <v>0</v>
      </c>
      <c r="T434" s="772">
        <f>+'Phase III Pro Forma'!T431/1000000</f>
        <v>0</v>
      </c>
      <c r="U434" s="772">
        <f>+'Phase III Pro Forma'!U431/1000000</f>
        <v>0</v>
      </c>
      <c r="V434" s="772">
        <f>+'Phase III Pro Forma'!V431/1000000</f>
        <v>0</v>
      </c>
      <c r="W434" s="772">
        <f>+'Phase III Pro Forma'!W431/1000000</f>
        <v>0</v>
      </c>
      <c r="X434" s="772">
        <f>+'Phase III Pro Forma'!X431/1000000</f>
        <v>0</v>
      </c>
      <c r="Y434" s="772">
        <f>+'Phase III Pro Forma'!Y431/1000000</f>
        <v>0</v>
      </c>
      <c r="Z434" s="772">
        <f>+'Phase III Pro Forma'!Z431/1000000</f>
        <v>0</v>
      </c>
    </row>
    <row r="435" spans="2:26" x14ac:dyDescent="0.2">
      <c r="B435" s="32" t="s">
        <v>643</v>
      </c>
      <c r="D435" s="47">
        <f t="shared" ca="1" si="138"/>
        <v>-8.1402035235951651</v>
      </c>
      <c r="E435" s="47"/>
      <c r="F435" s="772">
        <f ca="1">+'Phase III Pro Forma'!F432/1000000</f>
        <v>0</v>
      </c>
      <c r="G435" s="772">
        <f ca="1">+'Phase III Pro Forma'!G432/1000000</f>
        <v>0</v>
      </c>
      <c r="H435" s="772">
        <f ca="1">+'Phase III Pro Forma'!H432/1000000</f>
        <v>0</v>
      </c>
      <c r="I435" s="772">
        <f ca="1">+'Phase III Pro Forma'!I432/1000000</f>
        <v>10.042908735790785</v>
      </c>
      <c r="J435" s="772">
        <f ca="1">+'Phase III Pro Forma'!J432/1000000</f>
        <v>-5.1637070895398312</v>
      </c>
      <c r="K435" s="772">
        <f ca="1">+'Phase III Pro Forma'!K432/1000000</f>
        <v>-5.4464813733853701</v>
      </c>
      <c r="L435" s="772">
        <f ca="1">+'Phase III Pro Forma'!L432/1000000</f>
        <v>-7.5729237964607403</v>
      </c>
      <c r="M435" s="772">
        <f>+'Phase III Pro Forma'!M432/1000000</f>
        <v>0</v>
      </c>
      <c r="N435" s="772">
        <f>+'Phase III Pro Forma'!N432/1000000</f>
        <v>0</v>
      </c>
      <c r="O435" s="772">
        <f>+'Phase III Pro Forma'!O432/1000000</f>
        <v>0</v>
      </c>
      <c r="P435" s="772">
        <f>+'Phase III Pro Forma'!P432/1000000</f>
        <v>0</v>
      </c>
      <c r="Q435" s="772">
        <f>+'Phase III Pro Forma'!Q432/1000000</f>
        <v>0</v>
      </c>
      <c r="R435" s="772">
        <f>+'Phase III Pro Forma'!R432/1000000</f>
        <v>0</v>
      </c>
      <c r="S435" s="772">
        <f>+'Phase III Pro Forma'!S432/1000000</f>
        <v>0</v>
      </c>
      <c r="T435" s="772">
        <f>+'Phase III Pro Forma'!T432/1000000</f>
        <v>0</v>
      </c>
      <c r="U435" s="772">
        <f>+'Phase III Pro Forma'!U432/1000000</f>
        <v>0</v>
      </c>
      <c r="V435" s="772">
        <f>+'Phase III Pro Forma'!V432/1000000</f>
        <v>0</v>
      </c>
      <c r="W435" s="772">
        <f>+'Phase III Pro Forma'!W432/1000000</f>
        <v>0</v>
      </c>
      <c r="X435" s="772">
        <f>+'Phase III Pro Forma'!X432/1000000</f>
        <v>0</v>
      </c>
      <c r="Y435" s="772">
        <f>+'Phase III Pro Forma'!Y432/1000000</f>
        <v>0</v>
      </c>
      <c r="Z435" s="772">
        <f>+'Phase III Pro Forma'!Z432/1000000</f>
        <v>0</v>
      </c>
    </row>
    <row r="436" spans="2:26" x14ac:dyDescent="0.2">
      <c r="B436" s="32" t="s">
        <v>640</v>
      </c>
      <c r="D436" s="47">
        <f t="shared" ca="1" si="138"/>
        <v>-227.82419467317243</v>
      </c>
      <c r="E436" s="47"/>
      <c r="F436" s="772">
        <f>+'Phase III Pro Forma'!F433/1000000</f>
        <v>0</v>
      </c>
      <c r="G436" s="772">
        <f>+'Phase III Pro Forma'!G433/1000000</f>
        <v>0</v>
      </c>
      <c r="H436" s="772">
        <f>+'Phase III Pro Forma'!H433/1000000</f>
        <v>0</v>
      </c>
      <c r="I436" s="772">
        <f ca="1">+'Phase III Pro Forma'!I433/1000000</f>
        <v>-44.337854744443057</v>
      </c>
      <c r="J436" s="772">
        <f>+'Phase III Pro Forma'!J433/1000000</f>
        <v>0</v>
      </c>
      <c r="K436" s="772">
        <f>+'Phase III Pro Forma'!K433/1000000</f>
        <v>0</v>
      </c>
      <c r="L436" s="772">
        <f ca="1">+'Phase III Pro Forma'!L433/1000000</f>
        <v>-183.48633992872956</v>
      </c>
      <c r="M436" s="772">
        <f>+'Phase III Pro Forma'!M433/1000000</f>
        <v>0</v>
      </c>
      <c r="N436" s="772">
        <f>+'Phase III Pro Forma'!N433/1000000</f>
        <v>0</v>
      </c>
      <c r="O436" s="772">
        <f>+'Phase III Pro Forma'!O433/1000000</f>
        <v>0</v>
      </c>
      <c r="P436" s="772">
        <f>+'Phase III Pro Forma'!P433/1000000</f>
        <v>0</v>
      </c>
      <c r="Q436" s="772">
        <f>+'Phase III Pro Forma'!Q433/1000000</f>
        <v>0</v>
      </c>
      <c r="R436" s="772">
        <f>+'Phase III Pro Forma'!R433/1000000</f>
        <v>0</v>
      </c>
      <c r="S436" s="772">
        <f>+'Phase III Pro Forma'!S433/1000000</f>
        <v>0</v>
      </c>
      <c r="T436" s="772">
        <f>+'Phase III Pro Forma'!T433/1000000</f>
        <v>0</v>
      </c>
      <c r="U436" s="772">
        <f>+'Phase III Pro Forma'!U433/1000000</f>
        <v>0</v>
      </c>
      <c r="V436" s="772">
        <f>+'Phase III Pro Forma'!V433/1000000</f>
        <v>0</v>
      </c>
      <c r="W436" s="772">
        <f>+'Phase III Pro Forma'!W433/1000000</f>
        <v>0</v>
      </c>
      <c r="X436" s="772">
        <f>+'Phase III Pro Forma'!X433/1000000</f>
        <v>0</v>
      </c>
      <c r="Y436" s="772">
        <f>+'Phase III Pro Forma'!Y433/1000000</f>
        <v>0</v>
      </c>
      <c r="Z436" s="772">
        <f>+'Phase III Pro Forma'!Z433/1000000</f>
        <v>0</v>
      </c>
    </row>
    <row r="437" spans="2:26" x14ac:dyDescent="0.2">
      <c r="B437" s="32" t="s">
        <v>414</v>
      </c>
      <c r="D437" s="47">
        <f t="shared" ca="1" si="138"/>
        <v>154.3520078506829</v>
      </c>
      <c r="E437" s="47"/>
      <c r="F437" s="772">
        <f>+'Phase III Pro Forma'!F434/1000000</f>
        <v>0</v>
      </c>
      <c r="G437" s="772">
        <f>+'Phase III Pro Forma'!G434/1000000</f>
        <v>0</v>
      </c>
      <c r="H437" s="772">
        <f>+'Phase III Pro Forma'!H434/1000000</f>
        <v>0</v>
      </c>
      <c r="I437" s="772">
        <f>+'Phase III Pro Forma'!I434/1000000</f>
        <v>0</v>
      </c>
      <c r="J437" s="772">
        <f>+'Phase III Pro Forma'!J434/1000000</f>
        <v>0</v>
      </c>
      <c r="K437" s="772">
        <f>+'Phase III Pro Forma'!K434/1000000</f>
        <v>0</v>
      </c>
      <c r="L437" s="772">
        <f ca="1">+'Phase III Pro Forma'!L434/1000000</f>
        <v>154.35200785068287</v>
      </c>
      <c r="M437" s="772">
        <f>+'Phase III Pro Forma'!M434/1000000</f>
        <v>0</v>
      </c>
      <c r="N437" s="772">
        <f>+'Phase III Pro Forma'!N434/1000000</f>
        <v>0</v>
      </c>
      <c r="O437" s="772">
        <f>+'Phase III Pro Forma'!O434/1000000</f>
        <v>0</v>
      </c>
      <c r="P437" s="772">
        <f>+'Phase III Pro Forma'!P434/1000000</f>
        <v>0</v>
      </c>
      <c r="Q437" s="772">
        <f>+'Phase III Pro Forma'!Q434/1000000</f>
        <v>0</v>
      </c>
      <c r="R437" s="772">
        <f>+'Phase III Pro Forma'!R434/1000000</f>
        <v>0</v>
      </c>
      <c r="S437" s="772">
        <f>+'Phase III Pro Forma'!S434/1000000</f>
        <v>0</v>
      </c>
      <c r="T437" s="772">
        <f>+'Phase III Pro Forma'!T434/1000000</f>
        <v>0</v>
      </c>
      <c r="U437" s="772">
        <f>+'Phase III Pro Forma'!U434/1000000</f>
        <v>0</v>
      </c>
      <c r="V437" s="772">
        <f>+'Phase III Pro Forma'!V434/1000000</f>
        <v>0</v>
      </c>
      <c r="W437" s="772">
        <f>+'Phase III Pro Forma'!W434/1000000</f>
        <v>0</v>
      </c>
      <c r="X437" s="772">
        <f>+'Phase III Pro Forma'!X434/1000000</f>
        <v>0</v>
      </c>
      <c r="Y437" s="772">
        <f>+'Phase III Pro Forma'!Y434/1000000</f>
        <v>0</v>
      </c>
      <c r="Z437" s="772">
        <f>+'Phase III Pro Forma'!Z434/1000000</f>
        <v>0</v>
      </c>
    </row>
    <row r="438" spans="2:26" x14ac:dyDescent="0.2">
      <c r="B438" s="136" t="s">
        <v>402</v>
      </c>
      <c r="C438" s="136"/>
      <c r="D438" s="35">
        <f t="shared" ref="D438" ca="1" si="139">+SUM(F438:Z438)</f>
        <v>319.84907017239868</v>
      </c>
      <c r="E438" s="128"/>
      <c r="F438" s="773">
        <f ca="1">+SUM(F431:F437)</f>
        <v>55.765379325386164</v>
      </c>
      <c r="G438" s="773">
        <f t="shared" ref="G438:Z438" ca="1" si="140">+SUM(G431:G437)</f>
        <v>78.560429144797737</v>
      </c>
      <c r="H438" s="773">
        <f t="shared" ca="1" si="140"/>
        <v>78.560429144797737</v>
      </c>
      <c r="I438" s="773">
        <f t="shared" ca="1" si="140"/>
        <v>39.110944216291422</v>
      </c>
      <c r="J438" s="773">
        <f t="shared" ca="1" si="140"/>
        <v>35.590776638878701</v>
      </c>
      <c r="K438" s="773">
        <f t="shared" ca="1" si="140"/>
        <v>32.261111702246744</v>
      </c>
      <c r="L438" s="773">
        <f t="shared" ca="1" si="140"/>
        <v>0</v>
      </c>
      <c r="M438" s="773">
        <f t="shared" ca="1" si="140"/>
        <v>0</v>
      </c>
      <c r="N438" s="773">
        <f t="shared" ca="1" si="140"/>
        <v>0</v>
      </c>
      <c r="O438" s="773">
        <f t="shared" ca="1" si="140"/>
        <v>0</v>
      </c>
      <c r="P438" s="773">
        <f t="shared" ca="1" si="140"/>
        <v>0</v>
      </c>
      <c r="Q438" s="773">
        <f t="shared" ca="1" si="140"/>
        <v>0</v>
      </c>
      <c r="R438" s="773">
        <f t="shared" ca="1" si="140"/>
        <v>0</v>
      </c>
      <c r="S438" s="773">
        <f t="shared" ca="1" si="140"/>
        <v>0</v>
      </c>
      <c r="T438" s="773">
        <f t="shared" ca="1" si="140"/>
        <v>0</v>
      </c>
      <c r="U438" s="773">
        <f t="shared" ca="1" si="140"/>
        <v>0</v>
      </c>
      <c r="V438" s="773">
        <f t="shared" ca="1" si="140"/>
        <v>0</v>
      </c>
      <c r="W438" s="773">
        <f t="shared" ca="1" si="140"/>
        <v>0</v>
      </c>
      <c r="X438" s="773">
        <f t="shared" ca="1" si="140"/>
        <v>0</v>
      </c>
      <c r="Y438" s="773">
        <f t="shared" ca="1" si="140"/>
        <v>0</v>
      </c>
      <c r="Z438" s="773">
        <f t="shared" ca="1" si="140"/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B1:Z58"/>
  <sheetViews>
    <sheetView showGridLines="0" topLeftCell="A11" zoomScale="55" zoomScaleNormal="55" workbookViewId="0">
      <selection activeCell="A37" sqref="A37"/>
    </sheetView>
  </sheetViews>
  <sheetFormatPr baseColWidth="10" defaultColWidth="14.5" defaultRowHeight="16" x14ac:dyDescent="0.2"/>
  <cols>
    <col min="1" max="1" width="8.5" style="40" customWidth="1"/>
    <col min="2" max="3" width="14.5" style="40"/>
    <col min="4" max="4" width="16.5" style="40" bestFit="1" customWidth="1"/>
    <col min="5" max="5" width="14.5" style="40"/>
    <col min="6" max="8" width="17.5" style="40" bestFit="1" customWidth="1"/>
    <col min="9" max="9" width="15.5" style="40" bestFit="1" customWidth="1"/>
    <col min="10" max="10" width="17.5" style="40" bestFit="1" customWidth="1"/>
    <col min="11" max="11" width="16.33203125" style="40" bestFit="1" customWidth="1"/>
    <col min="12" max="12" width="15.5" style="40" bestFit="1" customWidth="1"/>
    <col min="13" max="16" width="17.5" style="40" bestFit="1" customWidth="1"/>
    <col min="17" max="17" width="18.6640625" style="40" bestFit="1" customWidth="1"/>
    <col min="18" max="26" width="14.6640625" style="40" bestFit="1" customWidth="1"/>
    <col min="27" max="16384" width="14.5" style="40"/>
  </cols>
  <sheetData>
    <row r="1" spans="2:26" ht="51.75" customHeight="1" x14ac:dyDescent="0.2">
      <c r="F1" s="145">
        <f>+YEAR(F2)</f>
        <v>2020</v>
      </c>
      <c r="G1" s="145">
        <f t="shared" ref="G1:Z1" si="0">+YEAR(G2)</f>
        <v>2021</v>
      </c>
      <c r="H1" s="145">
        <f t="shared" si="0"/>
        <v>2022</v>
      </c>
      <c r="I1" s="145">
        <f t="shared" si="0"/>
        <v>2023</v>
      </c>
      <c r="J1" s="145">
        <f t="shared" si="0"/>
        <v>2024</v>
      </c>
      <c r="K1" s="145">
        <f t="shared" si="0"/>
        <v>2025</v>
      </c>
      <c r="L1" s="145">
        <f t="shared" si="0"/>
        <v>2026</v>
      </c>
      <c r="M1" s="145">
        <f t="shared" si="0"/>
        <v>2027</v>
      </c>
      <c r="N1" s="145">
        <f t="shared" si="0"/>
        <v>2028</v>
      </c>
      <c r="O1" s="145">
        <f t="shared" si="0"/>
        <v>2029</v>
      </c>
      <c r="P1" s="145">
        <f t="shared" si="0"/>
        <v>2030</v>
      </c>
      <c r="Q1" s="145">
        <f t="shared" si="0"/>
        <v>2031</v>
      </c>
      <c r="R1" s="145">
        <f t="shared" si="0"/>
        <v>2032</v>
      </c>
      <c r="S1" s="145">
        <f t="shared" si="0"/>
        <v>2033</v>
      </c>
      <c r="T1" s="145">
        <f t="shared" si="0"/>
        <v>2034</v>
      </c>
      <c r="U1" s="145">
        <f t="shared" si="0"/>
        <v>2035</v>
      </c>
      <c r="V1" s="145">
        <f t="shared" si="0"/>
        <v>2036</v>
      </c>
      <c r="W1" s="145">
        <f t="shared" si="0"/>
        <v>2037</v>
      </c>
      <c r="X1" s="145">
        <f t="shared" si="0"/>
        <v>2038</v>
      </c>
      <c r="Y1" s="145">
        <f t="shared" si="0"/>
        <v>2039</v>
      </c>
      <c r="Z1" s="145">
        <f t="shared" si="0"/>
        <v>2040</v>
      </c>
    </row>
    <row r="2" spans="2:26" x14ac:dyDescent="0.2">
      <c r="B2" s="147" t="s">
        <v>394</v>
      </c>
      <c r="F2" s="149">
        <f>+'Assumptions and Sensis'!$E$43</f>
        <v>44196</v>
      </c>
      <c r="G2" s="149">
        <f>+EOMONTH(F2,12)</f>
        <v>44561</v>
      </c>
      <c r="H2" s="149">
        <f t="shared" ref="H2:Z2" si="1">+EOMONTH(G2,12)</f>
        <v>44926</v>
      </c>
      <c r="I2" s="149">
        <f t="shared" si="1"/>
        <v>45291</v>
      </c>
      <c r="J2" s="149">
        <f t="shared" si="1"/>
        <v>45657</v>
      </c>
      <c r="K2" s="149">
        <f t="shared" si="1"/>
        <v>46022</v>
      </c>
      <c r="L2" s="149">
        <f t="shared" si="1"/>
        <v>46387</v>
      </c>
      <c r="M2" s="149">
        <f t="shared" si="1"/>
        <v>46752</v>
      </c>
      <c r="N2" s="149">
        <f t="shared" si="1"/>
        <v>47118</v>
      </c>
      <c r="O2" s="149">
        <f t="shared" si="1"/>
        <v>47483</v>
      </c>
      <c r="P2" s="149">
        <f t="shared" si="1"/>
        <v>47848</v>
      </c>
      <c r="Q2" s="149">
        <f t="shared" si="1"/>
        <v>48213</v>
      </c>
      <c r="R2" s="149">
        <f t="shared" si="1"/>
        <v>48579</v>
      </c>
      <c r="S2" s="149">
        <f t="shared" si="1"/>
        <v>48944</v>
      </c>
      <c r="T2" s="149">
        <f t="shared" si="1"/>
        <v>49309</v>
      </c>
      <c r="U2" s="149">
        <f t="shared" si="1"/>
        <v>49674</v>
      </c>
      <c r="V2" s="149">
        <f t="shared" si="1"/>
        <v>50040</v>
      </c>
      <c r="W2" s="149">
        <f t="shared" si="1"/>
        <v>50405</v>
      </c>
      <c r="X2" s="149">
        <f t="shared" si="1"/>
        <v>50770</v>
      </c>
      <c r="Y2" s="149">
        <f t="shared" si="1"/>
        <v>51135</v>
      </c>
      <c r="Z2" s="149">
        <f t="shared" si="1"/>
        <v>51501</v>
      </c>
    </row>
    <row r="3" spans="2:26" x14ac:dyDescent="0.2">
      <c r="B3" s="32" t="s">
        <v>21</v>
      </c>
      <c r="D3" s="47">
        <f ca="1">+SUM(F3:Z3)</f>
        <v>222031402.10112563</v>
      </c>
      <c r="F3" s="33">
        <f ca="1">+IFERROR(INDEX('Phase I Pro Forma'!$F$309:$Z$309,1,MATCH('Cash Flow Roll-up'!F$2,'Phase I Pro Forma'!$F$284:$Z$284,0)),0)</f>
        <v>-51505114.619219258</v>
      </c>
      <c r="G3" s="33">
        <f ca="1">+IFERROR(INDEX('Phase I Pro Forma'!$F$309:$Z$309,1,MATCH('Cash Flow Roll-up'!G$2,'Phase I Pro Forma'!$F$284:$Z$284,0)),0)</f>
        <v>-12660104.707049951</v>
      </c>
      <c r="H3" s="33">
        <f ca="1">+IFERROR(INDEX('Phase I Pro Forma'!$F$309:$Z$309,1,MATCH('Cash Flow Roll-up'!H$2,'Phase I Pro Forma'!$F$284:$Z$284,0)),0)</f>
        <v>0</v>
      </c>
      <c r="I3" s="33">
        <f ca="1">+IFERROR(INDEX('Phase I Pro Forma'!$F$309:$Z$309,1,MATCH('Cash Flow Roll-up'!I$2,'Phase I Pro Forma'!$F$284:$Z$284,0)),0)</f>
        <v>24891988.041406084</v>
      </c>
      <c r="J3" s="33">
        <f ca="1">+IFERROR(INDEX('Phase I Pro Forma'!$F$309:$Z$309,1,MATCH('Cash Flow Roll-up'!J$2,'Phase I Pro Forma'!$F$284:$Z$284,0)),0)</f>
        <v>5278132.2857078519</v>
      </c>
      <c r="K3" s="33">
        <f ca="1">+IFERROR(INDEX('Phase I Pro Forma'!$F$309:$Z$309,1,MATCH('Cash Flow Roll-up'!K$2,'Phase I Pro Forma'!$F$284:$Z$284,0)),0)</f>
        <v>5896598.6043395866</v>
      </c>
      <c r="L3" s="33">
        <f ca="1">+IFERROR(INDEX('Phase I Pro Forma'!$F$309:$Z$309,1,MATCH('Cash Flow Roll-up'!L$2,'Phase I Pro Forma'!$F$284:$Z$284,0)),0)</f>
        <v>7678126.75579214</v>
      </c>
      <c r="M3" s="33">
        <f ca="1">+IFERROR(INDEX('Phase I Pro Forma'!$F$309:$Z$309,1,MATCH('Cash Flow Roll-up'!M$2,'Phase I Pro Forma'!$F$284:$Z$284,0)),0)</f>
        <v>8004752.9827835169</v>
      </c>
      <c r="N3" s="33">
        <f ca="1">+IFERROR(INDEX('Phase I Pro Forma'!$F$309:$Z$309,1,MATCH('Cash Flow Roll-up'!N$2,'Phase I Pro Forma'!$F$284:$Z$284,0)),0)</f>
        <v>8449315.2071530111</v>
      </c>
      <c r="O3" s="33">
        <f ca="1">+IFERROR(INDEX('Phase I Pro Forma'!$F$309:$Z$309,1,MATCH('Cash Flow Roll-up'!O$2,'Phase I Pro Forma'!$F$284:$Z$284,0)),0)</f>
        <v>8905274.030542098</v>
      </c>
      <c r="P3" s="33">
        <f ca="1">+IFERROR(INDEX('Phase I Pro Forma'!$F$309:$Z$309,1,MATCH('Cash Flow Roll-up'!P$2,'Phase I Pro Forma'!$F$284:$Z$284,0)),0)</f>
        <v>217092433.51967055</v>
      </c>
      <c r="Q3" s="33">
        <f ca="1">+IFERROR(INDEX('Phase I Pro Forma'!$F$309:$Z$309,1,MATCH('Cash Flow Roll-up'!Q$2,'Phase I Pro Forma'!$F$284:$Z$284,0)),0)</f>
        <v>0</v>
      </c>
      <c r="R3" s="33">
        <f ca="1">+IFERROR(INDEX('Phase I Pro Forma'!$F$309:$Z$309,1,MATCH('Cash Flow Roll-up'!R$2,'Phase I Pro Forma'!$F$284:$Z$284,0)),0)</f>
        <v>0</v>
      </c>
      <c r="S3" s="33">
        <f ca="1">+IFERROR(INDEX('Phase I Pro Forma'!$F$309:$Z$309,1,MATCH('Cash Flow Roll-up'!S$2,'Phase I Pro Forma'!$F$284:$Z$284,0)),0)</f>
        <v>0</v>
      </c>
      <c r="T3" s="33">
        <f ca="1">+IFERROR(INDEX('Phase I Pro Forma'!$F$309:$Z$309,1,MATCH('Cash Flow Roll-up'!T$2,'Phase I Pro Forma'!$F$284:$Z$284,0)),0)</f>
        <v>0</v>
      </c>
      <c r="U3" s="33">
        <f ca="1">+IFERROR(INDEX('Phase I Pro Forma'!$F$309:$Z$309,1,MATCH('Cash Flow Roll-up'!U$2,'Phase I Pro Forma'!$F$284:$Z$284,0)),0)</f>
        <v>0</v>
      </c>
      <c r="V3" s="33">
        <f ca="1">+IFERROR(INDEX('Phase I Pro Forma'!$F$309:$Z$309,1,MATCH('Cash Flow Roll-up'!V$2,'Phase I Pro Forma'!$F$284:$Z$284,0)),0)</f>
        <v>0</v>
      </c>
      <c r="W3" s="33">
        <f ca="1">+IFERROR(INDEX('Phase I Pro Forma'!$F$309:$Z$309,1,MATCH('Cash Flow Roll-up'!W$2,'Phase I Pro Forma'!$F$284:$Z$284,0)),0)</f>
        <v>0</v>
      </c>
      <c r="X3" s="33">
        <f ca="1">+IFERROR(INDEX('Phase I Pro Forma'!$F$309:$Z$309,1,MATCH('Cash Flow Roll-up'!X$2,'Phase I Pro Forma'!$F$284:$Z$284,0)),0)</f>
        <v>0</v>
      </c>
      <c r="Y3" s="33">
        <f ca="1">+IFERROR(INDEX('Phase I Pro Forma'!$F$309:$Z$309,1,MATCH('Cash Flow Roll-up'!Y$2,'Phase I Pro Forma'!$F$284:$Z$284,0)),0)</f>
        <v>0</v>
      </c>
      <c r="Z3" s="33">
        <f ca="1">+IFERROR(INDEX('Phase I Pro Forma'!$F$309:$Z$309,1,MATCH('Cash Flow Roll-up'!Z$2,'Phase I Pro Forma'!$F$284:$Z$284,0)),0)</f>
        <v>0</v>
      </c>
    </row>
    <row r="4" spans="2:26" x14ac:dyDescent="0.2">
      <c r="B4" s="32" t="s">
        <v>375</v>
      </c>
      <c r="D4" s="24">
        <f ca="1">+SUM(F4:Z4)</f>
        <v>112663581.9348354</v>
      </c>
      <c r="F4" s="150">
        <f>+IFERROR(INDEX('Phase II Pro Forma'!$F$309:$Z$309,1,MATCH('Cash Flow Roll-up'!F$2,'Phase II Pro Forma'!$F$284:$Z$284,0)),0)</f>
        <v>0</v>
      </c>
      <c r="G4" s="150">
        <f>+IFERROR(INDEX('Phase II Pro Forma'!$F$309:$Z$309,1,MATCH('Cash Flow Roll-up'!G$2,'Phase II Pro Forma'!$F$284:$Z$284,0)),0)</f>
        <v>0</v>
      </c>
      <c r="H4" s="150">
        <f ca="1">+IFERROR(INDEX('Phase II Pro Forma'!$F$309:$Z$309,1,MATCH('Cash Flow Roll-up'!H$2,'Phase II Pro Forma'!$F$284:$Z$284,0)),0)</f>
        <v>-18873780.060831025</v>
      </c>
      <c r="I4" s="150">
        <f ca="1">+IFERROR(INDEX('Phase II Pro Forma'!$F$309:$Z$309,1,MATCH('Cash Flow Roll-up'!I$2,'Phase II Pro Forma'!$F$284:$Z$284,0)),0)</f>
        <v>-17409907.78914772</v>
      </c>
      <c r="J4" s="150">
        <f ca="1">+IFERROR(INDEX('Phase II Pro Forma'!$F$309:$Z$309,1,MATCH('Cash Flow Roll-up'!J$2,'Phase II Pro Forma'!$F$284:$Z$284,0)),0)</f>
        <v>0</v>
      </c>
      <c r="K4" s="150">
        <f ca="1">+IFERROR(INDEX('Phase II Pro Forma'!$F$309:$Z$309,1,MATCH('Cash Flow Roll-up'!K$2,'Phase II Pro Forma'!$F$284:$Z$284,0)),0)</f>
        <v>18901765.613567784</v>
      </c>
      <c r="L4" s="150">
        <f ca="1">+IFERROR(INDEX('Phase II Pro Forma'!$F$309:$Z$309,1,MATCH('Cash Flow Roll-up'!L$2,'Phase II Pro Forma'!$F$284:$Z$284,0)),0)</f>
        <v>3047194.9531564014</v>
      </c>
      <c r="M4" s="150">
        <f ca="1">+IFERROR(INDEX('Phase II Pro Forma'!$F$309:$Z$309,1,MATCH('Cash Flow Roll-up'!M$2,'Phase II Pro Forma'!$F$284:$Z$284,0)),0)</f>
        <v>3480773.6680041822</v>
      </c>
      <c r="N4" s="150">
        <f ca="1">+IFERROR(INDEX('Phase II Pro Forma'!$F$309:$Z$309,1,MATCH('Cash Flow Roll-up'!N$2,'Phase II Pro Forma'!$F$284:$Z$284,0)),0)</f>
        <v>4385732.7590233833</v>
      </c>
      <c r="O4" s="150">
        <f ca="1">+IFERROR(INDEX('Phase II Pro Forma'!$F$309:$Z$309,1,MATCH('Cash Flow Roll-up'!O$2,'Phase II Pro Forma'!$F$284:$Z$284,0)),0)</f>
        <v>4624966.840634143</v>
      </c>
      <c r="P4" s="150">
        <f ca="1">+IFERROR(INDEX('Phase II Pro Forma'!$F$309:$Z$309,1,MATCH('Cash Flow Roll-up'!P$2,'Phase II Pro Forma'!$F$284:$Z$284,0)),0)</f>
        <v>114506835.95042831</v>
      </c>
      <c r="Q4" s="150">
        <f ca="1">+IFERROR(INDEX('Phase II Pro Forma'!$F$309:$Z$309,1,MATCH('Cash Flow Roll-up'!Q$2,'Phase II Pro Forma'!$F$284:$Z$284,0)),0)</f>
        <v>0</v>
      </c>
      <c r="R4" s="150">
        <f ca="1">+IFERROR(INDEX('Phase II Pro Forma'!$F$309:$Z$309,1,MATCH('Cash Flow Roll-up'!R$2,'Phase II Pro Forma'!$F$284:$Z$284,0)),0)</f>
        <v>0</v>
      </c>
      <c r="S4" s="150">
        <f ca="1">+IFERROR(INDEX('Phase II Pro Forma'!$F$309:$Z$309,1,MATCH('Cash Flow Roll-up'!S$2,'Phase II Pro Forma'!$F$284:$Z$284,0)),0)</f>
        <v>0</v>
      </c>
      <c r="T4" s="150">
        <f ca="1">+IFERROR(INDEX('Phase II Pro Forma'!$F$309:$Z$309,1,MATCH('Cash Flow Roll-up'!T$2,'Phase II Pro Forma'!$F$284:$Z$284,0)),0)</f>
        <v>0</v>
      </c>
      <c r="U4" s="150">
        <f ca="1">+IFERROR(INDEX('Phase II Pro Forma'!$F$309:$Z$309,1,MATCH('Cash Flow Roll-up'!U$2,'Phase II Pro Forma'!$F$284:$Z$284,0)),0)</f>
        <v>0</v>
      </c>
      <c r="V4" s="150">
        <f ca="1">+IFERROR(INDEX('Phase II Pro Forma'!$F$309:$Z$309,1,MATCH('Cash Flow Roll-up'!V$2,'Phase II Pro Forma'!$F$284:$Z$284,0)),0)</f>
        <v>0</v>
      </c>
      <c r="W4" s="150">
        <f ca="1">+IFERROR(INDEX('Phase II Pro Forma'!$F$309:$Z$309,1,MATCH('Cash Flow Roll-up'!W$2,'Phase II Pro Forma'!$F$284:$Z$284,0)),0)</f>
        <v>0</v>
      </c>
      <c r="X4" s="150">
        <f ca="1">+IFERROR(INDEX('Phase II Pro Forma'!$F$309:$Z$309,1,MATCH('Cash Flow Roll-up'!X$2,'Phase II Pro Forma'!$F$284:$Z$284,0)),0)</f>
        <v>0</v>
      </c>
      <c r="Y4" s="150">
        <f ca="1">+IFERROR(INDEX('Phase II Pro Forma'!$F$309:$Z$309,1,MATCH('Cash Flow Roll-up'!Y$2,'Phase II Pro Forma'!$F$284:$Z$284,0)),0)</f>
        <v>0</v>
      </c>
      <c r="Z4" s="150">
        <f ca="1">+IFERROR(INDEX('Phase II Pro Forma'!$F$309:$Z$309,1,MATCH('Cash Flow Roll-up'!Z$2,'Phase II Pro Forma'!$F$284:$Z$284,0)),0)</f>
        <v>0</v>
      </c>
    </row>
    <row r="5" spans="2:26" x14ac:dyDescent="0.2">
      <c r="B5" s="32" t="s">
        <v>378</v>
      </c>
      <c r="D5" s="24">
        <f ca="1">+SUM(F5:Z5)</f>
        <v>157403969.05197006</v>
      </c>
      <c r="F5" s="150">
        <f>+IFERROR(INDEX('Phase III Pro Forma'!$F$309:$Z$309,1,MATCH('Cash Flow Roll-up'!F$2,'Phase III Pro Forma'!$F$284:$Z$284,0)),0)</f>
        <v>0</v>
      </c>
      <c r="G5" s="150">
        <f>+IFERROR(INDEX('Phase III Pro Forma'!$F$309:$Z$309,1,MATCH('Cash Flow Roll-up'!G$2,'Phase III Pro Forma'!$F$284:$Z$284,0)),0)</f>
        <v>0</v>
      </c>
      <c r="H5" s="150">
        <f>+IFERROR(INDEX('Phase III Pro Forma'!$F$309:$Z$309,1,MATCH('Cash Flow Roll-up'!H$2,'Phase III Pro Forma'!$F$284:$Z$284,0)),0)</f>
        <v>0</v>
      </c>
      <c r="I5" s="150">
        <f>+IFERROR(INDEX('Phase III Pro Forma'!$F$309:$Z$309,1,MATCH('Cash Flow Roll-up'!I$2,'Phase III Pro Forma'!$F$284:$Z$284,0)),0)</f>
        <v>0</v>
      </c>
      <c r="J5" s="150">
        <f ca="1">+IFERROR(INDEX('Phase III Pro Forma'!$F$309:$Z$309,1,MATCH('Cash Flow Roll-up'!J$2,'Phase III Pro Forma'!$F$284:$Z$284,0)),0)</f>
        <v>-55765379.325386167</v>
      </c>
      <c r="K5" s="150">
        <f ca="1">+IFERROR(INDEX('Phase III Pro Forma'!$F$309:$Z$309,1,MATCH('Cash Flow Roll-up'!K$2,'Phase III Pro Forma'!$F$284:$Z$284,0)),0)</f>
        <v>-22795049.819411576</v>
      </c>
      <c r="L5" s="150">
        <f ca="1">+IFERROR(INDEX('Phase III Pro Forma'!$F$309:$Z$309,1,MATCH('Cash Flow Roll-up'!L$2,'Phase III Pro Forma'!$F$284:$Z$284,0)),0)</f>
        <v>0</v>
      </c>
      <c r="M5" s="150">
        <f ca="1">+IFERROR(INDEX('Phase III Pro Forma'!$F$309:$Z$309,1,MATCH('Cash Flow Roll-up'!M$2,'Phase III Pro Forma'!$F$284:$Z$284,0)),0)</f>
        <v>34294946.008652158</v>
      </c>
      <c r="N5" s="150">
        <f ca="1">+IFERROR(INDEX('Phase III Pro Forma'!$F$309:$Z$309,1,MATCH('Cash Flow Roll-up'!N$2,'Phase III Pro Forma'!$F$284:$Z$284,0)),0)</f>
        <v>5163707.0895398315</v>
      </c>
      <c r="O5" s="150">
        <f ca="1">+IFERROR(INDEX('Phase III Pro Forma'!$F$309:$Z$309,1,MATCH('Cash Flow Roll-up'!O$2,'Phase III Pro Forma'!$F$284:$Z$284,0)),0)</f>
        <v>5446481.3733853698</v>
      </c>
      <c r="P5" s="150">
        <f ca="1">+IFERROR(INDEX('Phase III Pro Forma'!$F$309:$Z$309,1,MATCH('Cash Flow Roll-up'!P$2,'Phase III Pro Forma'!$F$284:$Z$284,0)),0)</f>
        <v>191059263.72519025</v>
      </c>
      <c r="Q5" s="150">
        <f ca="1">+IFERROR(INDEX('Phase III Pro Forma'!$F$309:$Z$309,1,MATCH('Cash Flow Roll-up'!Q$2,'Phase III Pro Forma'!$F$284:$Z$284,0)),0)</f>
        <v>0</v>
      </c>
      <c r="R5" s="150">
        <f ca="1">+IFERROR(INDEX('Phase III Pro Forma'!$F$309:$Z$309,1,MATCH('Cash Flow Roll-up'!R$2,'Phase III Pro Forma'!$F$284:$Z$284,0)),0)</f>
        <v>0</v>
      </c>
      <c r="S5" s="150">
        <f ca="1">+IFERROR(INDEX('Phase III Pro Forma'!$F$309:$Z$309,1,MATCH('Cash Flow Roll-up'!S$2,'Phase III Pro Forma'!$F$284:$Z$284,0)),0)</f>
        <v>0</v>
      </c>
      <c r="T5" s="150">
        <f ca="1">+IFERROR(INDEX('Phase III Pro Forma'!$F$309:$Z$309,1,MATCH('Cash Flow Roll-up'!T$2,'Phase III Pro Forma'!$F$284:$Z$284,0)),0)</f>
        <v>0</v>
      </c>
      <c r="U5" s="150">
        <f ca="1">+IFERROR(INDEX('Phase III Pro Forma'!$F$309:$Z$309,1,MATCH('Cash Flow Roll-up'!U$2,'Phase III Pro Forma'!$F$284:$Z$284,0)),0)</f>
        <v>0</v>
      </c>
      <c r="V5" s="150">
        <f ca="1">+IFERROR(INDEX('Phase III Pro Forma'!$F$309:$Z$309,1,MATCH('Cash Flow Roll-up'!V$2,'Phase III Pro Forma'!$F$284:$Z$284,0)),0)</f>
        <v>0</v>
      </c>
      <c r="W5" s="150">
        <f ca="1">+IFERROR(INDEX('Phase III Pro Forma'!$F$309:$Z$309,1,MATCH('Cash Flow Roll-up'!W$2,'Phase III Pro Forma'!$F$284:$Z$284,0)),0)</f>
        <v>0</v>
      </c>
      <c r="X5" s="150">
        <f ca="1">+IFERROR(INDEX('Phase III Pro Forma'!$F$309:$Z$309,1,MATCH('Cash Flow Roll-up'!X$2,'Phase III Pro Forma'!$F$284:$Z$284,0)),0)</f>
        <v>0</v>
      </c>
      <c r="Y5" s="150">
        <f ca="1">+IFERROR(INDEX('Phase III Pro Forma'!$F$309:$Z$309,1,MATCH('Cash Flow Roll-up'!Y$2,'Phase III Pro Forma'!$F$284:$Z$284,0)),0)</f>
        <v>0</v>
      </c>
      <c r="Z5" s="150">
        <f ca="1">+IFERROR(INDEX('Phase III Pro Forma'!$F$309:$Z$309,1,MATCH('Cash Flow Roll-up'!Z$2,'Phase III Pro Forma'!$F$284:$Z$284,0)),0)</f>
        <v>0</v>
      </c>
    </row>
    <row r="6" spans="2:26" x14ac:dyDescent="0.2">
      <c r="B6" s="165" t="s">
        <v>395</v>
      </c>
      <c r="C6" s="165"/>
      <c r="D6" s="165"/>
      <c r="E6" s="165"/>
      <c r="F6" s="166">
        <f t="shared" ref="F6:Z6" ca="1" si="2">+SUM(F3:F5)</f>
        <v>-51505114.619219258</v>
      </c>
      <c r="G6" s="166">
        <f t="shared" ca="1" si="2"/>
        <v>-12660104.707049951</v>
      </c>
      <c r="H6" s="166">
        <f t="shared" ca="1" si="2"/>
        <v>-18873780.060831025</v>
      </c>
      <c r="I6" s="166">
        <f t="shared" ca="1" si="2"/>
        <v>7482080.2522583641</v>
      </c>
      <c r="J6" s="166">
        <f t="shared" ca="1" si="2"/>
        <v>-50487247.039678313</v>
      </c>
      <c r="K6" s="166">
        <f t="shared" ca="1" si="2"/>
        <v>2003314.3984957933</v>
      </c>
      <c r="L6" s="166">
        <f t="shared" ca="1" si="2"/>
        <v>10725321.708948541</v>
      </c>
      <c r="M6" s="166">
        <f t="shared" ca="1" si="2"/>
        <v>45780472.659439862</v>
      </c>
      <c r="N6" s="166">
        <f t="shared" ca="1" si="2"/>
        <v>17998755.055716224</v>
      </c>
      <c r="O6" s="166">
        <f t="shared" ca="1" si="2"/>
        <v>18976722.244561613</v>
      </c>
      <c r="P6" s="166">
        <f t="shared" ca="1" si="2"/>
        <v>522658533.19528913</v>
      </c>
      <c r="Q6" s="166">
        <f t="shared" ca="1" si="2"/>
        <v>0</v>
      </c>
      <c r="R6" s="166">
        <f t="shared" ca="1" si="2"/>
        <v>0</v>
      </c>
      <c r="S6" s="166">
        <f t="shared" ca="1" si="2"/>
        <v>0</v>
      </c>
      <c r="T6" s="166">
        <f t="shared" ca="1" si="2"/>
        <v>0</v>
      </c>
      <c r="U6" s="166">
        <f t="shared" ca="1" si="2"/>
        <v>0</v>
      </c>
      <c r="V6" s="166">
        <f t="shared" ca="1" si="2"/>
        <v>0</v>
      </c>
      <c r="W6" s="166">
        <f t="shared" ca="1" si="2"/>
        <v>0</v>
      </c>
      <c r="X6" s="166">
        <f t="shared" ca="1" si="2"/>
        <v>0</v>
      </c>
      <c r="Y6" s="166">
        <f t="shared" ca="1" si="2"/>
        <v>0</v>
      </c>
      <c r="Z6" s="166">
        <f t="shared" ca="1" si="2"/>
        <v>0</v>
      </c>
    </row>
    <row r="7" spans="2:26" x14ac:dyDescent="0.2"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 spans="2:26" x14ac:dyDescent="0.2">
      <c r="B8" s="188" t="s">
        <v>355</v>
      </c>
      <c r="C8" s="188"/>
      <c r="D8" s="189">
        <f ca="1">+IRR(F6:Z6)</f>
        <v>0.22085344333029111</v>
      </c>
    </row>
    <row r="9" spans="2:26" x14ac:dyDescent="0.2">
      <c r="B9" s="192" t="s">
        <v>353</v>
      </c>
      <c r="C9" s="191"/>
      <c r="D9" s="222">
        <f ca="1">+SUM(F6:Z6)</f>
        <v>492098953.08793098</v>
      </c>
    </row>
    <row r="11" spans="2:26" x14ac:dyDescent="0.2">
      <c r="B11" s="147" t="s">
        <v>396</v>
      </c>
    </row>
    <row r="12" spans="2:26" x14ac:dyDescent="0.2">
      <c r="B12" s="32" t="s">
        <v>21</v>
      </c>
      <c r="D12" s="47">
        <f ca="1">+SUM(F12:Z12)</f>
        <v>387703014.81733656</v>
      </c>
      <c r="F12" s="33">
        <f ca="1">+IFERROR(INDEX('Phase I Pro Forma'!$F$351:$Z$351,1,MATCH('Cash Flow Roll-up'!F$2,'Phase I Pro Forma'!$F$284:$Z$284,0)),0)</f>
        <v>-51505114.619219258</v>
      </c>
      <c r="G12" s="33">
        <f ca="1">+IFERROR(INDEX('Phase I Pro Forma'!$F$351:$Z$351,1,MATCH('Cash Flow Roll-up'!G$2,'Phase I Pro Forma'!$F$284:$Z$284,0)),0)</f>
        <v>-157134768.30336857</v>
      </c>
      <c r="H12" s="33">
        <f ca="1">+IFERROR(INDEX('Phase I Pro Forma'!$F$351:$Z$351,1,MATCH('Cash Flow Roll-up'!H$2,'Phase I Pro Forma'!$F$284:$Z$284,0)),0)</f>
        <v>-67155710.096808612</v>
      </c>
      <c r="I12" s="33">
        <f ca="1">+IFERROR(INDEX('Phase I Pro Forma'!$F$351:$Z$351,1,MATCH('Cash Flow Roll-up'!I$2,'Phase I Pro Forma'!$F$284:$Z$284,0)),0)</f>
        <v>12156531.919531263</v>
      </c>
      <c r="J12" s="33">
        <f ca="1">+IFERROR(INDEX('Phase I Pro Forma'!$F$351:$Z$351,1,MATCH('Cash Flow Roll-up'!J$2,'Phase I Pro Forma'!$F$284:$Z$284,0)),0)</f>
        <v>25299756.984119631</v>
      </c>
      <c r="K12" s="33">
        <f ca="1">+IFERROR(INDEX('Phase I Pro Forma'!$F$351:$Z$351,1,MATCH('Cash Flow Roll-up'!K$2,'Phase I Pro Forma'!$F$284:$Z$284,0)),0)</f>
        <v>25918223.302751362</v>
      </c>
      <c r="L12" s="33">
        <f ca="1">+IFERROR(INDEX('Phase I Pro Forma'!$F$351:$Z$351,1,MATCH('Cash Flow Roll-up'!L$2,'Phase I Pro Forma'!$F$284:$Z$284,0)),0)</f>
        <v>27699751.454203915</v>
      </c>
      <c r="M12" s="33">
        <f ca="1">+IFERROR(INDEX('Phase I Pro Forma'!$F$351:$Z$351,1,MATCH('Cash Flow Roll-up'!M$2,'Phase I Pro Forma'!$F$284:$Z$284,0)),0)</f>
        <v>28026377.681195293</v>
      </c>
      <c r="N12" s="33">
        <f ca="1">+IFERROR(INDEX('Phase I Pro Forma'!$F$351:$Z$351,1,MATCH('Cash Flow Roll-up'!N$2,'Phase I Pro Forma'!$F$284:$Z$284,0)),0)</f>
        <v>28470939.905564785</v>
      </c>
      <c r="O12" s="33">
        <f ca="1">+IFERROR(INDEX('Phase I Pro Forma'!$F$351:$Z$351,1,MATCH('Cash Flow Roll-up'!O$2,'Phase I Pro Forma'!$F$284:$Z$284,0)),0)</f>
        <v>28926898.728953872</v>
      </c>
      <c r="P12" s="33">
        <f ca="1">+IFERROR(INDEX('Phase I Pro Forma'!$F$351:$Z$351,1,MATCH('Cash Flow Roll-up'!P$2,'Phase I Pro Forma'!$F$284:$Z$284,0)),0)</f>
        <v>487000127.8604129</v>
      </c>
      <c r="Q12" s="33">
        <f ca="1">+IFERROR(INDEX('Phase I Pro Forma'!$F$351:$Z$351,1,MATCH('Cash Flow Roll-up'!Q$2,'Phase I Pro Forma'!$F$284:$Z$284,0)),0)</f>
        <v>0</v>
      </c>
      <c r="R12" s="33">
        <f ca="1">+IFERROR(INDEX('Phase I Pro Forma'!$F$351:$Z$351,1,MATCH('Cash Flow Roll-up'!R$2,'Phase I Pro Forma'!$F$284:$Z$284,0)),0)</f>
        <v>0</v>
      </c>
      <c r="S12" s="33">
        <f ca="1">+IFERROR(INDEX('Phase I Pro Forma'!$F$351:$Z$351,1,MATCH('Cash Flow Roll-up'!S$2,'Phase I Pro Forma'!$F$284:$Z$284,0)),0)</f>
        <v>0</v>
      </c>
      <c r="T12" s="33">
        <f ca="1">+IFERROR(INDEX('Phase I Pro Forma'!$F$351:$Z$351,1,MATCH('Cash Flow Roll-up'!T$2,'Phase I Pro Forma'!$F$284:$Z$284,0)),0)</f>
        <v>0</v>
      </c>
      <c r="U12" s="33">
        <f ca="1">+IFERROR(INDEX('Phase I Pro Forma'!$F$351:$Z$351,1,MATCH('Cash Flow Roll-up'!U$2,'Phase I Pro Forma'!$F$284:$Z$284,0)),0)</f>
        <v>0</v>
      </c>
      <c r="V12" s="33">
        <f ca="1">+IFERROR(INDEX('Phase I Pro Forma'!$F$351:$Z$351,1,MATCH('Cash Flow Roll-up'!V$2,'Phase I Pro Forma'!$F$284:$Z$284,0)),0)</f>
        <v>0</v>
      </c>
      <c r="W12" s="33">
        <f ca="1">+IFERROR(INDEX('Phase I Pro Forma'!$F$351:$Z$351,1,MATCH('Cash Flow Roll-up'!W$2,'Phase I Pro Forma'!$F$284:$Z$284,0)),0)</f>
        <v>0</v>
      </c>
      <c r="X12" s="33">
        <f ca="1">+IFERROR(INDEX('Phase I Pro Forma'!$F$351:$Z$351,1,MATCH('Cash Flow Roll-up'!X$2,'Phase I Pro Forma'!$F$284:$Z$284,0)),0)</f>
        <v>0</v>
      </c>
      <c r="Y12" s="33">
        <f ca="1">+IFERROR(INDEX('Phase I Pro Forma'!$F$351:$Z$351,1,MATCH('Cash Flow Roll-up'!Y$2,'Phase I Pro Forma'!$F$284:$Z$284,0)),0)</f>
        <v>0</v>
      </c>
      <c r="Z12" s="33">
        <f ca="1">+IFERROR(INDEX('Phase I Pro Forma'!$F$351:$Z$351,1,MATCH('Cash Flow Roll-up'!Z$2,'Phase I Pro Forma'!$F$284:$Z$284,0)),0)</f>
        <v>0</v>
      </c>
    </row>
    <row r="13" spans="2:26" x14ac:dyDescent="0.2">
      <c r="B13" s="32" t="s">
        <v>375</v>
      </c>
      <c r="D13" s="24">
        <f ca="1">+SUM(F13:Z13)</f>
        <v>188887193.27835473</v>
      </c>
      <c r="F13" s="150">
        <f>+IFERROR(INDEX('Phase II Pro Forma'!$F$351:$Z$351,1,MATCH('Cash Flow Roll-up'!F$2,'Phase II Pro Forma'!$F$284:$Z$284,0)),0)</f>
        <v>0</v>
      </c>
      <c r="G13" s="150">
        <f>+IFERROR(INDEX('Phase II Pro Forma'!$F$351:$Z$351,1,MATCH('Cash Flow Roll-up'!G$2,'Phase II Pro Forma'!$F$284:$Z$284,0)),0)</f>
        <v>0</v>
      </c>
      <c r="H13" s="150">
        <f ca="1">+IFERROR(INDEX('Phase II Pro Forma'!$F$351:$Z$351,1,MATCH('Cash Flow Roll-up'!H$2,'Phase II Pro Forma'!$F$284:$Z$284,0)),0)</f>
        <v>-18873780.060831025</v>
      </c>
      <c r="I13" s="150">
        <f ca="1">+IFERROR(INDEX('Phase II Pro Forma'!$F$351:$Z$351,1,MATCH('Cash Flow Roll-up'!I$2,'Phase II Pro Forma'!$F$284:$Z$284,0)),0)</f>
        <v>-91802186.896937713</v>
      </c>
      <c r="J13" s="150">
        <f ca="1">+IFERROR(INDEX('Phase II Pro Forma'!$F$351:$Z$351,1,MATCH('Cash Flow Roll-up'!J$2,'Phase II Pro Forma'!$F$284:$Z$284,0)),0)</f>
        <v>-42602411.360696554</v>
      </c>
      <c r="K13" s="150">
        <f ca="1">+IFERROR(INDEX('Phase II Pro Forma'!$F$351:$Z$351,1,MATCH('Cash Flow Roll-up'!K$2,'Phase II Pro Forma'!$F$284:$Z$284,0)),0)</f>
        <v>6946822.2629323127</v>
      </c>
      <c r="L13" s="150">
        <f ca="1">+IFERROR(INDEX('Phase II Pro Forma'!$F$351:$Z$351,1,MATCH('Cash Flow Roll-up'!L$2,'Phase II Pro Forma'!$F$284:$Z$284,0)),0)</f>
        <v>14485528.459140712</v>
      </c>
      <c r="M13" s="150">
        <f ca="1">+IFERROR(INDEX('Phase II Pro Forma'!$F$351:$Z$351,1,MATCH('Cash Flow Roll-up'!M$2,'Phase II Pro Forma'!$F$284:$Z$284,0)),0)</f>
        <v>14919107.173988493</v>
      </c>
      <c r="N13" s="150">
        <f ca="1">+IFERROR(INDEX('Phase II Pro Forma'!$F$351:$Z$351,1,MATCH('Cash Flow Roll-up'!N$2,'Phase II Pro Forma'!$F$284:$Z$284,0)),0)</f>
        <v>15824066.265007693</v>
      </c>
      <c r="O13" s="150">
        <f ca="1">+IFERROR(INDEX('Phase II Pro Forma'!$F$351:$Z$351,1,MATCH('Cash Flow Roll-up'!O$2,'Phase II Pro Forma'!$F$284:$Z$284,0)),0)</f>
        <v>16063300.346618453</v>
      </c>
      <c r="P13" s="150">
        <f ca="1">+IFERROR(INDEX('Phase II Pro Forma'!$F$351:$Z$351,1,MATCH('Cash Flow Roll-up'!P$2,'Phase II Pro Forma'!$F$284:$Z$284,0)),0)</f>
        <v>273926747.08913243</v>
      </c>
      <c r="Q13" s="150">
        <f ca="1">+IFERROR(INDEX('Phase II Pro Forma'!$F$351:$Z$351,1,MATCH('Cash Flow Roll-up'!Q$2,'Phase II Pro Forma'!$F$284:$Z$284,0)),0)</f>
        <v>0</v>
      </c>
      <c r="R13" s="150">
        <f ca="1">+IFERROR(INDEX('Phase II Pro Forma'!$F$351:$Z$351,1,MATCH('Cash Flow Roll-up'!R$2,'Phase II Pro Forma'!$F$284:$Z$284,0)),0)</f>
        <v>0</v>
      </c>
      <c r="S13" s="150">
        <f ca="1">+IFERROR(INDEX('Phase II Pro Forma'!$F$351:$Z$351,1,MATCH('Cash Flow Roll-up'!S$2,'Phase II Pro Forma'!$F$284:$Z$284,0)),0)</f>
        <v>0</v>
      </c>
      <c r="T13" s="150">
        <f ca="1">+IFERROR(INDEX('Phase II Pro Forma'!$F$351:$Z$351,1,MATCH('Cash Flow Roll-up'!T$2,'Phase II Pro Forma'!$F$284:$Z$284,0)),0)</f>
        <v>0</v>
      </c>
      <c r="U13" s="150">
        <f ca="1">+IFERROR(INDEX('Phase II Pro Forma'!$F$351:$Z$351,1,MATCH('Cash Flow Roll-up'!U$2,'Phase II Pro Forma'!$F$284:$Z$284,0)),0)</f>
        <v>0</v>
      </c>
      <c r="V13" s="150">
        <f ca="1">+IFERROR(INDEX('Phase II Pro Forma'!$F$351:$Z$351,1,MATCH('Cash Flow Roll-up'!V$2,'Phase II Pro Forma'!$F$284:$Z$284,0)),0)</f>
        <v>0</v>
      </c>
      <c r="W13" s="150">
        <f ca="1">+IFERROR(INDEX('Phase II Pro Forma'!$F$351:$Z$351,1,MATCH('Cash Flow Roll-up'!W$2,'Phase II Pro Forma'!$F$284:$Z$284,0)),0)</f>
        <v>0</v>
      </c>
      <c r="X13" s="150">
        <f ca="1">+IFERROR(INDEX('Phase II Pro Forma'!$F$351:$Z$351,1,MATCH('Cash Flow Roll-up'!X$2,'Phase II Pro Forma'!$F$284:$Z$284,0)),0)</f>
        <v>0</v>
      </c>
      <c r="Y13" s="150">
        <f ca="1">+IFERROR(INDEX('Phase II Pro Forma'!$F$351:$Z$351,1,MATCH('Cash Flow Roll-up'!Y$2,'Phase II Pro Forma'!$F$284:$Z$284,0)),0)</f>
        <v>0</v>
      </c>
      <c r="Z13" s="150">
        <f ca="1">+IFERROR(INDEX('Phase II Pro Forma'!$F$351:$Z$351,1,MATCH('Cash Flow Roll-up'!Z$2,'Phase II Pro Forma'!$F$284:$Z$284,0)),0)</f>
        <v>0</v>
      </c>
    </row>
    <row r="14" spans="2:26" x14ac:dyDescent="0.2">
      <c r="B14" s="32" t="s">
        <v>378</v>
      </c>
      <c r="D14" s="24">
        <f ca="1">+SUM(F14:Z14)</f>
        <v>258085026.07391006</v>
      </c>
      <c r="F14" s="150">
        <f>+IFERROR(INDEX('Phase III Pro Forma'!$F$351:$Z$351,1,MATCH('Cash Flow Roll-up'!F$2,'Phase III Pro Forma'!$F$284:$Z$284,0)),0)</f>
        <v>0</v>
      </c>
      <c r="G14" s="150">
        <f>+IFERROR(INDEX('Phase III Pro Forma'!$F$351:$Z$351,1,MATCH('Cash Flow Roll-up'!G$2,'Phase III Pro Forma'!$F$284:$Z$284,0)),0)</f>
        <v>0</v>
      </c>
      <c r="H14" s="150">
        <f>+IFERROR(INDEX('Phase III Pro Forma'!$F$351:$Z$351,1,MATCH('Cash Flow Roll-up'!H$2,'Phase III Pro Forma'!$F$284:$Z$284,0)),0)</f>
        <v>0</v>
      </c>
      <c r="I14" s="150">
        <f>+IFERROR(INDEX('Phase III Pro Forma'!$F$351:$Z$351,1,MATCH('Cash Flow Roll-up'!I$2,'Phase III Pro Forma'!$F$284:$Z$284,0)),0)</f>
        <v>0</v>
      </c>
      <c r="J14" s="150">
        <f ca="1">+IFERROR(INDEX('Phase III Pro Forma'!$F$351:$Z$351,1,MATCH('Cash Flow Roll-up'!J$2,'Phase III Pro Forma'!$F$284:$Z$284,0)),0)</f>
        <v>-55765379.325386167</v>
      </c>
      <c r="K14" s="150">
        <f ca="1">+IFERROR(INDEX('Phase III Pro Forma'!$F$351:$Z$351,1,MATCH('Cash Flow Roll-up'!K$2,'Phase III Pro Forma'!$F$284:$Z$284,0)),0)</f>
        <v>-154130353.24336112</v>
      </c>
      <c r="L14" s="150">
        <f ca="1">+IFERROR(INDEX('Phase III Pro Forma'!$F$351:$Z$351,1,MATCH('Cash Flow Roll-up'!L$2,'Phase III Pro Forma'!$F$284:$Z$284,0)),0)</f>
        <v>-79349002.14943254</v>
      </c>
      <c r="M14" s="150">
        <f ca="1">+IFERROR(INDEX('Phase III Pro Forma'!$F$351:$Z$351,1,MATCH('Cash Flow Roll-up'!M$2,'Phase III Pro Forma'!$F$284:$Z$284,0)),0)</f>
        <v>12808687.546966918</v>
      </c>
      <c r="N14" s="150">
        <f ca="1">+IFERROR(INDEX('Phase III Pro Forma'!$F$351:$Z$351,1,MATCH('Cash Flow Roll-up'!N$2,'Phase III Pro Forma'!$F$284:$Z$284,0)),0)</f>
        <v>25878867.69548618</v>
      </c>
      <c r="O14" s="150">
        <f ca="1">+IFERROR(INDEX('Phase III Pro Forma'!$F$351:$Z$351,1,MATCH('Cash Flow Roll-up'!O$2,'Phase III Pro Forma'!$F$284:$Z$284,0)),0)</f>
        <v>26161641.979331717</v>
      </c>
      <c r="P14" s="150">
        <f ca="1">+IFERROR(INDEX('Phase III Pro Forma'!$F$351:$Z$351,1,MATCH('Cash Flow Roll-up'!P$2,'Phase III Pro Forma'!$F$284:$Z$284,0)),0)</f>
        <v>482480563.57030499</v>
      </c>
      <c r="Q14" s="150">
        <f ca="1">+IFERROR(INDEX('Phase III Pro Forma'!$F$351:$Z$351,1,MATCH('Cash Flow Roll-up'!Q$2,'Phase III Pro Forma'!$F$284:$Z$284,0)),0)</f>
        <v>0</v>
      </c>
      <c r="R14" s="150">
        <f ca="1">+IFERROR(INDEX('Phase III Pro Forma'!$F$351:$Z$351,1,MATCH('Cash Flow Roll-up'!R$2,'Phase III Pro Forma'!$F$284:$Z$284,0)),0)</f>
        <v>0</v>
      </c>
      <c r="S14" s="150">
        <f ca="1">+IFERROR(INDEX('Phase III Pro Forma'!$F$351:$Z$351,1,MATCH('Cash Flow Roll-up'!S$2,'Phase III Pro Forma'!$F$284:$Z$284,0)),0)</f>
        <v>0</v>
      </c>
      <c r="T14" s="150">
        <f ca="1">+IFERROR(INDEX('Phase III Pro Forma'!$F$351:$Z$351,1,MATCH('Cash Flow Roll-up'!T$2,'Phase III Pro Forma'!$F$284:$Z$284,0)),0)</f>
        <v>0</v>
      </c>
      <c r="U14" s="150">
        <f ca="1">+IFERROR(INDEX('Phase III Pro Forma'!$F$351:$Z$351,1,MATCH('Cash Flow Roll-up'!U$2,'Phase III Pro Forma'!$F$284:$Z$284,0)),0)</f>
        <v>0</v>
      </c>
      <c r="V14" s="150">
        <f ca="1">+IFERROR(INDEX('Phase III Pro Forma'!$F$351:$Z$351,1,MATCH('Cash Flow Roll-up'!V$2,'Phase III Pro Forma'!$F$284:$Z$284,0)),0)</f>
        <v>0</v>
      </c>
      <c r="W14" s="150">
        <f ca="1">+IFERROR(INDEX('Phase III Pro Forma'!$F$351:$Z$351,1,MATCH('Cash Flow Roll-up'!W$2,'Phase III Pro Forma'!$F$284:$Z$284,0)),0)</f>
        <v>0</v>
      </c>
      <c r="X14" s="150">
        <f ca="1">+IFERROR(INDEX('Phase III Pro Forma'!$F$351:$Z$351,1,MATCH('Cash Flow Roll-up'!X$2,'Phase III Pro Forma'!$F$284:$Z$284,0)),0)</f>
        <v>0</v>
      </c>
      <c r="Y14" s="150">
        <f ca="1">+IFERROR(INDEX('Phase III Pro Forma'!$F$351:$Z$351,1,MATCH('Cash Flow Roll-up'!Y$2,'Phase III Pro Forma'!$F$284:$Z$284,0)),0)</f>
        <v>0</v>
      </c>
      <c r="Z14" s="150">
        <f ca="1">+IFERROR(INDEX('Phase III Pro Forma'!$F$351:$Z$351,1,MATCH('Cash Flow Roll-up'!Z$2,'Phase III Pro Forma'!$F$284:$Z$284,0)),0)</f>
        <v>0</v>
      </c>
    </row>
    <row r="15" spans="2:26" x14ac:dyDescent="0.2">
      <c r="B15" s="165" t="s">
        <v>397</v>
      </c>
      <c r="C15" s="165"/>
      <c r="D15" s="165"/>
      <c r="E15" s="165"/>
      <c r="F15" s="166">
        <f t="shared" ref="F15:Z15" ca="1" si="3">+SUM(F12:F14)</f>
        <v>-51505114.619219258</v>
      </c>
      <c r="G15" s="166">
        <f t="shared" ca="1" si="3"/>
        <v>-157134768.30336857</v>
      </c>
      <c r="H15" s="166">
        <f t="shared" ca="1" si="3"/>
        <v>-86029490.157639638</v>
      </c>
      <c r="I15" s="166">
        <f t="shared" ca="1" si="3"/>
        <v>-79645654.977406442</v>
      </c>
      <c r="J15" s="166">
        <f t="shared" ca="1" si="3"/>
        <v>-73068033.701963097</v>
      </c>
      <c r="K15" s="166">
        <f t="shared" ca="1" si="3"/>
        <v>-121265307.67767744</v>
      </c>
      <c r="L15" s="166">
        <f t="shared" ca="1" si="3"/>
        <v>-37163722.236087911</v>
      </c>
      <c r="M15" s="166">
        <f t="shared" ca="1" si="3"/>
        <v>55754172.402150705</v>
      </c>
      <c r="N15" s="166">
        <f t="shared" ca="1" si="3"/>
        <v>70173873.866058648</v>
      </c>
      <c r="O15" s="166">
        <f t="shared" ca="1" si="3"/>
        <v>71151841.054904044</v>
      </c>
      <c r="P15" s="166">
        <f t="shared" ca="1" si="3"/>
        <v>1243407438.5198503</v>
      </c>
      <c r="Q15" s="166">
        <f t="shared" ca="1" si="3"/>
        <v>0</v>
      </c>
      <c r="R15" s="166">
        <f t="shared" ca="1" si="3"/>
        <v>0</v>
      </c>
      <c r="S15" s="166">
        <f t="shared" ca="1" si="3"/>
        <v>0</v>
      </c>
      <c r="T15" s="166">
        <f t="shared" ca="1" si="3"/>
        <v>0</v>
      </c>
      <c r="U15" s="166">
        <f t="shared" ca="1" si="3"/>
        <v>0</v>
      </c>
      <c r="V15" s="166">
        <f t="shared" ca="1" si="3"/>
        <v>0</v>
      </c>
      <c r="W15" s="166">
        <f t="shared" ca="1" si="3"/>
        <v>0</v>
      </c>
      <c r="X15" s="166">
        <f t="shared" ca="1" si="3"/>
        <v>0</v>
      </c>
      <c r="Y15" s="166">
        <f t="shared" ca="1" si="3"/>
        <v>0</v>
      </c>
      <c r="Z15" s="166">
        <f t="shared" ca="1" si="3"/>
        <v>0</v>
      </c>
    </row>
    <row r="17" spans="2:26" x14ac:dyDescent="0.2">
      <c r="B17" s="188" t="s">
        <v>393</v>
      </c>
      <c r="C17" s="188"/>
      <c r="D17" s="189">
        <f ca="1">+IRR(F15:Z15)</f>
        <v>0.12945660144928306</v>
      </c>
    </row>
    <row r="18" spans="2:26" x14ac:dyDescent="0.2">
      <c r="B18" s="192" t="s">
        <v>353</v>
      </c>
      <c r="C18" s="191"/>
      <c r="D18" s="222">
        <f ca="1">+SUM(F15:Z15)</f>
        <v>834675234.16960144</v>
      </c>
    </row>
    <row r="20" spans="2:26" x14ac:dyDescent="0.2">
      <c r="B20" s="147" t="s">
        <v>649</v>
      </c>
    </row>
    <row r="21" spans="2:26" x14ac:dyDescent="0.2">
      <c r="B21" s="32" t="s">
        <v>21</v>
      </c>
      <c r="D21" s="47">
        <f ca="1">+SUM(F21:Z21)</f>
        <v>370266846.02360541</v>
      </c>
      <c r="F21" s="33">
        <f ca="1">+IFERROR(INDEX('Phase I Pro Forma'!$F$380:$Z$380,1,MATCH('Cash Flow Roll-up'!F$2,'Phase I Pro Forma'!$F$284:$Z$284,0)),0)</f>
        <v>-40689040.549183212</v>
      </c>
      <c r="G21" s="33">
        <f ca="1">+IFERROR(INDEX('Phase I Pro Forma'!$F$380:$Z$380,1,MATCH('Cash Flow Roll-up'!G$2,'Phase I Pro Forma'!$F$284:$Z$284,0)),0)</f>
        <v>-124136466.95966117</v>
      </c>
      <c r="H21" s="33">
        <f ca="1">+IFERROR(INDEX('Phase I Pro Forma'!$F$380:$Z$380,1,MATCH('Cash Flow Roll-up'!H$2,'Phase I Pro Forma'!$F$284:$Z$284,0)),0)</f>
        <v>-53053010.9764788</v>
      </c>
      <c r="I21" s="33">
        <f ca="1">+IFERROR(INDEX('Phase I Pro Forma'!$F$380:$Z$380,1,MATCH('Cash Flow Roll-up'!I$2,'Phase I Pro Forma'!$F$284:$Z$284,0)),0)</f>
        <v>9603660.2164296992</v>
      </c>
      <c r="J21" s="33">
        <f ca="1">+IFERROR(INDEX('Phase I Pro Forma'!$F$380:$Z$380,1,MATCH('Cash Flow Roll-up'!J$2,'Phase I Pro Forma'!$F$284:$Z$284,0)),0)</f>
        <v>22428368.576534953</v>
      </c>
      <c r="K21" s="33">
        <f ca="1">+IFERROR(INDEX('Phase I Pro Forma'!$F$380:$Z$380,1,MATCH('Cash Flow Roll-up'!K$2,'Phase I Pro Forma'!$F$284:$Z$284,0)),0)</f>
        <v>22916956.968254022</v>
      </c>
      <c r="L21" s="33">
        <f ca="1">+IFERROR(INDEX('Phase I Pro Forma'!$F$380:$Z$380,1,MATCH('Cash Flow Roll-up'!L$2,'Phase I Pro Forma'!$F$284:$Z$284,0)),0)</f>
        <v>-24905149.146060716</v>
      </c>
      <c r="M21" s="33">
        <f ca="1">+IFERROR(INDEX('Phase I Pro Forma'!$F$380:$Z$380,1,MATCH('Cash Flow Roll-up'!M$2,'Phase I Pro Forma'!$F$284:$Z$284,0)),0)</f>
        <v>24582398.927224725</v>
      </c>
      <c r="N21" s="33">
        <f ca="1">+IFERROR(INDEX('Phase I Pro Forma'!$F$380:$Z$380,1,MATCH('Cash Flow Roll-up'!N$2,'Phase I Pro Forma'!$F$284:$Z$284,0)),0)</f>
        <v>24933603.084476627</v>
      </c>
      <c r="O21" s="33">
        <f ca="1">+IFERROR(INDEX('Phase I Pro Forma'!$F$380:$Z$380,1,MATCH('Cash Flow Roll-up'!O$2,'Phase I Pro Forma'!$F$284:$Z$284,0)),0)</f>
        <v>25293810.554954004</v>
      </c>
      <c r="P21" s="33">
        <f ca="1">+IFERROR(INDEX('Phase I Pro Forma'!$F$380:$Z$380,1,MATCH('Cash Flow Roll-up'!P$2,'Phase I Pro Forma'!$F$284:$Z$284,0)),0)</f>
        <v>483291715.32711524</v>
      </c>
      <c r="Q21" s="33">
        <f ca="1">+IFERROR(INDEX('Phase I Pro Forma'!$F$380:$Z$380,1,MATCH('Cash Flow Roll-up'!Q$2,'Phase I Pro Forma'!$F$284:$Z$284,0)),0)</f>
        <v>0</v>
      </c>
      <c r="R21" s="33">
        <f ca="1">+IFERROR(INDEX('Phase I Pro Forma'!$F$380:$Z$380,1,MATCH('Cash Flow Roll-up'!R$2,'Phase I Pro Forma'!$F$284:$Z$284,0)),0)</f>
        <v>0</v>
      </c>
      <c r="S21" s="33">
        <f ca="1">+IFERROR(INDEX('Phase I Pro Forma'!$F$380:$Z$380,1,MATCH('Cash Flow Roll-up'!S$2,'Phase I Pro Forma'!$F$284:$Z$284,0)),0)</f>
        <v>0</v>
      </c>
      <c r="T21" s="33">
        <f ca="1">+IFERROR(INDEX('Phase I Pro Forma'!$F$380:$Z$380,1,MATCH('Cash Flow Roll-up'!T$2,'Phase I Pro Forma'!$F$284:$Z$284,0)),0)</f>
        <v>0</v>
      </c>
      <c r="U21" s="33">
        <f ca="1">+IFERROR(INDEX('Phase I Pro Forma'!$F$380:$Z$380,1,MATCH('Cash Flow Roll-up'!U$2,'Phase I Pro Forma'!$F$284:$Z$284,0)),0)</f>
        <v>0</v>
      </c>
      <c r="V21" s="33">
        <f ca="1">+IFERROR(INDEX('Phase I Pro Forma'!$F$380:$Z$380,1,MATCH('Cash Flow Roll-up'!V$2,'Phase I Pro Forma'!$F$284:$Z$284,0)),0)</f>
        <v>0</v>
      </c>
      <c r="W21" s="33">
        <f ca="1">+IFERROR(INDEX('Phase I Pro Forma'!$F$380:$Z$380,1,MATCH('Cash Flow Roll-up'!W$2,'Phase I Pro Forma'!$F$284:$Z$284,0)),0)</f>
        <v>0</v>
      </c>
      <c r="X21" s="33">
        <f ca="1">+IFERROR(INDEX('Phase I Pro Forma'!$F$380:$Z$380,1,MATCH('Cash Flow Roll-up'!X$2,'Phase I Pro Forma'!$F$284:$Z$284,0)),0)</f>
        <v>0</v>
      </c>
      <c r="Y21" s="33">
        <f ca="1">+IFERROR(INDEX('Phase I Pro Forma'!$F$380:$Z$380,1,MATCH('Cash Flow Roll-up'!Y$2,'Phase I Pro Forma'!$F$284:$Z$284,0)),0)</f>
        <v>0</v>
      </c>
      <c r="Z21" s="33">
        <f ca="1">+IFERROR(INDEX('Phase I Pro Forma'!$F$380:$Z$380,1,MATCH('Cash Flow Roll-up'!Z$2,'Phase I Pro Forma'!$F$284:$Z$284,0)),0)</f>
        <v>0</v>
      </c>
    </row>
    <row r="22" spans="2:26" x14ac:dyDescent="0.2">
      <c r="B22" s="32" t="s">
        <v>375</v>
      </c>
      <c r="D22" s="24">
        <f ca="1">+SUM(F22:Z22)</f>
        <v>153601826.28764459</v>
      </c>
      <c r="F22" s="150">
        <f>+IFERROR(INDEX('Phase II Pro Forma'!$F$380:$Z$380,1,MATCH('Cash Flow Roll-up'!F$2,'Phase II Pro Forma'!$F$284:$Z$284,0)),0)</f>
        <v>0</v>
      </c>
      <c r="G22" s="150">
        <f>+IFERROR(INDEX('Phase II Pro Forma'!$F$380:$Z$380,1,MATCH('Cash Flow Roll-up'!G$2,'Phase II Pro Forma'!$F$284:$Z$284,0)),0)</f>
        <v>0</v>
      </c>
      <c r="H22" s="150">
        <f ca="1">+IFERROR(INDEX('Phase II Pro Forma'!$F$380:$Z$380,1,MATCH('Cash Flow Roll-up'!H$2,'Phase II Pro Forma'!$F$284:$Z$284,0)),0)</f>
        <v>-14910286.24805651</v>
      </c>
      <c r="I22" s="150">
        <f ca="1">+IFERROR(INDEX('Phase II Pro Forma'!$F$380:$Z$380,1,MATCH('Cash Flow Roll-up'!I$2,'Phase II Pro Forma'!$F$284:$Z$284,0)),0)</f>
        <v>-72523727.64858079</v>
      </c>
      <c r="J22" s="150">
        <f ca="1">+IFERROR(INDEX('Phase II Pro Forma'!$F$380:$Z$380,1,MATCH('Cash Flow Roll-up'!J$2,'Phase II Pro Forma'!$F$284:$Z$284,0)),0)</f>
        <v>-33655904.974950276</v>
      </c>
      <c r="K22" s="150">
        <f ca="1">+IFERROR(INDEX('Phase II Pro Forma'!$F$380:$Z$380,1,MATCH('Cash Flow Roll-up'!K$2,'Phase II Pro Forma'!$F$284:$Z$284,0)),0)</f>
        <v>5487989.5877165273</v>
      </c>
      <c r="L22" s="150">
        <f ca="1">+IFERROR(INDEX('Phase II Pro Forma'!$F$380:$Z$380,1,MATCH('Cash Flow Roll-up'!L$2,'Phase II Pro Forma'!$F$284:$Z$284,0)),0)</f>
        <v>-15009243.104940122</v>
      </c>
      <c r="M22" s="150">
        <f ca="1">+IFERROR(INDEX('Phase II Pro Forma'!$F$380:$Z$380,1,MATCH('Cash Flow Roll-up'!M$2,'Phase II Pro Forma'!$F$284:$Z$284,0)),0)</f>
        <v>13140799.928922994</v>
      </c>
      <c r="N22" s="150">
        <f ca="1">+IFERROR(INDEX('Phase II Pro Forma'!$F$380:$Z$380,1,MATCH('Cash Flow Roll-up'!N$2,'Phase II Pro Forma'!$F$284:$Z$284,0)),0)</f>
        <v>13855717.610828163</v>
      </c>
      <c r="O22" s="150">
        <f ca="1">+IFERROR(INDEX('Phase II Pro Forma'!$F$380:$Z$380,1,MATCH('Cash Flow Roll-up'!O$2,'Phase II Pro Forma'!$F$284:$Z$284,0)),0)</f>
        <v>14044712.535300663</v>
      </c>
      <c r="P22" s="150">
        <f ca="1">+IFERROR(INDEX('Phase II Pro Forma'!$F$380:$Z$380,1,MATCH('Cash Flow Roll-up'!P$2,'Phase II Pro Forma'!$F$284:$Z$284,0)),0)</f>
        <v>243171768.60140401</v>
      </c>
      <c r="Q22" s="150">
        <f ca="1">+IFERROR(INDEX('Phase II Pro Forma'!$F$380:$Z$380,1,MATCH('Cash Flow Roll-up'!Q$2,'Phase II Pro Forma'!$F$284:$Z$284,0)),0)</f>
        <v>0</v>
      </c>
      <c r="R22" s="150">
        <f ca="1">+IFERROR(INDEX('Phase II Pro Forma'!$F$380:$Z$380,1,MATCH('Cash Flow Roll-up'!R$2,'Phase II Pro Forma'!$F$284:$Z$284,0)),0)</f>
        <v>0</v>
      </c>
      <c r="S22" s="150">
        <f ca="1">+IFERROR(INDEX('Phase II Pro Forma'!$F$380:$Z$380,1,MATCH('Cash Flow Roll-up'!S$2,'Phase II Pro Forma'!$F$284:$Z$284,0)),0)</f>
        <v>0</v>
      </c>
      <c r="T22" s="150">
        <f ca="1">+IFERROR(INDEX('Phase II Pro Forma'!$F$380:$Z$380,1,MATCH('Cash Flow Roll-up'!T$2,'Phase II Pro Forma'!$F$284:$Z$284,0)),0)</f>
        <v>0</v>
      </c>
      <c r="U22" s="150">
        <f ca="1">+IFERROR(INDEX('Phase II Pro Forma'!$F$380:$Z$380,1,MATCH('Cash Flow Roll-up'!U$2,'Phase II Pro Forma'!$F$284:$Z$284,0)),0)</f>
        <v>0</v>
      </c>
      <c r="V22" s="150">
        <f ca="1">+IFERROR(INDEX('Phase II Pro Forma'!$F$380:$Z$380,1,MATCH('Cash Flow Roll-up'!V$2,'Phase II Pro Forma'!$F$284:$Z$284,0)),0)</f>
        <v>0</v>
      </c>
      <c r="W22" s="150">
        <f ca="1">+IFERROR(INDEX('Phase II Pro Forma'!$F$380:$Z$380,1,MATCH('Cash Flow Roll-up'!W$2,'Phase II Pro Forma'!$F$284:$Z$284,0)),0)</f>
        <v>0</v>
      </c>
      <c r="X22" s="150">
        <f ca="1">+IFERROR(INDEX('Phase II Pro Forma'!$F$380:$Z$380,1,MATCH('Cash Flow Roll-up'!X$2,'Phase II Pro Forma'!$F$284:$Z$284,0)),0)</f>
        <v>0</v>
      </c>
      <c r="Y22" s="150">
        <f ca="1">+IFERROR(INDEX('Phase II Pro Forma'!$F$380:$Z$380,1,MATCH('Cash Flow Roll-up'!Y$2,'Phase II Pro Forma'!$F$284:$Z$284,0)),0)</f>
        <v>0</v>
      </c>
      <c r="Z22" s="150">
        <f ca="1">+IFERROR(INDEX('Phase II Pro Forma'!$F$380:$Z$380,1,MATCH('Cash Flow Roll-up'!Z$2,'Phase II Pro Forma'!$F$284:$Z$284,0)),0)</f>
        <v>0</v>
      </c>
    </row>
    <row r="23" spans="2:26" x14ac:dyDescent="0.2">
      <c r="B23" s="32" t="s">
        <v>378</v>
      </c>
      <c r="D23" s="24">
        <f ca="1">+SUM(F23:Z23)</f>
        <v>208294980.98233265</v>
      </c>
      <c r="F23" s="150">
        <f>+IFERROR(INDEX('Phase III Pro Forma'!$F$380:$Z$380,1,MATCH('Cash Flow Roll-up'!F$2,'Phase III Pro Forma'!$F$284:$Z$284,0)),0)</f>
        <v>0</v>
      </c>
      <c r="G23" s="150">
        <f>+IFERROR(INDEX('Phase III Pro Forma'!$F$380:$Z$380,1,MATCH('Cash Flow Roll-up'!G$2,'Phase III Pro Forma'!$F$284:$Z$284,0)),0)</f>
        <v>0</v>
      </c>
      <c r="H23" s="150">
        <f>+IFERROR(INDEX('Phase III Pro Forma'!$F$380:$Z$380,1,MATCH('Cash Flow Roll-up'!H$2,'Phase III Pro Forma'!$F$284:$Z$284,0)),0)</f>
        <v>0</v>
      </c>
      <c r="I23" s="150">
        <f>+IFERROR(INDEX('Phase III Pro Forma'!$F$380:$Z$380,1,MATCH('Cash Flow Roll-up'!I$2,'Phase III Pro Forma'!$F$284:$Z$284,0)),0)</f>
        <v>0</v>
      </c>
      <c r="J23" s="150">
        <f ca="1">+IFERROR(INDEX('Phase III Pro Forma'!$F$380:$Z$380,1,MATCH('Cash Flow Roll-up'!J$2,'Phase III Pro Forma'!$F$284:$Z$284,0)),0)</f>
        <v>-44054649.66705507</v>
      </c>
      <c r="K23" s="150">
        <f ca="1">+IFERROR(INDEX('Phase III Pro Forma'!$F$380:$Z$380,1,MATCH('Cash Flow Roll-up'!K$2,'Phase III Pro Forma'!$F$284:$Z$284,0)),0)</f>
        <v>-121762979.06225528</v>
      </c>
      <c r="L23" s="150">
        <f ca="1">+IFERROR(INDEX('Phase III Pro Forma'!$F$380:$Z$380,1,MATCH('Cash Flow Roll-up'!L$2,'Phase III Pro Forma'!$F$284:$Z$284,0)),0)</f>
        <v>-119019295.60492577</v>
      </c>
      <c r="M23" s="150">
        <f ca="1">+IFERROR(INDEX('Phase III Pro Forma'!$F$380:$Z$380,1,MATCH('Cash Flow Roll-up'!M$2,'Phase III Pro Forma'!$F$284:$Z$284,0)),0)</f>
        <v>10118863.162103865</v>
      </c>
      <c r="N23" s="150">
        <f ca="1">+IFERROR(INDEX('Phase III Pro Forma'!$F$380:$Z$380,1,MATCH('Cash Flow Roll-up'!N$2,'Phase III Pro Forma'!$F$284:$Z$284,0)),0)</f>
        <v>21799010.740906168</v>
      </c>
      <c r="O23" s="150">
        <f ca="1">+IFERROR(INDEX('Phase III Pro Forma'!$F$380:$Z$380,1,MATCH('Cash Flow Roll-up'!O$2,'Phase III Pro Forma'!$F$284:$Z$284,0)),0)</f>
        <v>22022402.42514414</v>
      </c>
      <c r="P23" s="150">
        <f ca="1">+IFERROR(INDEX('Phase III Pro Forma'!$F$380:$Z$380,1,MATCH('Cash Flow Roll-up'!P$2,'Phase III Pro Forma'!$F$284:$Z$284,0)),0)</f>
        <v>439191628.98841447</v>
      </c>
      <c r="Q23" s="150">
        <f ca="1">+IFERROR(INDEX('Phase III Pro Forma'!$F$380:$Z$380,1,MATCH('Cash Flow Roll-up'!Q$2,'Phase III Pro Forma'!$F$284:$Z$284,0)),0)</f>
        <v>0</v>
      </c>
      <c r="R23" s="150">
        <f ca="1">+IFERROR(INDEX('Phase III Pro Forma'!$F$380:$Z$380,1,MATCH('Cash Flow Roll-up'!R$2,'Phase III Pro Forma'!$F$284:$Z$284,0)),0)</f>
        <v>0</v>
      </c>
      <c r="S23" s="150">
        <f ca="1">+IFERROR(INDEX('Phase III Pro Forma'!$F$380:$Z$380,1,MATCH('Cash Flow Roll-up'!S$2,'Phase III Pro Forma'!$F$284:$Z$284,0)),0)</f>
        <v>0</v>
      </c>
      <c r="T23" s="150">
        <f ca="1">+IFERROR(INDEX('Phase III Pro Forma'!$F$380:$Z$380,1,MATCH('Cash Flow Roll-up'!T$2,'Phase III Pro Forma'!$F$284:$Z$284,0)),0)</f>
        <v>0</v>
      </c>
      <c r="U23" s="150">
        <f ca="1">+IFERROR(INDEX('Phase III Pro Forma'!$F$380:$Z$380,1,MATCH('Cash Flow Roll-up'!U$2,'Phase III Pro Forma'!$F$284:$Z$284,0)),0)</f>
        <v>0</v>
      </c>
      <c r="V23" s="150">
        <f ca="1">+IFERROR(INDEX('Phase III Pro Forma'!$F$380:$Z$380,1,MATCH('Cash Flow Roll-up'!V$2,'Phase III Pro Forma'!$F$284:$Z$284,0)),0)</f>
        <v>0</v>
      </c>
      <c r="W23" s="150">
        <f ca="1">+IFERROR(INDEX('Phase III Pro Forma'!$F$380:$Z$380,1,MATCH('Cash Flow Roll-up'!W$2,'Phase III Pro Forma'!$F$284:$Z$284,0)),0)</f>
        <v>0</v>
      </c>
      <c r="X23" s="150">
        <f ca="1">+IFERROR(INDEX('Phase III Pro Forma'!$F$380:$Z$380,1,MATCH('Cash Flow Roll-up'!X$2,'Phase III Pro Forma'!$F$284:$Z$284,0)),0)</f>
        <v>0</v>
      </c>
      <c r="Y23" s="150">
        <f ca="1">+IFERROR(INDEX('Phase III Pro Forma'!$F$380:$Z$380,1,MATCH('Cash Flow Roll-up'!Y$2,'Phase III Pro Forma'!$F$284:$Z$284,0)),0)</f>
        <v>0</v>
      </c>
      <c r="Z23" s="150">
        <f ca="1">+IFERROR(INDEX('Phase III Pro Forma'!$F$380:$Z$380,1,MATCH('Cash Flow Roll-up'!Z$2,'Phase III Pro Forma'!$F$284:$Z$284,0)),0)</f>
        <v>0</v>
      </c>
    </row>
    <row r="24" spans="2:26" x14ac:dyDescent="0.2">
      <c r="B24" s="165" t="s">
        <v>652</v>
      </c>
      <c r="C24" s="165"/>
      <c r="D24" s="165"/>
      <c r="E24" s="165"/>
      <c r="F24" s="166">
        <f t="shared" ref="F24:Z24" ca="1" si="4">+SUM(F21:F23)</f>
        <v>-40689040.549183212</v>
      </c>
      <c r="G24" s="166">
        <f t="shared" ca="1" si="4"/>
        <v>-124136466.95966117</v>
      </c>
      <c r="H24" s="166">
        <f t="shared" ca="1" si="4"/>
        <v>-67963297.224535316</v>
      </c>
      <c r="I24" s="166">
        <f t="shared" ca="1" si="4"/>
        <v>-62920067.432151094</v>
      </c>
      <c r="J24" s="166">
        <f t="shared" ca="1" si="4"/>
        <v>-55282186.065470397</v>
      </c>
      <c r="K24" s="166">
        <f t="shared" ca="1" si="4"/>
        <v>-93358032.506284729</v>
      </c>
      <c r="L24" s="166">
        <f t="shared" ca="1" si="4"/>
        <v>-158933687.8559266</v>
      </c>
      <c r="M24" s="166">
        <f t="shared" ca="1" si="4"/>
        <v>47842062.018251583</v>
      </c>
      <c r="N24" s="166">
        <f t="shared" ca="1" si="4"/>
        <v>60588331.43621096</v>
      </c>
      <c r="O24" s="166">
        <f t="shared" ca="1" si="4"/>
        <v>61360925.5153988</v>
      </c>
      <c r="P24" s="166">
        <f t="shared" ca="1" si="4"/>
        <v>1165655112.9169338</v>
      </c>
      <c r="Q24" s="166">
        <f t="shared" ca="1" si="4"/>
        <v>0</v>
      </c>
      <c r="R24" s="166">
        <f t="shared" ca="1" si="4"/>
        <v>0</v>
      </c>
      <c r="S24" s="166">
        <f t="shared" ca="1" si="4"/>
        <v>0</v>
      </c>
      <c r="T24" s="166">
        <f t="shared" ca="1" si="4"/>
        <v>0</v>
      </c>
      <c r="U24" s="166">
        <f t="shared" ca="1" si="4"/>
        <v>0</v>
      </c>
      <c r="V24" s="166">
        <f t="shared" ca="1" si="4"/>
        <v>0</v>
      </c>
      <c r="W24" s="166">
        <f t="shared" ca="1" si="4"/>
        <v>0</v>
      </c>
      <c r="X24" s="166">
        <f t="shared" ca="1" si="4"/>
        <v>0</v>
      </c>
      <c r="Y24" s="166">
        <f t="shared" ca="1" si="4"/>
        <v>0</v>
      </c>
      <c r="Z24" s="166">
        <f t="shared" ca="1" si="4"/>
        <v>0</v>
      </c>
    </row>
    <row r="26" spans="2:26" x14ac:dyDescent="0.2">
      <c r="B26" s="188" t="s">
        <v>650</v>
      </c>
      <c r="C26" s="188"/>
      <c r="D26" s="189">
        <f ca="1">+IRR(F24:Z24)</f>
        <v>0.1294464926631933</v>
      </c>
    </row>
    <row r="27" spans="2:26" x14ac:dyDescent="0.2">
      <c r="B27" s="192" t="s">
        <v>651</v>
      </c>
      <c r="C27" s="191"/>
      <c r="D27" s="225">
        <f ca="1">+D26/(1-'Assumptions and Sensis'!$M$227)</f>
        <v>0.16385631982682697</v>
      </c>
    </row>
    <row r="29" spans="2:26" x14ac:dyDescent="0.2">
      <c r="B29" s="147" t="s">
        <v>653</v>
      </c>
    </row>
    <row r="30" spans="2:26" x14ac:dyDescent="0.2">
      <c r="B30" s="32" t="s">
        <v>21</v>
      </c>
      <c r="D30" s="47">
        <f ca="1">+SUM(F30:Z30)</f>
        <v>226340064.6505993</v>
      </c>
      <c r="F30" s="33">
        <f ca="1">+IFERROR(INDEX('Phase I Pro Forma'!$F$420:$Z$420,1,MATCH('Cash Flow Roll-up'!F$2,'Phase I Pro Forma'!$F$284:$Z$284,0)),0)</f>
        <v>-40689040.549183212</v>
      </c>
      <c r="G30" s="33">
        <f ca="1">+IFERROR(INDEX('Phase I Pro Forma'!$F$420:$Z$420,1,MATCH('Cash Flow Roll-up'!G$2,'Phase I Pro Forma'!$F$284:$Z$284,0)),0)</f>
        <v>-10001482.718569461</v>
      </c>
      <c r="H30" s="33">
        <f ca="1">+IFERROR(INDEX('Phase I Pro Forma'!$F$420:$Z$420,1,MATCH('Cash Flow Roll-up'!H$2,'Phase I Pro Forma'!$F$284:$Z$284,0)),0)</f>
        <v>0</v>
      </c>
      <c r="I30" s="33">
        <f ca="1">+IFERROR(INDEX('Phase I Pro Forma'!$F$420:$Z$420,1,MATCH('Cash Flow Roll-up'!I$2,'Phase I Pro Forma'!$F$284:$Z$284,0)),0)</f>
        <v>26025128.617821947</v>
      </c>
      <c r="J30" s="33">
        <f ca="1">+IFERROR(INDEX('Phase I Pro Forma'!$F$420:$Z$420,1,MATCH('Cash Flow Roll-up'!J$2,'Phase I Pro Forma'!$F$284:$Z$284,0)),0)</f>
        <v>6059051.7786759175</v>
      </c>
      <c r="K30" s="33">
        <f ca="1">+IFERROR(INDEX('Phase I Pro Forma'!$F$420:$Z$420,1,MATCH('Cash Flow Roll-up'!K$2,'Phase I Pro Forma'!$F$284:$Z$284,0)),0)</f>
        <v>6511745.0067975959</v>
      </c>
      <c r="L30" s="33">
        <f ca="1">+IFERROR(INDEX('Phase I Pro Forma'!$F$420:$Z$420,1,MATCH('Cash Flow Roll-up'!L$2,'Phase I Pro Forma'!$F$284:$Z$284,0)),0)</f>
        <v>-3572567.7525251629</v>
      </c>
      <c r="M30" s="33">
        <f ca="1">+IFERROR(INDEX('Phase I Pro Forma'!$F$420:$Z$420,1,MATCH('Cash Flow Roll-up'!M$2,'Phase I Pro Forma'!$F$284:$Z$284,0)),0)</f>
        <v>8098245.424605825</v>
      </c>
      <c r="N30" s="33">
        <f ca="1">+IFERROR(INDEX('Phase I Pro Forma'!$F$420:$Z$420,1,MATCH('Cash Flow Roll-up'!N$2,'Phase I Pro Forma'!$F$284:$Z$284,0)),0)</f>
        <v>8406090.0324509423</v>
      </c>
      <c r="O30" s="33">
        <f ca="1">+IFERROR(INDEX('Phase I Pro Forma'!$F$420:$Z$420,1,MATCH('Cash Flow Roll-up'!O$2,'Phase I Pro Forma'!$F$284:$Z$284,0)),0)</f>
        <v>8720119.5828100964</v>
      </c>
      <c r="P30" s="33">
        <f ca="1">+IFERROR(INDEX('Phase I Pro Forma'!$F$420:$Z$420,1,MATCH('Cash Flow Roll-up'!P$2,'Phase I Pro Forma'!$F$284:$Z$284,0)),0)</f>
        <v>216782775.22771481</v>
      </c>
      <c r="Q30" s="33">
        <f ca="1">+IFERROR(INDEX('Phase I Pro Forma'!$F$420:$Z$420,1,MATCH('Cash Flow Roll-up'!Q$2,'Phase I Pro Forma'!$F$284:$Z$284,0)),0)</f>
        <v>0</v>
      </c>
      <c r="R30" s="33">
        <f ca="1">+IFERROR(INDEX('Phase I Pro Forma'!$F$420:$Z$420,1,MATCH('Cash Flow Roll-up'!R$2,'Phase I Pro Forma'!$F$284:$Z$284,0)),0)</f>
        <v>0</v>
      </c>
      <c r="S30" s="33">
        <f ca="1">+IFERROR(INDEX('Phase I Pro Forma'!$F$420:$Z$420,1,MATCH('Cash Flow Roll-up'!S$2,'Phase I Pro Forma'!$F$284:$Z$284,0)),0)</f>
        <v>0</v>
      </c>
      <c r="T30" s="33">
        <f ca="1">+IFERROR(INDEX('Phase I Pro Forma'!$F$420:$Z$420,1,MATCH('Cash Flow Roll-up'!T$2,'Phase I Pro Forma'!$F$284:$Z$284,0)),0)</f>
        <v>0</v>
      </c>
      <c r="U30" s="33">
        <f ca="1">+IFERROR(INDEX('Phase I Pro Forma'!$F$420:$Z$420,1,MATCH('Cash Flow Roll-up'!U$2,'Phase I Pro Forma'!$F$284:$Z$284,0)),0)</f>
        <v>0</v>
      </c>
      <c r="V30" s="33">
        <f ca="1">+IFERROR(INDEX('Phase I Pro Forma'!$F$420:$Z$420,1,MATCH('Cash Flow Roll-up'!V$2,'Phase I Pro Forma'!$F$284:$Z$284,0)),0)</f>
        <v>0</v>
      </c>
      <c r="W30" s="33">
        <f ca="1">+IFERROR(INDEX('Phase I Pro Forma'!$F$420:$Z$420,1,MATCH('Cash Flow Roll-up'!W$2,'Phase I Pro Forma'!$F$284:$Z$284,0)),0)</f>
        <v>0</v>
      </c>
      <c r="X30" s="33">
        <f ca="1">+IFERROR(INDEX('Phase I Pro Forma'!$F$420:$Z$420,1,MATCH('Cash Flow Roll-up'!X$2,'Phase I Pro Forma'!$F$284:$Z$284,0)),0)</f>
        <v>0</v>
      </c>
      <c r="Y30" s="33">
        <f ca="1">+IFERROR(INDEX('Phase I Pro Forma'!$F$420:$Z$420,1,MATCH('Cash Flow Roll-up'!Y$2,'Phase I Pro Forma'!$F$284:$Z$284,0)),0)</f>
        <v>0</v>
      </c>
      <c r="Z30" s="33">
        <f ca="1">+IFERROR(INDEX('Phase I Pro Forma'!$F$420:$Z$420,1,MATCH('Cash Flow Roll-up'!Z$2,'Phase I Pro Forma'!$F$284:$Z$284,0)),0)</f>
        <v>0</v>
      </c>
    </row>
    <row r="31" spans="2:26" x14ac:dyDescent="0.2">
      <c r="B31" s="32" t="s">
        <v>375</v>
      </c>
      <c r="D31" s="24">
        <f ca="1">+SUM(F31:Z31)</f>
        <v>90147165.895794332</v>
      </c>
      <c r="F31" s="150">
        <f>+IFERROR(INDEX('Phase II Pro Forma'!$F$420:$Z$420,1,MATCH('Cash Flow Roll-up'!F$2,'Phase II Pro Forma'!$F$284:$Z$284,0)),0)</f>
        <v>0</v>
      </c>
      <c r="G31" s="150">
        <f>+IFERROR(INDEX('Phase II Pro Forma'!$F$420:$Z$420,1,MATCH('Cash Flow Roll-up'!G$2,'Phase II Pro Forma'!$F$284:$Z$284,0)),0)</f>
        <v>0</v>
      </c>
      <c r="H31" s="150">
        <f ca="1">+IFERROR(INDEX('Phase II Pro Forma'!$F$420:$Z$420,1,MATCH('Cash Flow Roll-up'!H$2,'Phase II Pro Forma'!$F$284:$Z$284,0)),0)</f>
        <v>-14910286.24805651</v>
      </c>
      <c r="I31" s="150">
        <f ca="1">+IFERROR(INDEX('Phase II Pro Forma'!$F$420:$Z$420,1,MATCH('Cash Flow Roll-up'!I$2,'Phase II Pro Forma'!$F$284:$Z$284,0)),0)</f>
        <v>-13753827.153426699</v>
      </c>
      <c r="J31" s="150">
        <f ca="1">+IFERROR(INDEX('Phase II Pro Forma'!$F$420:$Z$420,1,MATCH('Cash Flow Roll-up'!J$2,'Phase II Pro Forma'!$F$284:$Z$284,0)),0)</f>
        <v>0</v>
      </c>
      <c r="K31" s="150">
        <f ca="1">+IFERROR(INDEX('Phase II Pro Forma'!$F$420:$Z$420,1,MATCH('Cash Flow Roll-up'!K$2,'Phase II Pro Forma'!$F$284:$Z$284,0)),0)</f>
        <v>19555344.162533827</v>
      </c>
      <c r="L31" s="150">
        <f ca="1">+IFERROR(INDEX('Phase II Pro Forma'!$F$420:$Z$420,1,MATCH('Cash Flow Roll-up'!L$2,'Phase II Pro Forma'!$F$284:$Z$284,0)),0)</f>
        <v>-3023114.3416153062</v>
      </c>
      <c r="M31" s="150">
        <f ca="1">+IFERROR(INDEX('Phase II Pro Forma'!$F$420:$Z$420,1,MATCH('Cash Flow Roll-up'!M$2,'Phase II Pro Forma'!$F$284:$Z$284,0)),0)</f>
        <v>3776000.877569763</v>
      </c>
      <c r="N31" s="150">
        <f ca="1">+IFERROR(INDEX('Phase II Pro Forma'!$F$420:$Z$420,1,MATCH('Cash Flow Roll-up'!N$2,'Phase II Pro Forma'!$F$284:$Z$284,0)),0)</f>
        <v>4469565.0466692662</v>
      </c>
      <c r="O31" s="150">
        <f ca="1">+IFERROR(INDEX('Phase II Pro Forma'!$F$420:$Z$420,1,MATCH('Cash Flow Roll-up'!O$2,'Phase II Pro Forma'!$F$284:$Z$284,0)),0)</f>
        <v>4635818.4800037323</v>
      </c>
      <c r="P31" s="150">
        <f ca="1">+IFERROR(INDEX('Phase II Pro Forma'!$F$420:$Z$420,1,MATCH('Cash Flow Roll-up'!P$2,'Phase II Pro Forma'!$F$284:$Z$284,0)),0)</f>
        <v>89397665.072116211</v>
      </c>
      <c r="Q31" s="150">
        <f ca="1">+IFERROR(INDEX('Phase II Pro Forma'!$F$420:$Z$420,1,MATCH('Cash Flow Roll-up'!Q$2,'Phase II Pro Forma'!$F$284:$Z$284,0)),0)</f>
        <v>0</v>
      </c>
      <c r="R31" s="150">
        <f ca="1">+IFERROR(INDEX('Phase II Pro Forma'!$F$420:$Z$420,1,MATCH('Cash Flow Roll-up'!R$2,'Phase II Pro Forma'!$F$284:$Z$284,0)),0)</f>
        <v>0</v>
      </c>
      <c r="S31" s="150">
        <f ca="1">+IFERROR(INDEX('Phase II Pro Forma'!$F$420:$Z$420,1,MATCH('Cash Flow Roll-up'!S$2,'Phase II Pro Forma'!$F$284:$Z$284,0)),0)</f>
        <v>0</v>
      </c>
      <c r="T31" s="150">
        <f ca="1">+IFERROR(INDEX('Phase II Pro Forma'!$F$420:$Z$420,1,MATCH('Cash Flow Roll-up'!T$2,'Phase II Pro Forma'!$F$284:$Z$284,0)),0)</f>
        <v>0</v>
      </c>
      <c r="U31" s="150">
        <f ca="1">+IFERROR(INDEX('Phase II Pro Forma'!$F$420:$Z$420,1,MATCH('Cash Flow Roll-up'!U$2,'Phase II Pro Forma'!$F$284:$Z$284,0)),0)</f>
        <v>0</v>
      </c>
      <c r="V31" s="150">
        <f ca="1">+IFERROR(INDEX('Phase II Pro Forma'!$F$420:$Z$420,1,MATCH('Cash Flow Roll-up'!V$2,'Phase II Pro Forma'!$F$284:$Z$284,0)),0)</f>
        <v>0</v>
      </c>
      <c r="W31" s="150">
        <f ca="1">+IFERROR(INDEX('Phase II Pro Forma'!$F$420:$Z$420,1,MATCH('Cash Flow Roll-up'!W$2,'Phase II Pro Forma'!$F$284:$Z$284,0)),0)</f>
        <v>0</v>
      </c>
      <c r="X31" s="150">
        <f ca="1">+IFERROR(INDEX('Phase II Pro Forma'!$F$420:$Z$420,1,MATCH('Cash Flow Roll-up'!X$2,'Phase II Pro Forma'!$F$284:$Z$284,0)),0)</f>
        <v>0</v>
      </c>
      <c r="Y31" s="150">
        <f ca="1">+IFERROR(INDEX('Phase II Pro Forma'!$F$420:$Z$420,1,MATCH('Cash Flow Roll-up'!Y$2,'Phase II Pro Forma'!$F$284:$Z$284,0)),0)</f>
        <v>0</v>
      </c>
      <c r="Z31" s="150">
        <f ca="1">+IFERROR(INDEX('Phase II Pro Forma'!$F$420:$Z$420,1,MATCH('Cash Flow Roll-up'!Z$2,'Phase II Pro Forma'!$F$284:$Z$284,0)),0)</f>
        <v>0</v>
      </c>
    </row>
    <row r="32" spans="2:26" x14ac:dyDescent="0.2">
      <c r="B32" s="32" t="s">
        <v>378</v>
      </c>
      <c r="D32" s="24">
        <f ca="1">+SUM(F32:Z32)</f>
        <v>125998904.56309691</v>
      </c>
      <c r="F32" s="150">
        <f>+IFERROR(INDEX('Phase III Pro Forma'!$F$420:$Z$420,1,MATCH('Cash Flow Roll-up'!F$2,'Phase III Pro Forma'!$F$284:$Z$284,0)),0)</f>
        <v>0</v>
      </c>
      <c r="G32" s="150">
        <f>+IFERROR(INDEX('Phase III Pro Forma'!$F$420:$Z$420,1,MATCH('Cash Flow Roll-up'!G$2,'Phase III Pro Forma'!$F$284:$Z$284,0)),0)</f>
        <v>0</v>
      </c>
      <c r="H32" s="150">
        <f>+IFERROR(INDEX('Phase III Pro Forma'!$F$420:$Z$420,1,MATCH('Cash Flow Roll-up'!H$2,'Phase III Pro Forma'!$F$284:$Z$284,0)),0)</f>
        <v>0</v>
      </c>
      <c r="I32" s="150">
        <f>+IFERROR(INDEX('Phase III Pro Forma'!$F$420:$Z$420,1,MATCH('Cash Flow Roll-up'!I$2,'Phase III Pro Forma'!$F$284:$Z$284,0)),0)</f>
        <v>0</v>
      </c>
      <c r="J32" s="150">
        <f ca="1">+IFERROR(INDEX('Phase III Pro Forma'!$F$420:$Z$420,1,MATCH('Cash Flow Roll-up'!J$2,'Phase III Pro Forma'!$F$284:$Z$284,0)),0)</f>
        <v>-44054649.66705507</v>
      </c>
      <c r="K32" s="150">
        <f ca="1">+IFERROR(INDEX('Phase III Pro Forma'!$F$420:$Z$420,1,MATCH('Cash Flow Roll-up'!K$2,'Phase III Pro Forma'!$F$284:$Z$284,0)),0)</f>
        <v>-18008089.357335143</v>
      </c>
      <c r="L32" s="150">
        <f ca="1">+IFERROR(INDEX('Phase III Pro Forma'!$F$420:$Z$420,1,MATCH('Cash Flow Roll-up'!L$2,'Phase III Pro Forma'!$F$284:$Z$284,0)),0)</f>
        <v>-14847921.108366773</v>
      </c>
      <c r="M32" s="150">
        <f ca="1">+IFERROR(INDEX('Phase III Pro Forma'!$F$420:$Z$420,1,MATCH('Cash Flow Roll-up'!M$2,'Phase III Pro Forma'!$F$284:$Z$284,0)),0)</f>
        <v>35377399.181821629</v>
      </c>
      <c r="N32" s="150">
        <f ca="1">+IFERROR(INDEX('Phase III Pro Forma'!$F$420:$Z$420,1,MATCH('Cash Flow Roll-up'!N$2,'Phase III Pro Forma'!$F$284:$Z$284,0)),0)</f>
        <v>4818563.7919931598</v>
      </c>
      <c r="O32" s="150">
        <f ca="1">+IFERROR(INDEX('Phase III Pro Forma'!$F$420:$Z$420,1,MATCH('Cash Flow Roll-up'!O$2,'Phase III Pro Forma'!$F$284:$Z$284,0)),0)</f>
        <v>5001949.9216671335</v>
      </c>
      <c r="P32" s="150">
        <f ca="1">+IFERROR(INDEX('Phase III Pro Forma'!$F$420:$Z$420,1,MATCH('Cash Flow Roll-up'!P$2,'Phase III Pro Forma'!$F$284:$Z$284,0)),0)</f>
        <v>157711651.80037218</v>
      </c>
      <c r="Q32" s="150">
        <f ca="1">+IFERROR(INDEX('Phase III Pro Forma'!$F$420:$Z$420,1,MATCH('Cash Flow Roll-up'!Q$2,'Phase III Pro Forma'!$F$284:$Z$284,0)),0)</f>
        <v>0</v>
      </c>
      <c r="R32" s="150">
        <f ca="1">+IFERROR(INDEX('Phase III Pro Forma'!$F$420:$Z$420,1,MATCH('Cash Flow Roll-up'!R$2,'Phase III Pro Forma'!$F$284:$Z$284,0)),0)</f>
        <v>0</v>
      </c>
      <c r="S32" s="150">
        <f ca="1">+IFERROR(INDEX('Phase III Pro Forma'!$F$420:$Z$420,1,MATCH('Cash Flow Roll-up'!S$2,'Phase III Pro Forma'!$F$284:$Z$284,0)),0)</f>
        <v>0</v>
      </c>
      <c r="T32" s="150">
        <f ca="1">+IFERROR(INDEX('Phase III Pro Forma'!$F$420:$Z$420,1,MATCH('Cash Flow Roll-up'!T$2,'Phase III Pro Forma'!$F$284:$Z$284,0)),0)</f>
        <v>0</v>
      </c>
      <c r="U32" s="150">
        <f ca="1">+IFERROR(INDEX('Phase III Pro Forma'!$F$420:$Z$420,1,MATCH('Cash Flow Roll-up'!U$2,'Phase III Pro Forma'!$F$284:$Z$284,0)),0)</f>
        <v>0</v>
      </c>
      <c r="V32" s="150">
        <f ca="1">+IFERROR(INDEX('Phase III Pro Forma'!$F$420:$Z$420,1,MATCH('Cash Flow Roll-up'!V$2,'Phase III Pro Forma'!$F$284:$Z$284,0)),0)</f>
        <v>0</v>
      </c>
      <c r="W32" s="150">
        <f ca="1">+IFERROR(INDEX('Phase III Pro Forma'!$F$420:$Z$420,1,MATCH('Cash Flow Roll-up'!W$2,'Phase III Pro Forma'!$F$284:$Z$284,0)),0)</f>
        <v>0</v>
      </c>
      <c r="X32" s="150">
        <f ca="1">+IFERROR(INDEX('Phase III Pro Forma'!$F$420:$Z$420,1,MATCH('Cash Flow Roll-up'!X$2,'Phase III Pro Forma'!$F$284:$Z$284,0)),0)</f>
        <v>0</v>
      </c>
      <c r="Y32" s="150">
        <f ca="1">+IFERROR(INDEX('Phase III Pro Forma'!$F$420:$Z$420,1,MATCH('Cash Flow Roll-up'!Y$2,'Phase III Pro Forma'!$F$284:$Z$284,0)),0)</f>
        <v>0</v>
      </c>
      <c r="Z32" s="150">
        <f ca="1">+IFERROR(INDEX('Phase III Pro Forma'!$F$420:$Z$420,1,MATCH('Cash Flow Roll-up'!Z$2,'Phase III Pro Forma'!$F$284:$Z$284,0)),0)</f>
        <v>0</v>
      </c>
    </row>
    <row r="33" spans="2:26" x14ac:dyDescent="0.2">
      <c r="B33" s="165" t="s">
        <v>652</v>
      </c>
      <c r="C33" s="165"/>
      <c r="D33" s="165"/>
      <c r="E33" s="165"/>
      <c r="F33" s="166">
        <f t="shared" ref="F33:Z33" ca="1" si="5">+SUM(F30:F32)</f>
        <v>-40689040.549183212</v>
      </c>
      <c r="G33" s="166">
        <f t="shared" ca="1" si="5"/>
        <v>-10001482.718569461</v>
      </c>
      <c r="H33" s="166">
        <f t="shared" ca="1" si="5"/>
        <v>-14910286.24805651</v>
      </c>
      <c r="I33" s="166">
        <f t="shared" ca="1" si="5"/>
        <v>12271301.464395247</v>
      </c>
      <c r="J33" s="166">
        <f t="shared" ca="1" si="5"/>
        <v>-37995597.888379157</v>
      </c>
      <c r="K33" s="166">
        <f t="shared" ca="1" si="5"/>
        <v>8058999.8119962811</v>
      </c>
      <c r="L33" s="166">
        <f t="shared" ca="1" si="5"/>
        <v>-21443603.202507243</v>
      </c>
      <c r="M33" s="166">
        <f t="shared" ca="1" si="5"/>
        <v>47251645.483997218</v>
      </c>
      <c r="N33" s="166">
        <f t="shared" ca="1" si="5"/>
        <v>17694218.871113367</v>
      </c>
      <c r="O33" s="166">
        <f t="shared" ca="1" si="5"/>
        <v>18357887.984480962</v>
      </c>
      <c r="P33" s="166">
        <f t="shared" ca="1" si="5"/>
        <v>463892092.10020322</v>
      </c>
      <c r="Q33" s="166">
        <f t="shared" ca="1" si="5"/>
        <v>0</v>
      </c>
      <c r="R33" s="166">
        <f t="shared" ca="1" si="5"/>
        <v>0</v>
      </c>
      <c r="S33" s="166">
        <f t="shared" ca="1" si="5"/>
        <v>0</v>
      </c>
      <c r="T33" s="166">
        <f t="shared" ca="1" si="5"/>
        <v>0</v>
      </c>
      <c r="U33" s="166">
        <f t="shared" ca="1" si="5"/>
        <v>0</v>
      </c>
      <c r="V33" s="166">
        <f t="shared" ca="1" si="5"/>
        <v>0</v>
      </c>
      <c r="W33" s="166">
        <f t="shared" ca="1" si="5"/>
        <v>0</v>
      </c>
      <c r="X33" s="166">
        <f t="shared" ca="1" si="5"/>
        <v>0</v>
      </c>
      <c r="Y33" s="166">
        <f t="shared" ca="1" si="5"/>
        <v>0</v>
      </c>
      <c r="Z33" s="166">
        <f t="shared" ca="1" si="5"/>
        <v>0</v>
      </c>
    </row>
    <row r="35" spans="2:26" x14ac:dyDescent="0.2">
      <c r="B35" s="188" t="s">
        <v>650</v>
      </c>
      <c r="C35" s="188"/>
      <c r="D35" s="189">
        <f ca="1">+IRR(F33:Z33)</f>
        <v>0.23791644435961112</v>
      </c>
    </row>
    <row r="36" spans="2:26" x14ac:dyDescent="0.2">
      <c r="B36" s="192" t="s">
        <v>651</v>
      </c>
      <c r="C36" s="191"/>
      <c r="D36" s="225">
        <f ca="1">+D35/(1-'Assumptions and Sensis'!$M$227)</f>
        <v>0.30116005615140645</v>
      </c>
    </row>
    <row r="38" spans="2:26" x14ac:dyDescent="0.2">
      <c r="B38" s="147" t="s">
        <v>678</v>
      </c>
    </row>
    <row r="39" spans="2:26" x14ac:dyDescent="0.2">
      <c r="B39" s="556" t="s">
        <v>685</v>
      </c>
      <c r="C39" s="556"/>
      <c r="D39" s="556"/>
      <c r="E39" s="556"/>
      <c r="F39" s="557">
        <f ca="1">+IF(F3&lt;0,F3,0)</f>
        <v>-51505114.619219258</v>
      </c>
      <c r="G39" s="557">
        <f t="shared" ref="G39:Z39" ca="1" si="6">+IF(G3&lt;0,G3,0)</f>
        <v>-12660104.707049951</v>
      </c>
      <c r="H39" s="557">
        <f t="shared" ca="1" si="6"/>
        <v>0</v>
      </c>
      <c r="I39" s="557">
        <f t="shared" ca="1" si="6"/>
        <v>0</v>
      </c>
      <c r="J39" s="557">
        <f t="shared" ca="1" si="6"/>
        <v>0</v>
      </c>
      <c r="K39" s="557">
        <f t="shared" ca="1" si="6"/>
        <v>0</v>
      </c>
      <c r="L39" s="557">
        <f t="shared" ca="1" si="6"/>
        <v>0</v>
      </c>
      <c r="M39" s="557">
        <f t="shared" ca="1" si="6"/>
        <v>0</v>
      </c>
      <c r="N39" s="557">
        <f t="shared" ca="1" si="6"/>
        <v>0</v>
      </c>
      <c r="O39" s="557">
        <f t="shared" ca="1" si="6"/>
        <v>0</v>
      </c>
      <c r="P39" s="557">
        <f t="shared" ca="1" si="6"/>
        <v>0</v>
      </c>
      <c r="Q39" s="557">
        <f t="shared" ca="1" si="6"/>
        <v>0</v>
      </c>
      <c r="R39" s="557">
        <f t="shared" ca="1" si="6"/>
        <v>0</v>
      </c>
      <c r="S39" s="557">
        <f t="shared" ca="1" si="6"/>
        <v>0</v>
      </c>
      <c r="T39" s="557">
        <f t="shared" ca="1" si="6"/>
        <v>0</v>
      </c>
      <c r="U39" s="557">
        <f t="shared" ca="1" si="6"/>
        <v>0</v>
      </c>
      <c r="V39" s="557">
        <f t="shared" ca="1" si="6"/>
        <v>0</v>
      </c>
      <c r="W39" s="557">
        <f t="shared" ca="1" si="6"/>
        <v>0</v>
      </c>
      <c r="X39" s="557">
        <f t="shared" ca="1" si="6"/>
        <v>0</v>
      </c>
      <c r="Y39" s="557">
        <f t="shared" ca="1" si="6"/>
        <v>0</v>
      </c>
      <c r="Z39" s="557">
        <f t="shared" ca="1" si="6"/>
        <v>0</v>
      </c>
    </row>
    <row r="40" spans="2:26" x14ac:dyDescent="0.2">
      <c r="B40" s="554" t="s">
        <v>686</v>
      </c>
      <c r="C40" s="554"/>
      <c r="D40" s="554"/>
      <c r="E40" s="554"/>
      <c r="F40" s="555">
        <f ca="1">+IF(F3&gt;0,MIN(F3,-SUM($F$39:$Z$39)-SUM($E40:E$40)),0)</f>
        <v>0</v>
      </c>
      <c r="G40" s="555">
        <f ca="1">+IF(G3&gt;0,MIN(G3,-SUM($F$39:$Z$39)-SUM($E40:F$40)),0)</f>
        <v>0</v>
      </c>
      <c r="H40" s="555">
        <f ca="1">+IF(H3&gt;0,MIN(H3,-SUM($F$39:$Z$39)-SUM($E40:G$40)),0)</f>
        <v>0</v>
      </c>
      <c r="I40" s="555">
        <f ca="1">+IF(I3&gt;0,MIN(I3,-SUM($F$39:$Z$39)-SUM($E40:H$40)),0)</f>
        <v>24891988.041406084</v>
      </c>
      <c r="J40" s="555">
        <f ca="1">+IF(J3&gt;0,MIN(J3,-SUM($F$39:$Z$39)-SUM($E40:I$40)),0)</f>
        <v>5278132.2857078519</v>
      </c>
      <c r="K40" s="555">
        <f ca="1">+IF(K3&gt;0,MIN(K3,-SUM($F$39:$Z$39)-SUM($E40:J$40)),0)</f>
        <v>5896598.6043395866</v>
      </c>
      <c r="L40" s="555">
        <f ca="1">+IF(L3&gt;0,MIN(L3,-SUM($F$39:$Z$39)-SUM($E40:K$40)),0)</f>
        <v>7678126.75579214</v>
      </c>
      <c r="M40" s="555">
        <f ca="1">+IF(M3&gt;0,MIN(M3,-SUM($F$39:$Z$39)-SUM($E40:L$40)),0)</f>
        <v>8004752.9827835169</v>
      </c>
      <c r="N40" s="555">
        <f ca="1">+IF(N3&gt;0,MIN(N3,-SUM($F$39:$Z$39)-SUM($E40:M$40)),0)</f>
        <v>8449315.2071530111</v>
      </c>
      <c r="O40" s="555">
        <f ca="1">+IF(O3&gt;0,MIN(O3,-SUM($F$39:$Z$39)-SUM($E40:N$40)),0)</f>
        <v>3966305.4490870237</v>
      </c>
      <c r="P40" s="555">
        <f ca="1">+IF(P3&gt;0,MIN(P3,-SUM($F$39:$Z$39)-SUM($E40:O$40)),0)</f>
        <v>0</v>
      </c>
      <c r="Q40" s="555">
        <f ca="1">+IF(Q3&gt;0,MIN(Q3,-SUM($F$39:$Z$39)-SUM($E40:P$40)),0)</f>
        <v>0</v>
      </c>
      <c r="R40" s="555">
        <f ca="1">+IF(R3&gt;0,MIN(R3,-SUM($F$39:$Z$39)-SUM($E40:Q$40)),0)</f>
        <v>0</v>
      </c>
      <c r="S40" s="555">
        <f ca="1">+IF(S3&gt;0,MIN(S3,-SUM($F$39:$Z$39)-SUM($E40:R$40)),0)</f>
        <v>0</v>
      </c>
      <c r="T40" s="555">
        <f ca="1">+IF(T3&gt;0,MIN(T3,-SUM($F$39:$Z$39)-SUM($E40:S$40)),0)</f>
        <v>0</v>
      </c>
      <c r="U40" s="555">
        <f ca="1">+IF(U3&gt;0,MIN(U3,-SUM($F$39:$Z$39)-SUM($E40:T$40)),0)</f>
        <v>0</v>
      </c>
      <c r="V40" s="555">
        <f ca="1">+IF(V3&gt;0,MIN(V3,-SUM($F$39:$Z$39)-SUM($E40:U$40)),0)</f>
        <v>0</v>
      </c>
      <c r="W40" s="555">
        <f ca="1">+IF(W3&gt;0,MIN(W3,-SUM($F$39:$Z$39)-SUM($E40:V$40)),0)</f>
        <v>0</v>
      </c>
      <c r="X40" s="555">
        <f ca="1">+IF(X3&gt;0,MIN(X3,-SUM($F$39:$Z$39)-SUM($E40:W$40)),0)</f>
        <v>0</v>
      </c>
      <c r="Y40" s="555">
        <f ca="1">+IF(Y3&gt;0,MIN(Y3,-SUM($F$39:$Z$39)-SUM($E40:X$40)),0)</f>
        <v>0</v>
      </c>
      <c r="Z40" s="555">
        <f ca="1">+IF(Z3&gt;0,MIN(Z3,-SUM($F$39:$Z$39)-SUM($E40:Y$40)),0)</f>
        <v>0</v>
      </c>
    </row>
    <row r="41" spans="2:26" x14ac:dyDescent="0.2">
      <c r="B41" s="556" t="s">
        <v>683</v>
      </c>
      <c r="C41" s="556"/>
      <c r="D41" s="556"/>
      <c r="E41" s="556"/>
      <c r="F41" s="557">
        <f>+IF(F4&lt;0,F4,0)</f>
        <v>0</v>
      </c>
      <c r="G41" s="557">
        <f t="shared" ref="G41:Z41" si="7">+IF(G4&lt;0,G4,0)</f>
        <v>0</v>
      </c>
      <c r="H41" s="557">
        <f t="shared" ca="1" si="7"/>
        <v>-18873780.060831025</v>
      </c>
      <c r="I41" s="557">
        <f t="shared" ca="1" si="7"/>
        <v>-17409907.78914772</v>
      </c>
      <c r="J41" s="557">
        <f t="shared" ca="1" si="7"/>
        <v>0</v>
      </c>
      <c r="K41" s="557">
        <f t="shared" ca="1" si="7"/>
        <v>0</v>
      </c>
      <c r="L41" s="557">
        <f t="shared" ca="1" si="7"/>
        <v>0</v>
      </c>
      <c r="M41" s="557">
        <f t="shared" ca="1" si="7"/>
        <v>0</v>
      </c>
      <c r="N41" s="557">
        <f t="shared" ca="1" si="7"/>
        <v>0</v>
      </c>
      <c r="O41" s="557">
        <f t="shared" ca="1" si="7"/>
        <v>0</v>
      </c>
      <c r="P41" s="557">
        <f t="shared" ca="1" si="7"/>
        <v>0</v>
      </c>
      <c r="Q41" s="557">
        <f t="shared" ca="1" si="7"/>
        <v>0</v>
      </c>
      <c r="R41" s="557">
        <f t="shared" ca="1" si="7"/>
        <v>0</v>
      </c>
      <c r="S41" s="557">
        <f t="shared" ca="1" si="7"/>
        <v>0</v>
      </c>
      <c r="T41" s="557">
        <f t="shared" ca="1" si="7"/>
        <v>0</v>
      </c>
      <c r="U41" s="557">
        <f t="shared" ca="1" si="7"/>
        <v>0</v>
      </c>
      <c r="V41" s="557">
        <f t="shared" ca="1" si="7"/>
        <v>0</v>
      </c>
      <c r="W41" s="557">
        <f t="shared" ca="1" si="7"/>
        <v>0</v>
      </c>
      <c r="X41" s="557">
        <f t="shared" ca="1" si="7"/>
        <v>0</v>
      </c>
      <c r="Y41" s="557">
        <f t="shared" ca="1" si="7"/>
        <v>0</v>
      </c>
      <c r="Z41" s="557">
        <f t="shared" ca="1" si="7"/>
        <v>0</v>
      </c>
    </row>
    <row r="42" spans="2:26" x14ac:dyDescent="0.2">
      <c r="B42" s="554" t="s">
        <v>684</v>
      </c>
      <c r="C42" s="554"/>
      <c r="D42" s="554"/>
      <c r="E42" s="554"/>
      <c r="F42" s="555">
        <f>+IF(F4&gt;0,MIN(F4,-SUM($F$41:$Z$41)-SUM($E42:E$42)),0)</f>
        <v>0</v>
      </c>
      <c r="G42" s="555">
        <f>+IF(G4&gt;0,MIN(G4,-SUM($F$41:$Z$41)-SUM($E42:F$42)),0)</f>
        <v>0</v>
      </c>
      <c r="H42" s="555">
        <f ca="1">+IF(H4&gt;0,MIN(H4,-SUM($F$41:$Z$41)-SUM($E42:G$42)),0)</f>
        <v>0</v>
      </c>
      <c r="I42" s="555">
        <f ca="1">+IF(I4&gt;0,MIN(I4,-SUM($F$41:$Z$41)-SUM($E42:H$42)),0)</f>
        <v>0</v>
      </c>
      <c r="J42" s="555">
        <f ca="1">+IF(J4&gt;0,MIN(J4,-SUM($F$41:$Z$41)-SUM($E42:I$42)),0)</f>
        <v>0</v>
      </c>
      <c r="K42" s="555">
        <f ca="1">+IF(K4&gt;0,MIN(K4,-SUM($F$41:$Z$41)-SUM($E42:J$42)),0)</f>
        <v>18901765.613567784</v>
      </c>
      <c r="L42" s="555">
        <f ca="1">+IF(L4&gt;0,MIN(L4,-SUM($F$41:$Z$41)-SUM($E42:K$42)),0)</f>
        <v>3047194.9531564014</v>
      </c>
      <c r="M42" s="555">
        <f ca="1">+IF(M4&gt;0,MIN(M4,-SUM($F$41:$Z$41)-SUM($E42:L$42)),0)</f>
        <v>3480773.6680041822</v>
      </c>
      <c r="N42" s="555">
        <f ca="1">+IF(N4&gt;0,MIN(N4,-SUM($F$41:$Z$41)-SUM($E42:M$42)),0)</f>
        <v>4385732.7590233833</v>
      </c>
      <c r="O42" s="555">
        <f ca="1">+IF(O4&gt;0,MIN(O4,-SUM($F$41:$Z$41)-SUM($E42:N$42)),0)</f>
        <v>4624966.840634143</v>
      </c>
      <c r="P42" s="555">
        <f ca="1">+IF(P4&gt;0,MIN(P4,-SUM($F$41:$Z$41)-SUM($E42:O$42)),0)</f>
        <v>1843254.0155928507</v>
      </c>
      <c r="Q42" s="555">
        <f ca="1">+IF(Q4&gt;0,MIN(Q4,-SUM($F$41:$Z$41)-SUM($E42:P$42)),0)</f>
        <v>0</v>
      </c>
      <c r="R42" s="555">
        <f ca="1">+IF(R4&gt;0,MIN(R4,-SUM($F$41:$Z$41)-SUM($E42:Q$42)),0)</f>
        <v>0</v>
      </c>
      <c r="S42" s="555">
        <f ca="1">+IF(S4&gt;0,MIN(S4,-SUM($F$41:$Z$41)-SUM($E42:R$42)),0)</f>
        <v>0</v>
      </c>
      <c r="T42" s="555">
        <f ca="1">+IF(T4&gt;0,MIN(T4,-SUM($F$41:$Z$41)-SUM($E42:S$42)),0)</f>
        <v>0</v>
      </c>
      <c r="U42" s="555">
        <f ca="1">+IF(U4&gt;0,MIN(U4,-SUM($F$41:$Z$41)-SUM($E42:T$42)),0)</f>
        <v>0</v>
      </c>
      <c r="V42" s="555">
        <f ca="1">+IF(V4&gt;0,MIN(V4,-SUM($F$41:$Z$41)-SUM($E42:U$42)),0)</f>
        <v>0</v>
      </c>
      <c r="W42" s="555">
        <f ca="1">+IF(W4&gt;0,MIN(W4,-SUM($F$41:$Z$41)-SUM($E42:V$42)),0)</f>
        <v>0</v>
      </c>
      <c r="X42" s="555">
        <f ca="1">+IF(X4&gt;0,MIN(X4,-SUM($F$41:$Z$41)-SUM($E42:W$42)),0)</f>
        <v>0</v>
      </c>
      <c r="Y42" s="555">
        <f ca="1">+IF(Y4&gt;0,MIN(Y4,-SUM($F$41:$Z$41)-SUM($E42:X$42)),0)</f>
        <v>0</v>
      </c>
      <c r="Z42" s="555">
        <f ca="1">+IF(Z4&gt;0,MIN(Z4,-SUM($F$41:$Z$41)-SUM($E42:Y$42)),0)</f>
        <v>0</v>
      </c>
    </row>
    <row r="43" spans="2:26" x14ac:dyDescent="0.2">
      <c r="B43" s="556" t="s">
        <v>679</v>
      </c>
      <c r="C43" s="556"/>
      <c r="D43" s="556"/>
      <c r="E43" s="556"/>
      <c r="F43" s="557">
        <f>+IF(F5&lt;0,F5,0)</f>
        <v>0</v>
      </c>
      <c r="G43" s="557">
        <f t="shared" ref="G43:Z43" si="8">+IF(G5&lt;0,G5,0)</f>
        <v>0</v>
      </c>
      <c r="H43" s="557">
        <f t="shared" si="8"/>
        <v>0</v>
      </c>
      <c r="I43" s="557">
        <f t="shared" si="8"/>
        <v>0</v>
      </c>
      <c r="J43" s="557">
        <f t="shared" ca="1" si="8"/>
        <v>-55765379.325386167</v>
      </c>
      <c r="K43" s="557">
        <f t="shared" ca="1" si="8"/>
        <v>-22795049.819411576</v>
      </c>
      <c r="L43" s="557">
        <f t="shared" ca="1" si="8"/>
        <v>0</v>
      </c>
      <c r="M43" s="557">
        <f t="shared" ca="1" si="8"/>
        <v>0</v>
      </c>
      <c r="N43" s="557">
        <f t="shared" ca="1" si="8"/>
        <v>0</v>
      </c>
      <c r="O43" s="557">
        <f t="shared" ca="1" si="8"/>
        <v>0</v>
      </c>
      <c r="P43" s="557">
        <f t="shared" ca="1" si="8"/>
        <v>0</v>
      </c>
      <c r="Q43" s="557">
        <f t="shared" ca="1" si="8"/>
        <v>0</v>
      </c>
      <c r="R43" s="557">
        <f t="shared" ca="1" si="8"/>
        <v>0</v>
      </c>
      <c r="S43" s="557">
        <f t="shared" ca="1" si="8"/>
        <v>0</v>
      </c>
      <c r="T43" s="557">
        <f t="shared" ca="1" si="8"/>
        <v>0</v>
      </c>
      <c r="U43" s="557">
        <f t="shared" ca="1" si="8"/>
        <v>0</v>
      </c>
      <c r="V43" s="557">
        <f t="shared" ca="1" si="8"/>
        <v>0</v>
      </c>
      <c r="W43" s="557">
        <f t="shared" ca="1" si="8"/>
        <v>0</v>
      </c>
      <c r="X43" s="557">
        <f t="shared" ca="1" si="8"/>
        <v>0</v>
      </c>
      <c r="Y43" s="557">
        <f t="shared" ca="1" si="8"/>
        <v>0</v>
      </c>
      <c r="Z43" s="557">
        <f t="shared" ca="1" si="8"/>
        <v>0</v>
      </c>
    </row>
    <row r="44" spans="2:26" x14ac:dyDescent="0.2">
      <c r="B44" s="554" t="s">
        <v>680</v>
      </c>
      <c r="C44" s="554"/>
      <c r="D44" s="554"/>
      <c r="E44" s="554"/>
      <c r="F44" s="555">
        <f>+IF(F5&gt;0,MIN(F5,-SUM($F$43:$Z$43)-SUM($E44:E$44)),0)</f>
        <v>0</v>
      </c>
      <c r="G44" s="555">
        <f>+IF(G5&gt;0,MIN(G5,-SUM($F$43:$Z$43)-SUM($E44:F$44)),0)</f>
        <v>0</v>
      </c>
      <c r="H44" s="555">
        <f>+IF(H5&gt;0,MIN(H5,-SUM($F$43:$Z$43)-SUM($E44:G$44)),0)</f>
        <v>0</v>
      </c>
      <c r="I44" s="555">
        <f>+IF(I5&gt;0,MIN(I5,-SUM($F$43:$Z$43)-SUM($E44:H$44)),0)</f>
        <v>0</v>
      </c>
      <c r="J44" s="555">
        <f ca="1">+IF(J5&gt;0,MIN(J5,-SUM($F$43:$Z$43)-SUM($E44:I$44)),0)</f>
        <v>0</v>
      </c>
      <c r="K44" s="555">
        <f ca="1">+IF(K5&gt;0,MIN(K5,-SUM($F$43:$Z$43)-SUM($E44:J$44)),0)</f>
        <v>0</v>
      </c>
      <c r="L44" s="555">
        <f ca="1">+IF(L5&gt;0,MIN(L5,-SUM($F$43:$Z$43)-SUM($E44:K$44)),0)</f>
        <v>0</v>
      </c>
      <c r="M44" s="555">
        <f ca="1">+IF(M5&gt;0,MIN(M5,-SUM($F$43:$Z$43)-SUM($E44:L$44)),0)</f>
        <v>34294946.008652158</v>
      </c>
      <c r="N44" s="555">
        <f ca="1">+IF(N5&gt;0,MIN(N5,-SUM($F$43:$Z$43)-SUM($E44:M$44)),0)</f>
        <v>5163707.0895398315</v>
      </c>
      <c r="O44" s="555">
        <f ca="1">+IF(O5&gt;0,MIN(O5,-SUM($F$43:$Z$43)-SUM($E44:N$44)),0)</f>
        <v>5446481.3733853698</v>
      </c>
      <c r="P44" s="555">
        <f ca="1">+IF(P5&gt;0,MIN(P5,-SUM($F$43:$Z$43)-SUM($E44:O$44)),0)</f>
        <v>33655294.673220381</v>
      </c>
      <c r="Q44" s="555">
        <f ca="1">+IF(Q5&gt;0,MIN(Q5,-SUM($F$43:$Z$43)-SUM($E44:P$44)),0)</f>
        <v>0</v>
      </c>
      <c r="R44" s="555">
        <f ca="1">+IF(R5&gt;0,MIN(R5,-SUM($F$43:$Z$43)-SUM($E44:Q$44)),0)</f>
        <v>0</v>
      </c>
      <c r="S44" s="555">
        <f ca="1">+IF(S5&gt;0,MIN(S5,-SUM($F$43:$Z$43)-SUM($E44:R$44)),0)</f>
        <v>0</v>
      </c>
      <c r="T44" s="555">
        <f ca="1">+IF(T5&gt;0,MIN(T5,-SUM($F$43:$Z$43)-SUM($E44:S$44)),0)</f>
        <v>0</v>
      </c>
      <c r="U44" s="555">
        <f ca="1">+IF(U5&gt;0,MIN(U5,-SUM($F$43:$Z$43)-SUM($E44:T$44)),0)</f>
        <v>0</v>
      </c>
      <c r="V44" s="555">
        <f ca="1">+IF(V5&gt;0,MIN(V5,-SUM($F$43:$Z$43)-SUM($E44:U$44)),0)</f>
        <v>0</v>
      </c>
      <c r="W44" s="555">
        <f ca="1">+IF(W5&gt;0,MIN(W5,-SUM($F$43:$Z$43)-SUM($E44:V$44)),0)</f>
        <v>0</v>
      </c>
      <c r="X44" s="555">
        <f ca="1">+IF(X5&gt;0,MIN(X5,-SUM($F$43:$Z$43)-SUM($E44:W$44)),0)</f>
        <v>0</v>
      </c>
      <c r="Y44" s="555">
        <f ca="1">+IF(Y5&gt;0,MIN(Y5,-SUM($F$43:$Z$43)-SUM($E44:X$44)),0)</f>
        <v>0</v>
      </c>
      <c r="Z44" s="555">
        <f ca="1">+IF(Z5&gt;0,MIN(Z5,-SUM($F$43:$Z$43)-SUM($E44:Y$44)),0)</f>
        <v>0</v>
      </c>
    </row>
    <row r="45" spans="2:26" x14ac:dyDescent="0.2">
      <c r="B45" s="119" t="s">
        <v>681</v>
      </c>
      <c r="C45" s="119"/>
      <c r="D45" s="119"/>
      <c r="E45" s="119"/>
      <c r="F45" s="120">
        <f ca="1">+IF(F6&lt;0,F6,0)</f>
        <v>-51505114.619219258</v>
      </c>
      <c r="G45" s="120">
        <f t="shared" ref="G45:Z45" ca="1" si="9">+IF(G6&lt;0,G6,0)</f>
        <v>-12660104.707049951</v>
      </c>
      <c r="H45" s="120">
        <f t="shared" ca="1" si="9"/>
        <v>-18873780.060831025</v>
      </c>
      <c r="I45" s="120">
        <f t="shared" ca="1" si="9"/>
        <v>0</v>
      </c>
      <c r="J45" s="120">
        <f t="shared" ca="1" si="9"/>
        <v>-50487247.039678313</v>
      </c>
      <c r="K45" s="120">
        <f t="shared" ca="1" si="9"/>
        <v>0</v>
      </c>
      <c r="L45" s="120">
        <f t="shared" ca="1" si="9"/>
        <v>0</v>
      </c>
      <c r="M45" s="120">
        <f t="shared" ca="1" si="9"/>
        <v>0</v>
      </c>
      <c r="N45" s="120">
        <f t="shared" ca="1" si="9"/>
        <v>0</v>
      </c>
      <c r="O45" s="120">
        <f t="shared" ca="1" si="9"/>
        <v>0</v>
      </c>
      <c r="P45" s="120">
        <f t="shared" ca="1" si="9"/>
        <v>0</v>
      </c>
      <c r="Q45" s="120">
        <f t="shared" ca="1" si="9"/>
        <v>0</v>
      </c>
      <c r="R45" s="120">
        <f t="shared" ca="1" si="9"/>
        <v>0</v>
      </c>
      <c r="S45" s="120">
        <f t="shared" ca="1" si="9"/>
        <v>0</v>
      </c>
      <c r="T45" s="120">
        <f t="shared" ca="1" si="9"/>
        <v>0</v>
      </c>
      <c r="U45" s="120">
        <f t="shared" ca="1" si="9"/>
        <v>0</v>
      </c>
      <c r="V45" s="120">
        <f t="shared" ca="1" si="9"/>
        <v>0</v>
      </c>
      <c r="W45" s="120">
        <f t="shared" ca="1" si="9"/>
        <v>0</v>
      </c>
      <c r="X45" s="120">
        <f t="shared" ca="1" si="9"/>
        <v>0</v>
      </c>
      <c r="Y45" s="120">
        <f t="shared" ca="1" si="9"/>
        <v>0</v>
      </c>
      <c r="Z45" s="120">
        <f t="shared" ca="1" si="9"/>
        <v>0</v>
      </c>
    </row>
    <row r="46" spans="2:26" x14ac:dyDescent="0.2">
      <c r="B46" s="121" t="s">
        <v>682</v>
      </c>
      <c r="C46" s="121"/>
      <c r="D46" s="121"/>
      <c r="E46" s="121"/>
      <c r="F46" s="559">
        <f ca="1">+IF(F6&gt;0,MIN(F6,-SUM($F$45:$Z$45)-SUM($E$46:E46)),0)</f>
        <v>0</v>
      </c>
      <c r="G46" s="559">
        <f ca="1">+IF(G6&gt;0,MIN(G6,-SUM($F$45:$Z$45)-SUM($E$46:F46)),0)</f>
        <v>0</v>
      </c>
      <c r="H46" s="559">
        <f ca="1">+IF(H6&gt;0,MIN(H6,-SUM($F$45:$Z$45)-SUM($E$46:G46)),0)</f>
        <v>0</v>
      </c>
      <c r="I46" s="559">
        <f ca="1">+IF(I6&gt;0,MIN(I6,-SUM($F$45:$Z$45)-SUM($E$46:H46)),0)</f>
        <v>7482080.2522583641</v>
      </c>
      <c r="J46" s="559">
        <f ca="1">+IF(J6&gt;0,MIN(J6,-SUM($F$45:$Z$45)-SUM($E$46:I46)),0)</f>
        <v>0</v>
      </c>
      <c r="K46" s="559">
        <f ca="1">+IF(K6&gt;0,MIN(K6,-SUM($F$45:$Z$45)-SUM($E$46:J46)),0)</f>
        <v>2003314.3984957933</v>
      </c>
      <c r="L46" s="559">
        <f ca="1">+IF(L6&gt;0,MIN(L6,-SUM($F$45:$Z$45)-SUM($E$46:K46)),0)</f>
        <v>10725321.708948541</v>
      </c>
      <c r="M46" s="559">
        <f ca="1">+IF(M6&gt;0,MIN(M6,-SUM($F$45:$Z$45)-SUM($E$46:L46)),0)</f>
        <v>45780472.659439862</v>
      </c>
      <c r="N46" s="559">
        <f ca="1">+IF(N6&gt;0,MIN(N6,-SUM($F$45:$Z$45)-SUM($E$46:M46)),0)</f>
        <v>17998755.055716224</v>
      </c>
      <c r="O46" s="559">
        <f ca="1">+IF(O6&gt;0,MIN(O6,-SUM($F$45:$Z$45)-SUM($E$46:N46)),0)</f>
        <v>18976722.244561613</v>
      </c>
      <c r="P46" s="559">
        <f ca="1">+IF(P6&gt;0,MIN(P6,-SUM($F$45:$Z$45)-SUM($E$46:O46)),0)</f>
        <v>30559580.107358158</v>
      </c>
      <c r="Q46" s="559">
        <f ca="1">+IF(Q6&gt;0,MIN(Q6,-SUM($F$45:$Z$45)-SUM($E$46:P46)),0)</f>
        <v>0</v>
      </c>
      <c r="R46" s="559">
        <f ca="1">+IF(R6&gt;0,MIN(R6,-SUM($F$45:$Z$45)-SUM($E$46:Q46)),0)</f>
        <v>0</v>
      </c>
      <c r="S46" s="559">
        <f ca="1">+IF(S6&gt;0,MIN(S6,-SUM($F$45:$Z$45)-SUM($E$46:R46)),0)</f>
        <v>0</v>
      </c>
      <c r="T46" s="559">
        <f ca="1">+IF(T6&gt;0,MIN(T6,-SUM($F$45:$Z$45)-SUM($E$46:S46)),0)</f>
        <v>0</v>
      </c>
      <c r="U46" s="559">
        <f ca="1">+IF(U6&gt;0,MIN(U6,-SUM($F$45:$Z$45)-SUM($E$46:T46)),0)</f>
        <v>0</v>
      </c>
      <c r="V46" s="559">
        <f ca="1">+IF(V6&gt;0,MIN(V6,-SUM($F$45:$Z$45)-SUM($E$46:U46)),0)</f>
        <v>0</v>
      </c>
      <c r="W46" s="559">
        <f ca="1">+IF(W6&gt;0,MIN(W6,-SUM($F$45:$Z$45)-SUM($E$46:V46)),0)</f>
        <v>0</v>
      </c>
      <c r="X46" s="559">
        <f ca="1">+IF(X6&gt;0,MIN(X6,-SUM($F$45:$Z$45)-SUM($E$46:W46)),0)</f>
        <v>0</v>
      </c>
      <c r="Y46" s="559">
        <f ca="1">+IF(Y6&gt;0,MIN(Y6,-SUM($F$45:$Z$45)-SUM($E$46:X46)),0)</f>
        <v>0</v>
      </c>
      <c r="Z46" s="559">
        <f ca="1">+IF(Z6&gt;0,MIN(Z6,-SUM($F$45:$Z$45)-SUM($E$46:Y46)),0)</f>
        <v>0</v>
      </c>
    </row>
    <row r="47" spans="2:26" x14ac:dyDescent="0.2">
      <c r="B47" s="560" t="s">
        <v>687</v>
      </c>
      <c r="C47" s="156"/>
      <c r="D47" s="156"/>
      <c r="E47" s="156"/>
      <c r="F47" s="558">
        <f>+F2</f>
        <v>44196</v>
      </c>
      <c r="G47" s="558">
        <f t="shared" ref="G47:Z47" si="10">+G2</f>
        <v>44561</v>
      </c>
      <c r="H47" s="558">
        <f t="shared" si="10"/>
        <v>44926</v>
      </c>
      <c r="I47" s="558">
        <f t="shared" si="10"/>
        <v>45291</v>
      </c>
      <c r="J47" s="558">
        <f t="shared" si="10"/>
        <v>45657</v>
      </c>
      <c r="K47" s="558">
        <f t="shared" si="10"/>
        <v>46022</v>
      </c>
      <c r="L47" s="558">
        <f t="shared" si="10"/>
        <v>46387</v>
      </c>
      <c r="M47" s="558">
        <f t="shared" si="10"/>
        <v>46752</v>
      </c>
      <c r="N47" s="558">
        <f t="shared" si="10"/>
        <v>47118</v>
      </c>
      <c r="O47" s="558">
        <f t="shared" si="10"/>
        <v>47483</v>
      </c>
      <c r="P47" s="558">
        <f t="shared" si="10"/>
        <v>47848</v>
      </c>
      <c r="Q47" s="558">
        <f t="shared" si="10"/>
        <v>48213</v>
      </c>
      <c r="R47" s="558">
        <f t="shared" si="10"/>
        <v>48579</v>
      </c>
      <c r="S47" s="558">
        <f t="shared" si="10"/>
        <v>48944</v>
      </c>
      <c r="T47" s="558">
        <f t="shared" si="10"/>
        <v>49309</v>
      </c>
      <c r="U47" s="558">
        <f t="shared" si="10"/>
        <v>49674</v>
      </c>
      <c r="V47" s="558">
        <f t="shared" si="10"/>
        <v>50040</v>
      </c>
      <c r="W47" s="558">
        <f t="shared" si="10"/>
        <v>50405</v>
      </c>
      <c r="X47" s="558">
        <f t="shared" si="10"/>
        <v>50770</v>
      </c>
      <c r="Y47" s="558">
        <f t="shared" si="10"/>
        <v>51135</v>
      </c>
      <c r="Z47" s="558">
        <f t="shared" si="10"/>
        <v>51501</v>
      </c>
    </row>
    <row r="48" spans="2:26" x14ac:dyDescent="0.2">
      <c r="B48" s="156" t="s">
        <v>21</v>
      </c>
      <c r="C48" s="156"/>
      <c r="D48" s="156"/>
      <c r="E48" s="156"/>
      <c r="F48" s="339">
        <f ca="1">-SUM($F39:F40)</f>
        <v>51505114.619219258</v>
      </c>
      <c r="G48" s="339">
        <f ca="1">-SUM($F39:G40)</f>
        <v>64165219.326269209</v>
      </c>
      <c r="H48" s="339">
        <f ca="1">-SUM($F39:H40)</f>
        <v>64165219.326269209</v>
      </c>
      <c r="I48" s="339">
        <f ca="1">-SUM($F39:I40)</f>
        <v>39273231.284863129</v>
      </c>
      <c r="J48" s="339">
        <f ca="1">-SUM($F39:J40)</f>
        <v>33995098.999155276</v>
      </c>
      <c r="K48" s="339">
        <f ca="1">-SUM($F39:K40)</f>
        <v>28098500.394815691</v>
      </c>
      <c r="L48" s="339">
        <f ca="1">-SUM($F39:L40)</f>
        <v>20420373.63902355</v>
      </c>
      <c r="M48" s="339">
        <f ca="1">-SUM($F39:M40)</f>
        <v>12415620.656240033</v>
      </c>
      <c r="N48" s="339">
        <f ca="1">-SUM($F39:N40)</f>
        <v>3966305.4490870219</v>
      </c>
      <c r="O48" s="339">
        <f ca="1">-SUM($F39:O40)</f>
        <v>0</v>
      </c>
      <c r="P48" s="339">
        <f ca="1">-SUM($F39:P40)</f>
        <v>-1.862645149230957E-9</v>
      </c>
      <c r="Q48" s="339">
        <f ca="1">-SUM($F39:Q40)</f>
        <v>-1.862645149230957E-9</v>
      </c>
      <c r="R48" s="339">
        <f ca="1">-SUM($F39:R40)</f>
        <v>-1.862645149230957E-9</v>
      </c>
      <c r="S48" s="339">
        <f ca="1">-SUM($F39:S40)</f>
        <v>-1.862645149230957E-9</v>
      </c>
      <c r="T48" s="339">
        <f ca="1">-SUM($F39:T40)</f>
        <v>-1.862645149230957E-9</v>
      </c>
      <c r="U48" s="339">
        <f ca="1">-SUM($F39:U40)</f>
        <v>-1.862645149230957E-9</v>
      </c>
      <c r="V48" s="339">
        <f ca="1">-SUM($F39:V40)</f>
        <v>-1.862645149230957E-9</v>
      </c>
      <c r="W48" s="339">
        <f ca="1">-SUM($F39:W40)</f>
        <v>-1.862645149230957E-9</v>
      </c>
      <c r="X48" s="339">
        <f ca="1">-SUM($F39:X40)</f>
        <v>-1.862645149230957E-9</v>
      </c>
      <c r="Y48" s="339">
        <f ca="1">-SUM($F39:Y40)</f>
        <v>-1.862645149230957E-9</v>
      </c>
      <c r="Z48" s="339">
        <f ca="1">-SUM($F39:Z40)</f>
        <v>-1.862645149230957E-9</v>
      </c>
    </row>
    <row r="49" spans="2:26" x14ac:dyDescent="0.2">
      <c r="B49" s="156" t="s">
        <v>375</v>
      </c>
      <c r="C49" s="156"/>
      <c r="D49" s="156"/>
      <c r="E49" s="156"/>
      <c r="F49" s="339">
        <f>-SUM($F41:F42)</f>
        <v>0</v>
      </c>
      <c r="G49" s="339">
        <f>-SUM($F41:G42)</f>
        <v>0</v>
      </c>
      <c r="H49" s="339">
        <f ca="1">-SUM($F41:H42)</f>
        <v>18873780.060831025</v>
      </c>
      <c r="I49" s="339">
        <f ca="1">-SUM($F41:I42)</f>
        <v>36283687.849978745</v>
      </c>
      <c r="J49" s="339">
        <f ca="1">-SUM($F41:J42)</f>
        <v>36283687.849978745</v>
      </c>
      <c r="K49" s="339">
        <f ca="1">-SUM($F41:K42)</f>
        <v>17381922.236410961</v>
      </c>
      <c r="L49" s="339">
        <f ca="1">-SUM($F41:L42)</f>
        <v>14334727.28325456</v>
      </c>
      <c r="M49" s="339">
        <f ca="1">-SUM($F41:M42)</f>
        <v>10853953.615250379</v>
      </c>
      <c r="N49" s="339">
        <f ca="1">-SUM($F41:N42)</f>
        <v>6468220.8562269956</v>
      </c>
      <c r="O49" s="339">
        <f ca="1">-SUM($F41:O42)</f>
        <v>1843254.0155928526</v>
      </c>
      <c r="P49" s="339">
        <f ca="1">-SUM($F41:P42)</f>
        <v>1.862645149230957E-9</v>
      </c>
      <c r="Q49" s="339">
        <f ca="1">-SUM($F41:Q42)</f>
        <v>1.862645149230957E-9</v>
      </c>
      <c r="R49" s="339">
        <f ca="1">-SUM($F41:R42)</f>
        <v>1.862645149230957E-9</v>
      </c>
      <c r="S49" s="339">
        <f ca="1">-SUM($F41:S42)</f>
        <v>1.862645149230957E-9</v>
      </c>
      <c r="T49" s="339">
        <f ca="1">-SUM($F41:T42)</f>
        <v>1.862645149230957E-9</v>
      </c>
      <c r="U49" s="339">
        <f ca="1">-SUM($F41:U42)</f>
        <v>1.862645149230957E-9</v>
      </c>
      <c r="V49" s="339">
        <f ca="1">-SUM($F41:V42)</f>
        <v>1.862645149230957E-9</v>
      </c>
      <c r="W49" s="339">
        <f ca="1">-SUM($F41:W42)</f>
        <v>1.862645149230957E-9</v>
      </c>
      <c r="X49" s="339">
        <f ca="1">-SUM($F41:X42)</f>
        <v>1.862645149230957E-9</v>
      </c>
      <c r="Y49" s="339">
        <f ca="1">-SUM($F41:Y42)</f>
        <v>1.862645149230957E-9</v>
      </c>
      <c r="Z49" s="339">
        <f ca="1">-SUM($F41:Z42)</f>
        <v>1.862645149230957E-9</v>
      </c>
    </row>
    <row r="50" spans="2:26" x14ac:dyDescent="0.2">
      <c r="B50" s="156" t="s">
        <v>378</v>
      </c>
      <c r="C50" s="156"/>
      <c r="D50" s="156"/>
      <c r="E50" s="156"/>
      <c r="F50" s="339">
        <f>-SUM($F43:F44)</f>
        <v>0</v>
      </c>
      <c r="G50" s="339">
        <f>-SUM($F43:G44)</f>
        <v>0</v>
      </c>
      <c r="H50" s="339">
        <f>-SUM($F43:H44)</f>
        <v>0</v>
      </c>
      <c r="I50" s="339">
        <f>-SUM($F43:I44)</f>
        <v>0</v>
      </c>
      <c r="J50" s="339">
        <f ca="1">-SUM($F43:J44)</f>
        <v>55765379.325386167</v>
      </c>
      <c r="K50" s="339">
        <f ca="1">-SUM($F43:K44)</f>
        <v>78560429.144797742</v>
      </c>
      <c r="L50" s="339">
        <f ca="1">-SUM($F43:L44)</f>
        <v>78560429.144797742</v>
      </c>
      <c r="M50" s="339">
        <f ca="1">-SUM($F43:M44)</f>
        <v>44265483.136145584</v>
      </c>
      <c r="N50" s="339">
        <f ca="1">-SUM($F43:N44)</f>
        <v>39101776.046605751</v>
      </c>
      <c r="O50" s="339">
        <f ca="1">-SUM($F43:O44)</f>
        <v>33655294.673220381</v>
      </c>
      <c r="P50" s="339">
        <f ca="1">-SUM($F43:P44)</f>
        <v>0</v>
      </c>
      <c r="Q50" s="339">
        <f ca="1">-SUM($F43:Q44)</f>
        <v>0</v>
      </c>
      <c r="R50" s="339">
        <f ca="1">-SUM($F43:R44)</f>
        <v>0</v>
      </c>
      <c r="S50" s="339">
        <f ca="1">-SUM($F43:S44)</f>
        <v>0</v>
      </c>
      <c r="T50" s="339">
        <f ca="1">-SUM($F43:T44)</f>
        <v>0</v>
      </c>
      <c r="U50" s="339">
        <f ca="1">-SUM($F43:U44)</f>
        <v>0</v>
      </c>
      <c r="V50" s="339">
        <f ca="1">-SUM($F43:V44)</f>
        <v>0</v>
      </c>
      <c r="W50" s="339">
        <f ca="1">-SUM($F43:W44)</f>
        <v>0</v>
      </c>
      <c r="X50" s="339">
        <f ca="1">-SUM($F43:X44)</f>
        <v>0</v>
      </c>
      <c r="Y50" s="339">
        <f ca="1">-SUM($F43:Y44)</f>
        <v>0</v>
      </c>
      <c r="Z50" s="339">
        <f ca="1">-SUM($F43:Z44)</f>
        <v>0</v>
      </c>
    </row>
    <row r="51" spans="2:26" x14ac:dyDescent="0.2">
      <c r="B51" s="156" t="s">
        <v>677</v>
      </c>
      <c r="C51" s="156"/>
      <c r="D51" s="156"/>
      <c r="E51" s="156"/>
      <c r="F51" s="339">
        <f ca="1">-SUM($F45:F46)</f>
        <v>51505114.619219258</v>
      </c>
      <c r="G51" s="339">
        <f ca="1">-SUM($F45:G46)</f>
        <v>64165219.326269209</v>
      </c>
      <c r="H51" s="339">
        <f ca="1">-SUM($F45:H46)</f>
        <v>83038999.387100235</v>
      </c>
      <c r="I51" s="339">
        <f ca="1">-SUM($F45:I46)</f>
        <v>75556919.134841874</v>
      </c>
      <c r="J51" s="339">
        <f ca="1">-SUM($F45:J46)</f>
        <v>126044166.17452019</v>
      </c>
      <c r="K51" s="339">
        <f ca="1">-SUM($F45:K46)</f>
        <v>124040851.7760244</v>
      </c>
      <c r="L51" s="339">
        <f ca="1">-SUM($F45:L46)</f>
        <v>113315530.06707586</v>
      </c>
      <c r="M51" s="339">
        <f ca="1">-SUM($F45:M46)</f>
        <v>67535057.407636002</v>
      </c>
      <c r="N51" s="339">
        <f ca="1">-SUM($F45:N46)</f>
        <v>49536302.351919778</v>
      </c>
      <c r="O51" s="339">
        <f ca="1">-SUM($F45:O46)</f>
        <v>30559580.107358165</v>
      </c>
      <c r="P51" s="339">
        <f ca="1">-SUM($F45:P46)</f>
        <v>0</v>
      </c>
      <c r="Q51" s="339">
        <f ca="1">-SUM($F45:Q46)</f>
        <v>7.4505805969238281E-9</v>
      </c>
      <c r="R51" s="339">
        <f ca="1">-SUM($F45:R46)</f>
        <v>7.4505805969238281E-9</v>
      </c>
      <c r="S51" s="339">
        <f ca="1">-SUM($F45:S46)</f>
        <v>7.4505805969238281E-9</v>
      </c>
      <c r="T51" s="339">
        <f ca="1">-SUM($F45:T46)</f>
        <v>7.4505805969238281E-9</v>
      </c>
      <c r="U51" s="339">
        <f ca="1">-SUM($F45:U46)</f>
        <v>7.4505805969238281E-9</v>
      </c>
      <c r="V51" s="339">
        <f ca="1">-SUM($F45:V46)</f>
        <v>7.4505805969238281E-9</v>
      </c>
      <c r="W51" s="339">
        <f ca="1">-SUM($F45:W46)</f>
        <v>7.4505805969238281E-9</v>
      </c>
      <c r="X51" s="339">
        <f ca="1">-SUM($F45:X46)</f>
        <v>7.4505805969238281E-9</v>
      </c>
      <c r="Y51" s="339">
        <f ca="1">-SUM($F45:Y46)</f>
        <v>7.4505805969238281E-9</v>
      </c>
      <c r="Z51" s="339">
        <f ca="1">-SUM($F45:Z46)</f>
        <v>7.4505805969238281E-9</v>
      </c>
    </row>
    <row r="54" spans="2:26" x14ac:dyDescent="0.2">
      <c r="C54" s="40" t="s">
        <v>666</v>
      </c>
      <c r="D54" s="40" t="s">
        <v>667</v>
      </c>
      <c r="E54" s="40" t="s">
        <v>668</v>
      </c>
    </row>
    <row r="55" spans="2:26" x14ac:dyDescent="0.2">
      <c r="B55" s="40" t="s">
        <v>21</v>
      </c>
      <c r="C55" s="115">
        <f ca="1">+'Phase I Pro Forma'!$D$353</f>
        <v>0.11972108472418541</v>
      </c>
      <c r="D55" s="115">
        <f ca="1">+'Phase I Pro Forma'!$D$311</f>
        <v>0.20213049169868547</v>
      </c>
      <c r="E55" s="115">
        <f ca="1">+'Phase I Pro Forma'!$D$423</f>
        <v>0.29685512823841814</v>
      </c>
    </row>
    <row r="56" spans="2:26" x14ac:dyDescent="0.2">
      <c r="B56" s="40" t="s">
        <v>375</v>
      </c>
      <c r="C56" s="115">
        <f ca="1">+'Phase II Pro Forma'!$D$353</f>
        <v>0.13785665601235575</v>
      </c>
      <c r="D56" s="115">
        <f ca="1">+'Phase II Pro Forma'!$D$311</f>
        <v>0.25390363378108316</v>
      </c>
      <c r="E56" s="115">
        <f ca="1">+'Phase II Pro Forma'!$D$423</f>
        <v>0.32964171412919913</v>
      </c>
    </row>
    <row r="57" spans="2:26" x14ac:dyDescent="0.2">
      <c r="B57" s="40" t="s">
        <v>378</v>
      </c>
      <c r="C57" s="115">
        <f ca="1">+'Phase III Pro Forma'!$D$353</f>
        <v>0.14509319275795374</v>
      </c>
      <c r="D57" s="115">
        <f ca="1">+'Phase III Pro Forma'!$D$311</f>
        <v>0.24148009708429607</v>
      </c>
      <c r="E57" s="115">
        <f ca="1">+'Phase III Pro Forma'!$D$423</f>
        <v>0.29078066901367555</v>
      </c>
    </row>
    <row r="58" spans="2:26" x14ac:dyDescent="0.2">
      <c r="B58" s="40" t="s">
        <v>17</v>
      </c>
      <c r="C58" s="115">
        <f ca="1">+D17</f>
        <v>0.12945660144928306</v>
      </c>
      <c r="D58" s="115">
        <f ca="1">+D8</f>
        <v>0.22085344333029111</v>
      </c>
      <c r="E58" s="115">
        <f ca="1">+D36</f>
        <v>0.30116005615140645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7030A0"/>
  </sheetPr>
  <dimension ref="B3:AU49"/>
  <sheetViews>
    <sheetView showGridLines="0" topLeftCell="A8" zoomScale="63" zoomScaleNormal="51" workbookViewId="0">
      <selection activeCell="B8" sqref="B8"/>
    </sheetView>
  </sheetViews>
  <sheetFormatPr baseColWidth="10" defaultColWidth="14.5" defaultRowHeight="16" customHeight="1" x14ac:dyDescent="0.2"/>
  <cols>
    <col min="1" max="1" width="8.6640625" style="40" customWidth="1"/>
    <col min="2" max="2" width="17.6640625" style="40" customWidth="1"/>
    <col min="3" max="4" width="8.6640625" style="40" customWidth="1"/>
    <col min="5" max="5" width="18" style="40" customWidth="1"/>
    <col min="6" max="6" width="16.33203125" style="40" customWidth="1"/>
    <col min="7" max="7" width="16.83203125" style="40" bestFit="1" customWidth="1"/>
    <col min="8" max="16384" width="14.5" style="40"/>
  </cols>
  <sheetData>
    <row r="3" spans="2:47" ht="16" customHeight="1" x14ac:dyDescent="0.2">
      <c r="B3" s="147" t="s">
        <v>630</v>
      </c>
      <c r="F3" s="149"/>
      <c r="G3" s="149">
        <f>+'Cash Flow Roll-up'!F2</f>
        <v>44196</v>
      </c>
      <c r="H3" s="149">
        <f>+EOMONTH(G3,12)</f>
        <v>44561</v>
      </c>
      <c r="I3" s="149">
        <f t="shared" ref="I3:AB3" si="0">+EOMONTH(H3,12)</f>
        <v>44926</v>
      </c>
      <c r="J3" s="149">
        <f t="shared" si="0"/>
        <v>45291</v>
      </c>
      <c r="K3" s="149">
        <f t="shared" si="0"/>
        <v>45657</v>
      </c>
      <c r="L3" s="149">
        <f t="shared" si="0"/>
        <v>46022</v>
      </c>
      <c r="M3" s="149">
        <f t="shared" si="0"/>
        <v>46387</v>
      </c>
      <c r="N3" s="149">
        <f t="shared" si="0"/>
        <v>46752</v>
      </c>
      <c r="O3" s="149">
        <f t="shared" si="0"/>
        <v>47118</v>
      </c>
      <c r="P3" s="149">
        <f t="shared" si="0"/>
        <v>47483</v>
      </c>
      <c r="Q3" s="149">
        <f t="shared" si="0"/>
        <v>47848</v>
      </c>
      <c r="R3" s="149">
        <f t="shared" si="0"/>
        <v>48213</v>
      </c>
      <c r="S3" s="149">
        <f t="shared" si="0"/>
        <v>48579</v>
      </c>
      <c r="T3" s="149">
        <f t="shared" si="0"/>
        <v>48944</v>
      </c>
      <c r="U3" s="149">
        <f t="shared" si="0"/>
        <v>49309</v>
      </c>
      <c r="V3" s="149">
        <f t="shared" si="0"/>
        <v>49674</v>
      </c>
      <c r="W3" s="149">
        <f t="shared" si="0"/>
        <v>50040</v>
      </c>
      <c r="X3" s="149">
        <f t="shared" si="0"/>
        <v>50405</v>
      </c>
      <c r="Y3" s="149">
        <f t="shared" si="0"/>
        <v>50770</v>
      </c>
      <c r="Z3" s="149">
        <f t="shared" si="0"/>
        <v>51135</v>
      </c>
      <c r="AA3" s="149">
        <f t="shared" si="0"/>
        <v>51501</v>
      </c>
      <c r="AB3" s="149">
        <f t="shared" si="0"/>
        <v>51866</v>
      </c>
      <c r="AC3" s="149">
        <f t="shared" ref="AC3" si="1">+EOMONTH(AB3,12)</f>
        <v>52231</v>
      </c>
      <c r="AD3" s="149">
        <f t="shared" ref="AD3" si="2">+EOMONTH(AC3,12)</f>
        <v>52596</v>
      </c>
      <c r="AE3" s="149">
        <f t="shared" ref="AE3" si="3">+EOMONTH(AD3,12)</f>
        <v>52962</v>
      </c>
      <c r="AF3" s="149">
        <f t="shared" ref="AF3" si="4">+EOMONTH(AE3,12)</f>
        <v>53327</v>
      </c>
      <c r="AG3" s="149">
        <f t="shared" ref="AG3" si="5">+EOMONTH(AF3,12)</f>
        <v>53692</v>
      </c>
      <c r="AH3" s="149">
        <f t="shared" ref="AH3" si="6">+EOMONTH(AG3,12)</f>
        <v>54057</v>
      </c>
      <c r="AI3" s="149">
        <f t="shared" ref="AI3" si="7">+EOMONTH(AH3,12)</f>
        <v>54423</v>
      </c>
      <c r="AJ3" s="149">
        <f t="shared" ref="AJ3" si="8">+EOMONTH(AI3,12)</f>
        <v>54788</v>
      </c>
      <c r="AK3" s="149">
        <f t="shared" ref="AK3" si="9">+EOMONTH(AJ3,12)</f>
        <v>55153</v>
      </c>
      <c r="AL3" s="149">
        <f t="shared" ref="AL3" si="10">+EOMONTH(AK3,12)</f>
        <v>55518</v>
      </c>
      <c r="AM3" s="149">
        <f t="shared" ref="AM3" si="11">+EOMONTH(AL3,12)</f>
        <v>55884</v>
      </c>
      <c r="AN3" s="149">
        <f t="shared" ref="AN3" si="12">+EOMONTH(AM3,12)</f>
        <v>56249</v>
      </c>
      <c r="AO3" s="149">
        <f t="shared" ref="AO3" si="13">+EOMONTH(AN3,12)</f>
        <v>56614</v>
      </c>
      <c r="AP3" s="149">
        <f t="shared" ref="AP3" si="14">+EOMONTH(AO3,12)</f>
        <v>56979</v>
      </c>
      <c r="AQ3" s="149">
        <f t="shared" ref="AQ3" si="15">+EOMONTH(AP3,12)</f>
        <v>57345</v>
      </c>
      <c r="AR3" s="149">
        <f t="shared" ref="AR3" si="16">+EOMONTH(AQ3,12)</f>
        <v>57710</v>
      </c>
      <c r="AS3" s="149">
        <f t="shared" ref="AS3" si="17">+EOMONTH(AR3,12)</f>
        <v>58075</v>
      </c>
      <c r="AT3" s="149">
        <f t="shared" ref="AT3" si="18">+EOMONTH(AS3,12)</f>
        <v>58440</v>
      </c>
      <c r="AU3" s="149">
        <f t="shared" ref="AU3" si="19">+EOMONTH(AT3,12)</f>
        <v>58806</v>
      </c>
    </row>
    <row r="4" spans="2:47" ht="16" customHeight="1" x14ac:dyDescent="0.2">
      <c r="B4" s="32" t="s">
        <v>669</v>
      </c>
      <c r="D4" s="47"/>
      <c r="F4" s="33">
        <f t="shared" ref="F4:F10" si="20">+NPV($E$12,G4:AU4)</f>
        <v>16600823.36989807</v>
      </c>
      <c r="G4" s="150">
        <f>+SUMIF('Assumptions and Sensis'!$F$43:$H$43,'Public Benefits'!G$3,Infra!$G$6:$I$6)+SUMIF('Assumptions and Sensis'!$F$45:$H$45,'Public Benefits'!G$3,Infra!$G$7:$I$7)</f>
        <v>8700000</v>
      </c>
      <c r="H4" s="150">
        <f>+SUMIF('Assumptions and Sensis'!$F$43:$H$43,'Public Benefits'!H$3,Infra!$G$6:$I$6)+SUMIF('Assumptions and Sensis'!$F$45:$H$45,'Public Benefits'!H$3,Infra!$G$7:$I$7)</f>
        <v>292500</v>
      </c>
      <c r="I4" s="150">
        <f>+SUMIF('Assumptions and Sensis'!$F$43:$H$43,'Public Benefits'!I$3,Infra!$G$6:$I$6)+SUMIF('Assumptions and Sensis'!$F$45:$H$45,'Public Benefits'!I$3,Infra!$G$7:$I$7)</f>
        <v>8010000</v>
      </c>
      <c r="J4" s="150">
        <f>+SUMIF('Assumptions and Sensis'!$F$43:$H$43,'Public Benefits'!J$3,Infra!$G$6:$I$6)+SUMIF('Assumptions and Sensis'!$F$45:$H$45,'Public Benefits'!J$3,Infra!$G$7:$I$7)</f>
        <v>337500</v>
      </c>
      <c r="K4" s="150">
        <f>+SUMIF('Assumptions and Sensis'!$F$43:$H$43,'Public Benefits'!K$3,Infra!$G$6:$I$6)+SUMIF('Assumptions and Sensis'!$F$45:$H$45,'Public Benefits'!K$3,Infra!$G$7:$I$7)</f>
        <v>0</v>
      </c>
      <c r="L4" s="150">
        <f>+SUMIF('Assumptions and Sensis'!$F$43:$H$43,'Public Benefits'!L$3,Infra!$G$6:$I$6)+SUMIF('Assumptions and Sensis'!$F$45:$H$45,'Public Benefits'!L$3,Infra!$G$7:$I$7)</f>
        <v>3900000</v>
      </c>
      <c r="M4" s="150">
        <f>+SUMIF('Assumptions and Sensis'!$F$43:$H$43,'Public Benefits'!M$3,Infra!$G$6:$I$6)+SUMIF('Assumptions and Sensis'!$F$45:$H$45,'Public Benefits'!M$3,Infra!$G$7:$I$7)</f>
        <v>0</v>
      </c>
      <c r="N4" s="150">
        <f>+SUMIF('Assumptions and Sensis'!$F$43:$H$43,'Public Benefits'!N$3,Infra!$G$6:$I$6)+SUMIF('Assumptions and Sensis'!$F$45:$H$45,'Public Benefits'!N$3,Infra!$G$7:$I$7)</f>
        <v>0</v>
      </c>
      <c r="O4" s="150">
        <f>+SUMIF('Assumptions and Sensis'!$F$43:$H$43,'Public Benefits'!O$3,Infra!$G$6:$I$6)+SUMIF('Assumptions and Sensis'!$F$45:$H$45,'Public Benefits'!O$3,Infra!$G$7:$I$7)</f>
        <v>0</v>
      </c>
      <c r="P4" s="150">
        <f>+SUMIF('Assumptions and Sensis'!$F$43:$H$43,'Public Benefits'!P$3,Infra!$G$6:$I$6)+SUMIF('Assumptions and Sensis'!$F$45:$H$45,'Public Benefits'!P$3,Infra!$G$7:$I$7)</f>
        <v>0</v>
      </c>
      <c r="Q4" s="150">
        <f>+SUMIF('Assumptions and Sensis'!$F$43:$H$43,'Public Benefits'!Q$3,Infra!$G$6:$I$6)+SUMIF('Assumptions and Sensis'!$F$45:$H$45,'Public Benefits'!Q$3,Infra!$G$7:$I$7)</f>
        <v>0</v>
      </c>
      <c r="R4" s="150">
        <f>+SUMIF('Assumptions and Sensis'!$F$43:$H$43,'Public Benefits'!R$3,Infra!$G$6:$I$6)+SUMIF('Assumptions and Sensis'!$F$45:$H$45,'Public Benefits'!R$3,Infra!$G$7:$I$7)</f>
        <v>0</v>
      </c>
      <c r="S4" s="150">
        <f>+SUMIF('Assumptions and Sensis'!$F$43:$H$43,'Public Benefits'!S$3,Infra!$G$6:$I$6)+SUMIF('Assumptions and Sensis'!$F$45:$H$45,'Public Benefits'!S$3,Infra!$G$7:$I$7)</f>
        <v>0</v>
      </c>
      <c r="T4" s="150">
        <f>+SUMIF('Assumptions and Sensis'!$F$43:$H$43,'Public Benefits'!T$3,Infra!$G$6:$I$6)+SUMIF('Assumptions and Sensis'!$F$45:$H$45,'Public Benefits'!T$3,Infra!$G$7:$I$7)</f>
        <v>0</v>
      </c>
      <c r="U4" s="150">
        <f>+SUMIF('Assumptions and Sensis'!$F$43:$H$43,'Public Benefits'!U$3,Infra!$G$6:$I$6)+SUMIF('Assumptions and Sensis'!$F$45:$H$45,'Public Benefits'!U$3,Infra!$G$7:$I$7)</f>
        <v>0</v>
      </c>
      <c r="V4" s="150">
        <f>+SUMIF('Assumptions and Sensis'!$F$43:$H$43,'Public Benefits'!V$3,Infra!$G$6:$I$6)+SUMIF('Assumptions and Sensis'!$F$45:$H$45,'Public Benefits'!V$3,Infra!$G$7:$I$7)</f>
        <v>0</v>
      </c>
      <c r="W4" s="150">
        <f>+SUMIF('Assumptions and Sensis'!$F$43:$H$43,'Public Benefits'!W$3,Infra!$G$6:$I$6)+SUMIF('Assumptions and Sensis'!$F$45:$H$45,'Public Benefits'!W$3,Infra!$G$7:$I$7)</f>
        <v>0</v>
      </c>
      <c r="X4" s="150">
        <f>+SUMIF('Assumptions and Sensis'!$F$43:$H$43,'Public Benefits'!X$3,Infra!$G$6:$I$6)+SUMIF('Assumptions and Sensis'!$F$45:$H$45,'Public Benefits'!X$3,Infra!$G$7:$I$7)</f>
        <v>0</v>
      </c>
      <c r="Y4" s="150">
        <f>+SUMIF('Assumptions and Sensis'!$F$43:$H$43,'Public Benefits'!Y$3,Infra!$G$6:$I$6)+SUMIF('Assumptions and Sensis'!$F$45:$H$45,'Public Benefits'!Y$3,Infra!$G$7:$I$7)</f>
        <v>0</v>
      </c>
      <c r="Z4" s="150">
        <f>+SUMIF('Assumptions and Sensis'!$F$43:$H$43,'Public Benefits'!Z$3,Infra!$G$6:$I$6)+SUMIF('Assumptions and Sensis'!$F$45:$H$45,'Public Benefits'!Z$3,Infra!$G$7:$I$7)</f>
        <v>0</v>
      </c>
      <c r="AA4" s="150">
        <f>+SUMIF('Assumptions and Sensis'!$F$43:$H$43,'Public Benefits'!AA$3,Infra!$G$6:$I$6)+SUMIF('Assumptions and Sensis'!$F$45:$H$45,'Public Benefits'!AA$3,Infra!$G$7:$I$7)</f>
        <v>0</v>
      </c>
      <c r="AB4" s="150">
        <f>+SUMIF('Assumptions and Sensis'!$F$43:$H$43,'Public Benefits'!AB$3,Infra!$G$6:$I$6)+SUMIF('Assumptions and Sensis'!$F$45:$H$45,'Public Benefits'!AB$3,Infra!$G$7:$I$7)</f>
        <v>0</v>
      </c>
      <c r="AC4" s="150">
        <f>+SUMIF('Assumptions and Sensis'!$F$43:$H$43,'Public Benefits'!AC$3,Infra!$G$6:$I$6)+SUMIF('Assumptions and Sensis'!$F$45:$H$45,'Public Benefits'!AC$3,Infra!$G$7:$I$7)</f>
        <v>0</v>
      </c>
      <c r="AD4" s="150">
        <f>+SUMIF('Assumptions and Sensis'!$F$43:$H$43,'Public Benefits'!AD$3,Infra!$G$6:$I$6)+SUMIF('Assumptions and Sensis'!$F$45:$H$45,'Public Benefits'!AD$3,Infra!$G$7:$I$7)</f>
        <v>0</v>
      </c>
      <c r="AE4" s="150">
        <f>+SUMIF('Assumptions and Sensis'!$F$43:$H$43,'Public Benefits'!AE$3,Infra!$G$6:$I$6)+SUMIF('Assumptions and Sensis'!$F$45:$H$45,'Public Benefits'!AE$3,Infra!$G$7:$I$7)</f>
        <v>0</v>
      </c>
      <c r="AF4" s="150">
        <f>+SUMIF('Assumptions and Sensis'!$F$43:$H$43,'Public Benefits'!AF$3,Infra!$G$6:$I$6)+SUMIF('Assumptions and Sensis'!$F$45:$H$45,'Public Benefits'!AF$3,Infra!$G$7:$I$7)</f>
        <v>0</v>
      </c>
      <c r="AG4" s="150">
        <f>+SUMIF('Assumptions and Sensis'!$F$43:$H$43,'Public Benefits'!AG$3,Infra!$G$6:$I$6)+SUMIF('Assumptions and Sensis'!$F$45:$H$45,'Public Benefits'!AG$3,Infra!$G$7:$I$7)</f>
        <v>0</v>
      </c>
      <c r="AH4" s="150">
        <f>+SUMIF('Assumptions and Sensis'!$F$43:$H$43,'Public Benefits'!AH$3,Infra!$G$6:$I$6)+SUMIF('Assumptions and Sensis'!$F$45:$H$45,'Public Benefits'!AH$3,Infra!$G$7:$I$7)</f>
        <v>0</v>
      </c>
      <c r="AI4" s="150">
        <f>+SUMIF('Assumptions and Sensis'!$F$43:$H$43,'Public Benefits'!AI$3,Infra!$G$6:$I$6)+SUMIF('Assumptions and Sensis'!$F$45:$H$45,'Public Benefits'!AI$3,Infra!$G$7:$I$7)</f>
        <v>0</v>
      </c>
      <c r="AJ4" s="150">
        <f>+SUMIF('Assumptions and Sensis'!$F$43:$H$43,'Public Benefits'!AJ$3,Infra!$G$6:$I$6)+SUMIF('Assumptions and Sensis'!$F$45:$H$45,'Public Benefits'!AJ$3,Infra!$G$7:$I$7)</f>
        <v>0</v>
      </c>
      <c r="AK4" s="150">
        <f>+SUMIF('Assumptions and Sensis'!$F$43:$H$43,'Public Benefits'!AK$3,Infra!$G$6:$I$6)+SUMIF('Assumptions and Sensis'!$F$45:$H$45,'Public Benefits'!AK$3,Infra!$G$7:$I$7)</f>
        <v>0</v>
      </c>
      <c r="AL4" s="150">
        <f>+SUMIF('Assumptions and Sensis'!$F$43:$H$43,'Public Benefits'!AL$3,Infra!$G$6:$I$6)+SUMIF('Assumptions and Sensis'!$F$45:$H$45,'Public Benefits'!AL$3,Infra!$G$7:$I$7)</f>
        <v>0</v>
      </c>
      <c r="AM4" s="150">
        <f>+SUMIF('Assumptions and Sensis'!$F$43:$H$43,'Public Benefits'!AM$3,Infra!$G$6:$I$6)+SUMIF('Assumptions and Sensis'!$F$45:$H$45,'Public Benefits'!AM$3,Infra!$G$7:$I$7)</f>
        <v>0</v>
      </c>
      <c r="AN4" s="150">
        <f>+SUMIF('Assumptions and Sensis'!$F$43:$H$43,'Public Benefits'!AN$3,Infra!$G$6:$I$6)+SUMIF('Assumptions and Sensis'!$F$45:$H$45,'Public Benefits'!AN$3,Infra!$G$7:$I$7)</f>
        <v>0</v>
      </c>
      <c r="AO4" s="150">
        <f>+SUMIF('Assumptions and Sensis'!$F$43:$H$43,'Public Benefits'!AO$3,Infra!$G$6:$I$6)+SUMIF('Assumptions and Sensis'!$F$45:$H$45,'Public Benefits'!AO$3,Infra!$G$7:$I$7)</f>
        <v>0</v>
      </c>
      <c r="AP4" s="150">
        <f>+SUMIF('Assumptions and Sensis'!$F$43:$H$43,'Public Benefits'!AP$3,Infra!$G$6:$I$6)+SUMIF('Assumptions and Sensis'!$F$45:$H$45,'Public Benefits'!AP$3,Infra!$G$7:$I$7)</f>
        <v>0</v>
      </c>
      <c r="AQ4" s="150">
        <f>+SUMIF('Assumptions and Sensis'!$F$43:$H$43,'Public Benefits'!AQ$3,Infra!$G$6:$I$6)+SUMIF('Assumptions and Sensis'!$F$45:$H$45,'Public Benefits'!AQ$3,Infra!$G$7:$I$7)</f>
        <v>0</v>
      </c>
      <c r="AR4" s="150">
        <f>+SUMIF('Assumptions and Sensis'!$F$43:$H$43,'Public Benefits'!AR$3,Infra!$G$6:$I$6)+SUMIF('Assumptions and Sensis'!$F$45:$H$45,'Public Benefits'!AR$3,Infra!$G$7:$I$7)</f>
        <v>0</v>
      </c>
      <c r="AS4" s="150">
        <f>+SUMIF('Assumptions and Sensis'!$F$43:$H$43,'Public Benefits'!AS$3,Infra!$G$6:$I$6)+SUMIF('Assumptions and Sensis'!$F$45:$H$45,'Public Benefits'!AS$3,Infra!$G$7:$I$7)</f>
        <v>0</v>
      </c>
      <c r="AT4" s="150">
        <f>+SUMIF('Assumptions and Sensis'!$F$43:$H$43,'Public Benefits'!AT$3,Infra!$G$6:$I$6)+SUMIF('Assumptions and Sensis'!$F$45:$H$45,'Public Benefits'!AT$3,Infra!$G$7:$I$7)</f>
        <v>0</v>
      </c>
      <c r="AU4" s="150">
        <f>+SUMIF('Assumptions and Sensis'!$F$43:$H$43,'Public Benefits'!AU$3,Infra!$G$6:$I$6)+SUMIF('Assumptions and Sensis'!$F$45:$H$45,'Public Benefits'!AU$3,Infra!$G$7:$I$7)</f>
        <v>0</v>
      </c>
    </row>
    <row r="5" spans="2:47" ht="16" customHeight="1" x14ac:dyDescent="0.2">
      <c r="B5" s="32" t="s">
        <v>523</v>
      </c>
      <c r="D5" s="24"/>
      <c r="F5" s="33">
        <f t="shared" si="20"/>
        <v>2483685.2922366192</v>
      </c>
      <c r="G5" s="150">
        <f>+IF(G$3='Assumptions and Sensis'!$H$43,Infra!$I$15,0)</f>
        <v>0</v>
      </c>
      <c r="H5" s="150">
        <f>+IF(H$3='Assumptions and Sensis'!$H$43,Infra!$I$15,0)</f>
        <v>0</v>
      </c>
      <c r="I5" s="150">
        <f>+IF(I$3='Assumptions and Sensis'!$H$43,Infra!$I$15,0)</f>
        <v>0</v>
      </c>
      <c r="J5" s="150">
        <f>+IF(J$3='Assumptions and Sensis'!$H$43,Infra!$I$15,0)</f>
        <v>0</v>
      </c>
      <c r="K5" s="150">
        <f>+IF(K$3='Assumptions and Sensis'!$H$43,Infra!$I$15,0)</f>
        <v>4000000</v>
      </c>
      <c r="L5" s="150">
        <f>+IF(L$3='Assumptions and Sensis'!$H$43,Infra!$I$15,0)</f>
        <v>0</v>
      </c>
      <c r="M5" s="150">
        <f>+IF(M$3='Assumptions and Sensis'!$H$43,Infra!$I$15,0)</f>
        <v>0</v>
      </c>
      <c r="N5" s="150">
        <f>+IF(N$3='Assumptions and Sensis'!$H$43,Infra!$I$15,0)</f>
        <v>0</v>
      </c>
      <c r="O5" s="150">
        <f>+IF(O$3='Assumptions and Sensis'!$H$43,Infra!$I$15,0)</f>
        <v>0</v>
      </c>
      <c r="P5" s="150">
        <f>+IF(P$3='Assumptions and Sensis'!$H$43,Infra!$I$15,0)</f>
        <v>0</v>
      </c>
      <c r="Q5" s="150">
        <f>+IF(Q$3='Assumptions and Sensis'!$H$43,Infra!$I$15,0)</f>
        <v>0</v>
      </c>
      <c r="R5" s="150">
        <f>+IF(R$3='Assumptions and Sensis'!$H$43,Infra!$I$15,0)</f>
        <v>0</v>
      </c>
      <c r="S5" s="150">
        <f>+IF(S$3='Assumptions and Sensis'!$H$43,Infra!$I$15,0)</f>
        <v>0</v>
      </c>
      <c r="T5" s="150">
        <f>+IF(T$3='Assumptions and Sensis'!$H$43,Infra!$I$15,0)</f>
        <v>0</v>
      </c>
      <c r="U5" s="150">
        <f>+IF(U$3='Assumptions and Sensis'!$H$43,Infra!$I$15,0)</f>
        <v>0</v>
      </c>
      <c r="V5" s="150">
        <f>+IF(V$3='Assumptions and Sensis'!$H$43,Infra!$I$15,0)</f>
        <v>0</v>
      </c>
      <c r="W5" s="150">
        <f>+IF(W$3='Assumptions and Sensis'!$H$43,Infra!$I$15,0)</f>
        <v>0</v>
      </c>
      <c r="X5" s="150">
        <f>+IF(X$3='Assumptions and Sensis'!$H$43,Infra!$I$15,0)</f>
        <v>0</v>
      </c>
      <c r="Y5" s="150">
        <f>+IF(Y$3='Assumptions and Sensis'!$H$43,Infra!$I$15,0)</f>
        <v>0</v>
      </c>
      <c r="Z5" s="150">
        <f>+IF(Z$3='Assumptions and Sensis'!$H$43,Infra!$I$15,0)</f>
        <v>0</v>
      </c>
      <c r="AA5" s="150">
        <f>+IF(AA$3='Assumptions and Sensis'!$H$43,Infra!$I$15,0)</f>
        <v>0</v>
      </c>
      <c r="AB5" s="150">
        <f>+IF(AB$3='Assumptions and Sensis'!$H$43,Infra!$I$15,0)</f>
        <v>0</v>
      </c>
      <c r="AC5" s="150">
        <f>+IF(AC$3='Assumptions and Sensis'!$H$43,Infra!$I$15,0)</f>
        <v>0</v>
      </c>
      <c r="AD5" s="150">
        <f>+IF(AD$3='Assumptions and Sensis'!$H$43,Infra!$I$15,0)</f>
        <v>0</v>
      </c>
      <c r="AE5" s="150">
        <f>+IF(AE$3='Assumptions and Sensis'!$H$43,Infra!$I$15,0)</f>
        <v>0</v>
      </c>
      <c r="AF5" s="150">
        <f>+IF(AF$3='Assumptions and Sensis'!$H$43,Infra!$I$15,0)</f>
        <v>0</v>
      </c>
      <c r="AG5" s="150">
        <f>+IF(AG$3='Assumptions and Sensis'!$H$43,Infra!$I$15,0)</f>
        <v>0</v>
      </c>
      <c r="AH5" s="150">
        <f>+IF(AH$3='Assumptions and Sensis'!$H$43,Infra!$I$15,0)</f>
        <v>0</v>
      </c>
      <c r="AI5" s="150">
        <f>+IF(AI$3='Assumptions and Sensis'!$H$43,Infra!$I$15,0)</f>
        <v>0</v>
      </c>
      <c r="AJ5" s="150">
        <f>+IF(AJ$3='Assumptions and Sensis'!$H$43,Infra!$I$15,0)</f>
        <v>0</v>
      </c>
      <c r="AK5" s="150">
        <f>+IF(AK$3='Assumptions and Sensis'!$H$43,Infra!$I$15,0)</f>
        <v>0</v>
      </c>
      <c r="AL5" s="150">
        <f>+IF(AL$3='Assumptions and Sensis'!$H$43,Infra!$I$15,0)</f>
        <v>0</v>
      </c>
      <c r="AM5" s="150">
        <f>+IF(AM$3='Assumptions and Sensis'!$H$43,Infra!$I$15,0)</f>
        <v>0</v>
      </c>
      <c r="AN5" s="150">
        <f>+IF(AN$3='Assumptions and Sensis'!$H$43,Infra!$I$15,0)</f>
        <v>0</v>
      </c>
      <c r="AO5" s="150">
        <f>+IF(AO$3='Assumptions and Sensis'!$H$43,Infra!$I$15,0)</f>
        <v>0</v>
      </c>
      <c r="AP5" s="150">
        <f>+IF(AP$3='Assumptions and Sensis'!$H$43,Infra!$I$15,0)</f>
        <v>0</v>
      </c>
      <c r="AQ5" s="150">
        <f>+IF(AQ$3='Assumptions and Sensis'!$H$43,Infra!$I$15,0)</f>
        <v>0</v>
      </c>
      <c r="AR5" s="150">
        <f>+IF(AR$3='Assumptions and Sensis'!$H$43,Infra!$I$15,0)</f>
        <v>0</v>
      </c>
      <c r="AS5" s="150">
        <f>+IF(AS$3='Assumptions and Sensis'!$H$43,Infra!$I$15,0)</f>
        <v>0</v>
      </c>
      <c r="AT5" s="150">
        <f>+IF(AT$3='Assumptions and Sensis'!$H$43,Infra!$I$15,0)</f>
        <v>0</v>
      </c>
      <c r="AU5" s="150">
        <f>+IF(AU$3='Assumptions and Sensis'!$H$43,Infra!$I$15,0)</f>
        <v>0</v>
      </c>
    </row>
    <row r="6" spans="2:47" ht="16" customHeight="1" x14ac:dyDescent="0.2">
      <c r="B6" s="32" t="s">
        <v>907</v>
      </c>
      <c r="D6" s="24"/>
      <c r="F6" s="33">
        <f t="shared" si="20"/>
        <v>1862763.9691774645</v>
      </c>
      <c r="G6" s="150">
        <f>+IF(G$3='Assumptions and Sensis'!$H$43,Infra!$I$16,0)</f>
        <v>0</v>
      </c>
      <c r="H6" s="150">
        <f>+IF(H$3='Assumptions and Sensis'!$H$43,Infra!$I$16,0)</f>
        <v>0</v>
      </c>
      <c r="I6" s="150">
        <f>+IF(I$3='Assumptions and Sensis'!$H$43,Infra!$I$16,0)</f>
        <v>0</v>
      </c>
      <c r="J6" s="150">
        <f>+IF(J$3='Assumptions and Sensis'!$H$43,Infra!$I$16,0)</f>
        <v>0</v>
      </c>
      <c r="K6" s="150">
        <f>+IF(K$3='Assumptions and Sensis'!$H$43,Infra!$I$16,0)</f>
        <v>3000000</v>
      </c>
      <c r="L6" s="150">
        <f>+IF(L$3='Assumptions and Sensis'!$H$43,Infra!$I$16,0)</f>
        <v>0</v>
      </c>
      <c r="M6" s="150">
        <f>+IF(M$3='Assumptions and Sensis'!$H$43,Infra!$I$16,0)</f>
        <v>0</v>
      </c>
      <c r="N6" s="150">
        <f>+IF(N$3='Assumptions and Sensis'!$H$43,Infra!$I$16,0)</f>
        <v>0</v>
      </c>
      <c r="O6" s="150">
        <f>+IF(O$3='Assumptions and Sensis'!$H$43,Infra!$I$16,0)</f>
        <v>0</v>
      </c>
      <c r="P6" s="150">
        <f>+IF(P$3='Assumptions and Sensis'!$H$43,Infra!$I$16,0)</f>
        <v>0</v>
      </c>
      <c r="Q6" s="150">
        <f>+IF(Q$3='Assumptions and Sensis'!$H$43,Infra!$I$16,0)</f>
        <v>0</v>
      </c>
      <c r="R6" s="150">
        <f>+IF(R$3='Assumptions and Sensis'!$H$43,Infra!$I$16,0)</f>
        <v>0</v>
      </c>
      <c r="S6" s="150">
        <f>+IF(S$3='Assumptions and Sensis'!$H$43,Infra!$I$16,0)</f>
        <v>0</v>
      </c>
      <c r="T6" s="150">
        <f>+IF(T$3='Assumptions and Sensis'!$H$43,Infra!$I$16,0)</f>
        <v>0</v>
      </c>
      <c r="U6" s="150">
        <f>+IF(U$3='Assumptions and Sensis'!$H$43,Infra!$I$16,0)</f>
        <v>0</v>
      </c>
      <c r="V6" s="150">
        <f>+IF(V$3='Assumptions and Sensis'!$H$43,Infra!$I$16,0)</f>
        <v>0</v>
      </c>
      <c r="W6" s="150">
        <f>+IF(W$3='Assumptions and Sensis'!$H$43,Infra!$I$16,0)</f>
        <v>0</v>
      </c>
      <c r="X6" s="150">
        <f>+IF(X$3='Assumptions and Sensis'!$H$43,Infra!$I$16,0)</f>
        <v>0</v>
      </c>
      <c r="Y6" s="150">
        <f>+IF(Y$3='Assumptions and Sensis'!$H$43,Infra!$I$16,0)</f>
        <v>0</v>
      </c>
      <c r="Z6" s="150">
        <f>+IF(Z$3='Assumptions and Sensis'!$H$43,Infra!$I$16,0)</f>
        <v>0</v>
      </c>
      <c r="AA6" s="150">
        <f>+IF(AA$3='Assumptions and Sensis'!$H$43,Infra!$I$16,0)</f>
        <v>0</v>
      </c>
      <c r="AB6" s="150">
        <f>+IF(AB$3='Assumptions and Sensis'!$H$43,Infra!$I$16,0)</f>
        <v>0</v>
      </c>
      <c r="AC6" s="150">
        <f>+IF(AC$3='Assumptions and Sensis'!$H$43,Infra!$I$16,0)</f>
        <v>0</v>
      </c>
      <c r="AD6" s="150">
        <f>+IF(AD$3='Assumptions and Sensis'!$H$43,Infra!$I$16,0)</f>
        <v>0</v>
      </c>
      <c r="AE6" s="150">
        <f>+IF(AE$3='Assumptions and Sensis'!$H$43,Infra!$I$16,0)</f>
        <v>0</v>
      </c>
      <c r="AF6" s="150">
        <f>+IF(AF$3='Assumptions and Sensis'!$H$43,Infra!$I$16,0)</f>
        <v>0</v>
      </c>
      <c r="AG6" s="150">
        <f>+IF(AG$3='Assumptions and Sensis'!$H$43,Infra!$I$16,0)</f>
        <v>0</v>
      </c>
      <c r="AH6" s="150">
        <f>+IF(AH$3='Assumptions and Sensis'!$H$43,Infra!$I$16,0)</f>
        <v>0</v>
      </c>
      <c r="AI6" s="150">
        <f>+IF(AI$3='Assumptions and Sensis'!$H$43,Infra!$I$16,0)</f>
        <v>0</v>
      </c>
      <c r="AJ6" s="150">
        <f>+IF(AJ$3='Assumptions and Sensis'!$H$43,Infra!$I$16,0)</f>
        <v>0</v>
      </c>
      <c r="AK6" s="150">
        <f>+IF(AK$3='Assumptions and Sensis'!$H$43,Infra!$I$16,0)</f>
        <v>0</v>
      </c>
      <c r="AL6" s="150">
        <f>+IF(AL$3='Assumptions and Sensis'!$H$43,Infra!$I$16,0)</f>
        <v>0</v>
      </c>
      <c r="AM6" s="150">
        <f>+IF(AM$3='Assumptions and Sensis'!$H$43,Infra!$I$16,0)</f>
        <v>0</v>
      </c>
      <c r="AN6" s="150">
        <f>+IF(AN$3='Assumptions and Sensis'!$H$43,Infra!$I$16,0)</f>
        <v>0</v>
      </c>
      <c r="AO6" s="150">
        <f>+IF(AO$3='Assumptions and Sensis'!$H$43,Infra!$I$16,0)</f>
        <v>0</v>
      </c>
      <c r="AP6" s="150">
        <f>+IF(AP$3='Assumptions and Sensis'!$H$43,Infra!$I$16,0)</f>
        <v>0</v>
      </c>
      <c r="AQ6" s="150">
        <f>+IF(AQ$3='Assumptions and Sensis'!$H$43,Infra!$I$16,0)</f>
        <v>0</v>
      </c>
      <c r="AR6" s="150">
        <f>+IF(AR$3='Assumptions and Sensis'!$H$43,Infra!$I$16,0)</f>
        <v>0</v>
      </c>
      <c r="AS6" s="150">
        <f>+IF(AS$3='Assumptions and Sensis'!$H$43,Infra!$I$16,0)</f>
        <v>0</v>
      </c>
      <c r="AT6" s="150">
        <f>+IF(AT$3='Assumptions and Sensis'!$H$43,Infra!$I$16,0)</f>
        <v>0</v>
      </c>
      <c r="AU6" s="150">
        <f>+IF(AU$3='Assumptions and Sensis'!$H$43,Infra!$I$16,0)</f>
        <v>0</v>
      </c>
    </row>
    <row r="7" spans="2:47" ht="16" customHeight="1" x14ac:dyDescent="0.2">
      <c r="B7" s="32" t="s">
        <v>629</v>
      </c>
      <c r="D7" s="24"/>
      <c r="F7" s="33">
        <f t="shared" si="20"/>
        <v>8181818.1818181807</v>
      </c>
      <c r="G7" s="150">
        <f>+IF(G$3='Assumptions and Sensis'!$F$45,'Assumptions and Sensis'!$F$172*Budget!$D$39,0)</f>
        <v>0</v>
      </c>
      <c r="H7" s="150">
        <f>+IF(H$3='Assumptions and Sensis'!$F$45,'Assumptions and Sensis'!$F$172*Budget!$D$39,0)</f>
        <v>9900000</v>
      </c>
      <c r="I7" s="150">
        <f>+IF(I$3='Assumptions and Sensis'!$F$45,'Assumptions and Sensis'!$F$172*Budget!$D$39,0)</f>
        <v>0</v>
      </c>
      <c r="J7" s="150">
        <f>+IF(J$3='Assumptions and Sensis'!$F$45,'Assumptions and Sensis'!$F$172*Budget!$D$39,0)</f>
        <v>0</v>
      </c>
      <c r="K7" s="150">
        <f>+IF(K$3='Assumptions and Sensis'!$F$45,'Assumptions and Sensis'!$F$172*Budget!$D$39,0)</f>
        <v>0</v>
      </c>
      <c r="L7" s="150">
        <f>+IF(L$3='Assumptions and Sensis'!$F$45,'Assumptions and Sensis'!$F$172*Budget!$D$39,0)</f>
        <v>0</v>
      </c>
      <c r="M7" s="150">
        <f>+IF(M$3='Assumptions and Sensis'!$F$45,'Assumptions and Sensis'!$F$172*Budget!$D$39,0)</f>
        <v>0</v>
      </c>
      <c r="N7" s="150">
        <f>+IF(N$3='Assumptions and Sensis'!$F$45,'Assumptions and Sensis'!$F$172*Budget!$D$39,0)</f>
        <v>0</v>
      </c>
      <c r="O7" s="150">
        <f>+IF(O$3='Assumptions and Sensis'!$F$45,'Assumptions and Sensis'!$F$172*Budget!$D$39,0)</f>
        <v>0</v>
      </c>
      <c r="P7" s="150">
        <f>+IF(P$3='Assumptions and Sensis'!$F$45,'Assumptions and Sensis'!$F$172*Budget!$D$39,0)</f>
        <v>0</v>
      </c>
      <c r="Q7" s="150">
        <f>+IF(Q$3='Assumptions and Sensis'!$F$45,'Assumptions and Sensis'!$F$172*Budget!$D$39,0)</f>
        <v>0</v>
      </c>
      <c r="R7" s="150">
        <f>+IF(R$3='Assumptions and Sensis'!$F$45,'Assumptions and Sensis'!$F$172*Budget!$D$39,0)</f>
        <v>0</v>
      </c>
      <c r="S7" s="150">
        <f>+IF(S$3='Assumptions and Sensis'!$F$45,'Assumptions and Sensis'!$F$172*Budget!$D$39,0)</f>
        <v>0</v>
      </c>
      <c r="T7" s="150">
        <f>+IF(T$3='Assumptions and Sensis'!$F$45,'Assumptions and Sensis'!$F$172*Budget!$D$39,0)</f>
        <v>0</v>
      </c>
      <c r="U7" s="150">
        <f>+IF(U$3='Assumptions and Sensis'!$F$45,'Assumptions and Sensis'!$F$172*Budget!$D$39,0)</f>
        <v>0</v>
      </c>
      <c r="V7" s="150">
        <f>+IF(V$3='Assumptions and Sensis'!$F$45,'Assumptions and Sensis'!$F$172*Budget!$D$39,0)</f>
        <v>0</v>
      </c>
      <c r="W7" s="150">
        <f>+IF(W$3='Assumptions and Sensis'!$F$45,'Assumptions and Sensis'!$F$172*Budget!$D$39,0)</f>
        <v>0</v>
      </c>
      <c r="X7" s="150">
        <f>+IF(X$3='Assumptions and Sensis'!$F$45,'Assumptions and Sensis'!$F$172*Budget!$D$39,0)</f>
        <v>0</v>
      </c>
      <c r="Y7" s="150">
        <f>+IF(Y$3='Assumptions and Sensis'!$F$45,'Assumptions and Sensis'!$F$172*Budget!$D$39,0)</f>
        <v>0</v>
      </c>
      <c r="Z7" s="150">
        <f>+IF(Z$3='Assumptions and Sensis'!$F$45,'Assumptions and Sensis'!$F$172*Budget!$D$39,0)</f>
        <v>0</v>
      </c>
      <c r="AA7" s="150">
        <f>+IF(AA$3='Assumptions and Sensis'!$F$45,'Assumptions and Sensis'!$F$172*Budget!$D$39,0)</f>
        <v>0</v>
      </c>
      <c r="AB7" s="150">
        <f>+IF(AB$3='Assumptions and Sensis'!$F$45,'Assumptions and Sensis'!$F$172*Budget!$D$39,0)</f>
        <v>0</v>
      </c>
      <c r="AC7" s="150">
        <f>+IF(AC$3='Assumptions and Sensis'!$F$45,'Assumptions and Sensis'!$F$172*Budget!$D$39,0)</f>
        <v>0</v>
      </c>
      <c r="AD7" s="150">
        <f>+IF(AD$3='Assumptions and Sensis'!$F$45,'Assumptions and Sensis'!$F$172*Budget!$D$39,0)</f>
        <v>0</v>
      </c>
      <c r="AE7" s="150">
        <f>+IF(AE$3='Assumptions and Sensis'!$F$45,'Assumptions and Sensis'!$F$172*Budget!$D$39,0)</f>
        <v>0</v>
      </c>
      <c r="AF7" s="150">
        <f>+IF(AF$3='Assumptions and Sensis'!$F$45,'Assumptions and Sensis'!$F$172*Budget!$D$39,0)</f>
        <v>0</v>
      </c>
      <c r="AG7" s="150">
        <f>+IF(AG$3='Assumptions and Sensis'!$F$45,'Assumptions and Sensis'!$F$172*Budget!$D$39,0)</f>
        <v>0</v>
      </c>
      <c r="AH7" s="150">
        <f>+IF(AH$3='Assumptions and Sensis'!$F$45,'Assumptions and Sensis'!$F$172*Budget!$D$39,0)</f>
        <v>0</v>
      </c>
      <c r="AI7" s="150">
        <f>+IF(AI$3='Assumptions and Sensis'!$F$45,'Assumptions and Sensis'!$F$172*Budget!$D$39,0)</f>
        <v>0</v>
      </c>
      <c r="AJ7" s="150">
        <f>+IF(AJ$3='Assumptions and Sensis'!$F$45,'Assumptions and Sensis'!$F$172*Budget!$D$39,0)</f>
        <v>0</v>
      </c>
      <c r="AK7" s="150">
        <f>+IF(AK$3='Assumptions and Sensis'!$F$45,'Assumptions and Sensis'!$F$172*Budget!$D$39,0)</f>
        <v>0</v>
      </c>
      <c r="AL7" s="150">
        <f>+IF(AL$3='Assumptions and Sensis'!$F$45,'Assumptions and Sensis'!$F$172*Budget!$D$39,0)</f>
        <v>0</v>
      </c>
      <c r="AM7" s="150">
        <f>+IF(AM$3='Assumptions and Sensis'!$F$45,'Assumptions and Sensis'!$F$172*Budget!$D$39,0)</f>
        <v>0</v>
      </c>
      <c r="AN7" s="150">
        <f>+IF(AN$3='Assumptions and Sensis'!$F$45,'Assumptions and Sensis'!$F$172*Budget!$D$39,0)</f>
        <v>0</v>
      </c>
      <c r="AO7" s="150">
        <f>+IF(AO$3='Assumptions and Sensis'!$F$45,'Assumptions and Sensis'!$F$172*Budget!$D$39,0)</f>
        <v>0</v>
      </c>
      <c r="AP7" s="150">
        <f>+IF(AP$3='Assumptions and Sensis'!$F$45,'Assumptions and Sensis'!$F$172*Budget!$D$39,0)</f>
        <v>0</v>
      </c>
      <c r="AQ7" s="150">
        <f>+IF(AQ$3='Assumptions and Sensis'!$F$45,'Assumptions and Sensis'!$F$172*Budget!$D$39,0)</f>
        <v>0</v>
      </c>
      <c r="AR7" s="150">
        <f>+IF(AR$3='Assumptions and Sensis'!$F$45,'Assumptions and Sensis'!$F$172*Budget!$D$39,0)</f>
        <v>0</v>
      </c>
      <c r="AS7" s="150">
        <f>+IF(AS$3='Assumptions and Sensis'!$F$45,'Assumptions and Sensis'!$F$172*Budget!$D$39,0)</f>
        <v>0</v>
      </c>
      <c r="AT7" s="150">
        <f>+IF(AT$3='Assumptions and Sensis'!$F$45,'Assumptions and Sensis'!$F$172*Budget!$D$39,0)</f>
        <v>0</v>
      </c>
      <c r="AU7" s="150">
        <f>+IF(AU$3='Assumptions and Sensis'!$F$45,'Assumptions and Sensis'!$F$172*Budget!$D$39,0)</f>
        <v>0</v>
      </c>
    </row>
    <row r="8" spans="2:47" ht="16" customHeight="1" x14ac:dyDescent="0.2">
      <c r="B8" s="32" t="s">
        <v>675</v>
      </c>
      <c r="D8" s="24"/>
      <c r="F8" s="33">
        <f t="shared" si="20"/>
        <v>4666780.0120231472</v>
      </c>
      <c r="G8" s="150">
        <f>+G16-G15</f>
        <v>0</v>
      </c>
      <c r="H8" s="150">
        <f t="shared" ref="H8:AU8" si="21">+H16-H15</f>
        <v>0</v>
      </c>
      <c r="I8" s="150">
        <f t="shared" si="21"/>
        <v>0</v>
      </c>
      <c r="J8" s="150">
        <f t="shared" si="21"/>
        <v>0</v>
      </c>
      <c r="K8" s="150">
        <f t="shared" si="21"/>
        <v>0</v>
      </c>
      <c r="L8" s="150">
        <f t="shared" si="21"/>
        <v>0</v>
      </c>
      <c r="M8" s="150">
        <f t="shared" si="21"/>
        <v>0</v>
      </c>
      <c r="N8" s="150">
        <f t="shared" si="21"/>
        <v>624834.23080320016</v>
      </c>
      <c r="O8" s="150">
        <f t="shared" si="21"/>
        <v>1249668.4616064003</v>
      </c>
      <c r="P8" s="150">
        <f t="shared" si="21"/>
        <v>1249668.4616064003</v>
      </c>
      <c r="Q8" s="150">
        <f t="shared" si="21"/>
        <v>1312151.8846867201</v>
      </c>
      <c r="R8" s="150">
        <f t="shared" si="21"/>
        <v>1312151.8846867201</v>
      </c>
      <c r="S8" s="150">
        <f t="shared" si="21"/>
        <v>1312151.8846867201</v>
      </c>
      <c r="T8" s="150">
        <f t="shared" si="21"/>
        <v>1312151.8846867201</v>
      </c>
      <c r="U8" s="150">
        <f t="shared" si="21"/>
        <v>1312151.8846867201</v>
      </c>
      <c r="V8" s="150">
        <f t="shared" si="21"/>
        <v>1377759.4789210563</v>
      </c>
      <c r="W8" s="150">
        <f t="shared" si="21"/>
        <v>1377759.4789210563</v>
      </c>
      <c r="X8" s="150">
        <f t="shared" si="21"/>
        <v>1377759.4789210563</v>
      </c>
      <c r="Y8" s="150">
        <f t="shared" si="21"/>
        <v>1377759.4789210563</v>
      </c>
      <c r="Z8" s="150">
        <f t="shared" si="21"/>
        <v>1377759.4789210563</v>
      </c>
      <c r="AA8" s="150">
        <f t="shared" si="21"/>
        <v>1446647.4528671089</v>
      </c>
      <c r="AB8" s="150">
        <f t="shared" si="21"/>
        <v>0</v>
      </c>
      <c r="AC8" s="150">
        <f t="shared" si="21"/>
        <v>0</v>
      </c>
      <c r="AD8" s="150">
        <f t="shared" si="21"/>
        <v>0</v>
      </c>
      <c r="AE8" s="150">
        <f t="shared" si="21"/>
        <v>0</v>
      </c>
      <c r="AF8" s="150">
        <f t="shared" si="21"/>
        <v>0</v>
      </c>
      <c r="AG8" s="150">
        <f t="shared" si="21"/>
        <v>0</v>
      </c>
      <c r="AH8" s="150">
        <f t="shared" si="21"/>
        <v>0</v>
      </c>
      <c r="AI8" s="150">
        <f t="shared" si="21"/>
        <v>0</v>
      </c>
      <c r="AJ8" s="150">
        <f t="shared" si="21"/>
        <v>0</v>
      </c>
      <c r="AK8" s="150">
        <f t="shared" si="21"/>
        <v>0</v>
      </c>
      <c r="AL8" s="150">
        <f t="shared" si="21"/>
        <v>0</v>
      </c>
      <c r="AM8" s="150">
        <f t="shared" si="21"/>
        <v>0</v>
      </c>
      <c r="AN8" s="150">
        <f t="shared" si="21"/>
        <v>0</v>
      </c>
      <c r="AO8" s="150">
        <f t="shared" si="21"/>
        <v>0</v>
      </c>
      <c r="AP8" s="150">
        <f t="shared" si="21"/>
        <v>0</v>
      </c>
      <c r="AQ8" s="150">
        <f t="shared" si="21"/>
        <v>0</v>
      </c>
      <c r="AR8" s="150">
        <f t="shared" si="21"/>
        <v>0</v>
      </c>
      <c r="AS8" s="150">
        <f t="shared" si="21"/>
        <v>0</v>
      </c>
      <c r="AT8" s="150">
        <f t="shared" si="21"/>
        <v>0</v>
      </c>
      <c r="AU8" s="150">
        <f t="shared" si="21"/>
        <v>0</v>
      </c>
    </row>
    <row r="9" spans="2:47" ht="16" customHeight="1" x14ac:dyDescent="0.2">
      <c r="B9" s="32" t="s">
        <v>676</v>
      </c>
      <c r="D9" s="24"/>
      <c r="F9" s="33">
        <f t="shared" si="20"/>
        <v>1658323.101647825</v>
      </c>
      <c r="G9" s="150">
        <f>+G20-G19</f>
        <v>0</v>
      </c>
      <c r="H9" s="150">
        <f t="shared" ref="H9:AU9" si="22">+H20-H19</f>
        <v>0</v>
      </c>
      <c r="I9" s="150">
        <f t="shared" si="22"/>
        <v>0</v>
      </c>
      <c r="J9" s="150">
        <f t="shared" si="22"/>
        <v>133875</v>
      </c>
      <c r="K9" s="150">
        <f t="shared" si="22"/>
        <v>267750</v>
      </c>
      <c r="L9" s="150">
        <f t="shared" si="22"/>
        <v>267750</v>
      </c>
      <c r="M9" s="150">
        <f t="shared" si="22"/>
        <v>281137.5</v>
      </c>
      <c r="N9" s="150">
        <f t="shared" si="22"/>
        <v>281137.5</v>
      </c>
      <c r="O9" s="150">
        <f t="shared" si="22"/>
        <v>281137.5</v>
      </c>
      <c r="P9" s="150">
        <f t="shared" si="22"/>
        <v>281137.5</v>
      </c>
      <c r="Q9" s="150">
        <f t="shared" si="22"/>
        <v>281137.5</v>
      </c>
      <c r="R9" s="150">
        <f t="shared" si="22"/>
        <v>295194.375</v>
      </c>
      <c r="S9" s="150">
        <f t="shared" si="22"/>
        <v>295194.375</v>
      </c>
      <c r="T9" s="150">
        <f t="shared" si="22"/>
        <v>295194.375</v>
      </c>
      <c r="U9" s="150">
        <f t="shared" si="22"/>
        <v>295194.375</v>
      </c>
      <c r="V9" s="150">
        <f t="shared" si="22"/>
        <v>295194.375</v>
      </c>
      <c r="W9" s="150">
        <f t="shared" si="22"/>
        <v>309954.09375</v>
      </c>
      <c r="X9" s="150">
        <f t="shared" si="22"/>
        <v>309954.09375</v>
      </c>
      <c r="Y9" s="150">
        <f t="shared" si="22"/>
        <v>309954.09375</v>
      </c>
      <c r="Z9" s="150">
        <f t="shared" si="22"/>
        <v>309954.09375</v>
      </c>
      <c r="AA9" s="150">
        <f t="shared" si="22"/>
        <v>309954.09375</v>
      </c>
      <c r="AB9" s="150">
        <f t="shared" si="22"/>
        <v>0</v>
      </c>
      <c r="AC9" s="150">
        <f t="shared" si="22"/>
        <v>0</v>
      </c>
      <c r="AD9" s="150">
        <f t="shared" si="22"/>
        <v>0</v>
      </c>
      <c r="AE9" s="150">
        <f t="shared" si="22"/>
        <v>0</v>
      </c>
      <c r="AF9" s="150">
        <f t="shared" si="22"/>
        <v>0</v>
      </c>
      <c r="AG9" s="150">
        <f t="shared" si="22"/>
        <v>0</v>
      </c>
      <c r="AH9" s="150">
        <f t="shared" si="22"/>
        <v>0</v>
      </c>
      <c r="AI9" s="150">
        <f t="shared" si="22"/>
        <v>0</v>
      </c>
      <c r="AJ9" s="150">
        <f t="shared" si="22"/>
        <v>0</v>
      </c>
      <c r="AK9" s="150">
        <f t="shared" si="22"/>
        <v>0</v>
      </c>
      <c r="AL9" s="150">
        <f t="shared" si="22"/>
        <v>0</v>
      </c>
      <c r="AM9" s="150">
        <f t="shared" si="22"/>
        <v>0</v>
      </c>
      <c r="AN9" s="150">
        <f t="shared" si="22"/>
        <v>0</v>
      </c>
      <c r="AO9" s="150">
        <f t="shared" si="22"/>
        <v>0</v>
      </c>
      <c r="AP9" s="150">
        <f t="shared" si="22"/>
        <v>0</v>
      </c>
      <c r="AQ9" s="150">
        <f t="shared" si="22"/>
        <v>0</v>
      </c>
      <c r="AR9" s="150">
        <f t="shared" si="22"/>
        <v>0</v>
      </c>
      <c r="AS9" s="150">
        <f t="shared" si="22"/>
        <v>0</v>
      </c>
      <c r="AT9" s="150">
        <f t="shared" si="22"/>
        <v>0</v>
      </c>
      <c r="AU9" s="150">
        <f t="shared" si="22"/>
        <v>0</v>
      </c>
    </row>
    <row r="10" spans="2:47" ht="16" customHeight="1" x14ac:dyDescent="0.2">
      <c r="B10" s="32" t="s">
        <v>933</v>
      </c>
      <c r="D10" s="24"/>
      <c r="F10" s="33">
        <f t="shared" ca="1" si="20"/>
        <v>7246836.9505206635</v>
      </c>
      <c r="G10" s="150">
        <f ca="1">+G24-G23</f>
        <v>0</v>
      </c>
      <c r="H10" s="150">
        <f t="shared" ref="H10:AU10" ca="1" si="23">+H24-H23</f>
        <v>0</v>
      </c>
      <c r="I10" s="150">
        <f t="shared" ca="1" si="23"/>
        <v>0</v>
      </c>
      <c r="J10" s="150">
        <f t="shared" ca="1" si="23"/>
        <v>355242.51124597684</v>
      </c>
      <c r="K10" s="150">
        <f t="shared" ca="1" si="23"/>
        <v>708599.79896301404</v>
      </c>
      <c r="L10" s="150">
        <f t="shared" ca="1" si="23"/>
        <v>896201.50835804234</v>
      </c>
      <c r="M10" s="150">
        <f t="shared" ca="1" si="23"/>
        <v>1079242.9491146267</v>
      </c>
      <c r="N10" s="150">
        <f t="shared" ca="1" si="23"/>
        <v>1319873.1804926004</v>
      </c>
      <c r="O10" s="150">
        <f t="shared" ca="1" si="23"/>
        <v>1554823.7911592536</v>
      </c>
      <c r="P10" s="150">
        <f t="shared" ca="1" si="23"/>
        <v>1542716.5592402974</v>
      </c>
      <c r="Q10" s="150">
        <f t="shared" ca="1" si="23"/>
        <v>1531770.3485868191</v>
      </c>
      <c r="R10" s="150">
        <f t="shared" ca="1" si="23"/>
        <v>1516139.6437404389</v>
      </c>
      <c r="S10" s="150">
        <f t="shared" ca="1" si="23"/>
        <v>1499098.2291438822</v>
      </c>
      <c r="T10" s="150">
        <f t="shared" ca="1" si="23"/>
        <v>1483047.8820323739</v>
      </c>
      <c r="U10" s="150">
        <f t="shared" ca="1" si="23"/>
        <v>1462019.3331509093</v>
      </c>
      <c r="V10" s="150">
        <f t="shared" ca="1" si="23"/>
        <v>1439344.7728737509</v>
      </c>
      <c r="W10" s="150">
        <f t="shared" ca="1" si="23"/>
        <v>1417466.7107462694</v>
      </c>
      <c r="X10" s="150">
        <f t="shared" ca="1" si="23"/>
        <v>1390288.9479845359</v>
      </c>
      <c r="Y10" s="150">
        <f t="shared" ca="1" si="23"/>
        <v>1361202.5260536999</v>
      </c>
      <c r="Z10" s="150">
        <f t="shared" ca="1" si="23"/>
        <v>1332690.7554985052</v>
      </c>
      <c r="AA10" s="150">
        <f t="shared" ca="1" si="23"/>
        <v>1298527.1997447608</v>
      </c>
      <c r="AB10" s="150">
        <f t="shared" si="23"/>
        <v>0</v>
      </c>
      <c r="AC10" s="150">
        <f t="shared" si="23"/>
        <v>0</v>
      </c>
      <c r="AD10" s="150">
        <f t="shared" si="23"/>
        <v>0</v>
      </c>
      <c r="AE10" s="150">
        <f t="shared" si="23"/>
        <v>0</v>
      </c>
      <c r="AF10" s="150">
        <f t="shared" si="23"/>
        <v>0</v>
      </c>
      <c r="AG10" s="150">
        <f t="shared" si="23"/>
        <v>0</v>
      </c>
      <c r="AH10" s="150">
        <f t="shared" si="23"/>
        <v>0</v>
      </c>
      <c r="AI10" s="150">
        <f t="shared" si="23"/>
        <v>0</v>
      </c>
      <c r="AJ10" s="150">
        <f t="shared" si="23"/>
        <v>0</v>
      </c>
      <c r="AK10" s="150">
        <f t="shared" si="23"/>
        <v>0</v>
      </c>
      <c r="AL10" s="150">
        <f t="shared" si="23"/>
        <v>0</v>
      </c>
      <c r="AM10" s="150">
        <f t="shared" si="23"/>
        <v>0</v>
      </c>
      <c r="AN10" s="150">
        <f t="shared" si="23"/>
        <v>0</v>
      </c>
      <c r="AO10" s="150">
        <f t="shared" si="23"/>
        <v>0</v>
      </c>
      <c r="AP10" s="150">
        <f t="shared" si="23"/>
        <v>0</v>
      </c>
      <c r="AQ10" s="150">
        <f t="shared" si="23"/>
        <v>0</v>
      </c>
      <c r="AR10" s="150">
        <f t="shared" si="23"/>
        <v>0</v>
      </c>
      <c r="AS10" s="150">
        <f t="shared" si="23"/>
        <v>0</v>
      </c>
      <c r="AT10" s="150">
        <f t="shared" si="23"/>
        <v>0</v>
      </c>
      <c r="AU10" s="150">
        <f t="shared" si="23"/>
        <v>0</v>
      </c>
    </row>
    <row r="11" spans="2:47" ht="16" customHeight="1" x14ac:dyDescent="0.2">
      <c r="B11" s="165" t="s">
        <v>17</v>
      </c>
      <c r="C11" s="165"/>
      <c r="D11" s="165"/>
      <c r="E11" s="165"/>
      <c r="F11" s="166"/>
      <c r="G11" s="166">
        <f ca="1">+SUM(G4:G10)</f>
        <v>8700000</v>
      </c>
      <c r="H11" s="166">
        <f t="shared" ref="H11:AU11" ca="1" si="24">+SUM(H4:H10)</f>
        <v>10192500</v>
      </c>
      <c r="I11" s="166">
        <f t="shared" ca="1" si="24"/>
        <v>8010000</v>
      </c>
      <c r="J11" s="166">
        <f t="shared" ca="1" si="24"/>
        <v>826617.5112459769</v>
      </c>
      <c r="K11" s="166">
        <f t="shared" ca="1" si="24"/>
        <v>7976349.798963014</v>
      </c>
      <c r="L11" s="166">
        <f t="shared" ca="1" si="24"/>
        <v>5063951.5083580427</v>
      </c>
      <c r="M11" s="166">
        <f t="shared" ca="1" si="24"/>
        <v>1360380.4491146267</v>
      </c>
      <c r="N11" s="166">
        <f t="shared" ca="1" si="24"/>
        <v>2225844.9112958005</v>
      </c>
      <c r="O11" s="166">
        <f t="shared" ca="1" si="24"/>
        <v>3085629.7527656537</v>
      </c>
      <c r="P11" s="166">
        <f t="shared" ca="1" si="24"/>
        <v>3073522.5208466975</v>
      </c>
      <c r="Q11" s="166">
        <f t="shared" ca="1" si="24"/>
        <v>3125059.7332735392</v>
      </c>
      <c r="R11" s="166">
        <f t="shared" ca="1" si="24"/>
        <v>3123485.9034271589</v>
      </c>
      <c r="S11" s="166">
        <f t="shared" ca="1" si="24"/>
        <v>3106444.4888306023</v>
      </c>
      <c r="T11" s="166">
        <f t="shared" ca="1" si="24"/>
        <v>3090394.141719094</v>
      </c>
      <c r="U11" s="166">
        <f t="shared" ca="1" si="24"/>
        <v>3069365.5928376294</v>
      </c>
      <c r="V11" s="166">
        <f t="shared" ca="1" si="24"/>
        <v>3112298.6267948071</v>
      </c>
      <c r="W11" s="166">
        <f t="shared" ca="1" si="24"/>
        <v>3105180.2834173255</v>
      </c>
      <c r="X11" s="166">
        <f t="shared" ca="1" si="24"/>
        <v>3078002.520655592</v>
      </c>
      <c r="Y11" s="166">
        <f t="shared" ca="1" si="24"/>
        <v>3048916.0987247564</v>
      </c>
      <c r="Z11" s="166">
        <f t="shared" ca="1" si="24"/>
        <v>3020404.3281695615</v>
      </c>
      <c r="AA11" s="166">
        <f t="shared" ca="1" si="24"/>
        <v>3055128.7463618694</v>
      </c>
      <c r="AB11" s="166">
        <f t="shared" si="24"/>
        <v>0</v>
      </c>
      <c r="AC11" s="166">
        <f t="shared" si="24"/>
        <v>0</v>
      </c>
      <c r="AD11" s="166">
        <f t="shared" si="24"/>
        <v>0</v>
      </c>
      <c r="AE11" s="166">
        <f t="shared" si="24"/>
        <v>0</v>
      </c>
      <c r="AF11" s="166">
        <f t="shared" si="24"/>
        <v>0</v>
      </c>
      <c r="AG11" s="166">
        <f t="shared" si="24"/>
        <v>0</v>
      </c>
      <c r="AH11" s="166">
        <f t="shared" si="24"/>
        <v>0</v>
      </c>
      <c r="AI11" s="166">
        <f t="shared" si="24"/>
        <v>0</v>
      </c>
      <c r="AJ11" s="166">
        <f t="shared" si="24"/>
        <v>0</v>
      </c>
      <c r="AK11" s="166">
        <f t="shared" si="24"/>
        <v>0</v>
      </c>
      <c r="AL11" s="166">
        <f t="shared" si="24"/>
        <v>0</v>
      </c>
      <c r="AM11" s="166">
        <f t="shared" si="24"/>
        <v>0</v>
      </c>
      <c r="AN11" s="166">
        <f t="shared" si="24"/>
        <v>0</v>
      </c>
      <c r="AO11" s="166">
        <f t="shared" si="24"/>
        <v>0</v>
      </c>
      <c r="AP11" s="166">
        <f t="shared" si="24"/>
        <v>0</v>
      </c>
      <c r="AQ11" s="166">
        <f t="shared" si="24"/>
        <v>0</v>
      </c>
      <c r="AR11" s="166">
        <f t="shared" si="24"/>
        <v>0</v>
      </c>
      <c r="AS11" s="166">
        <f t="shared" si="24"/>
        <v>0</v>
      </c>
      <c r="AT11" s="166">
        <f t="shared" si="24"/>
        <v>0</v>
      </c>
      <c r="AU11" s="166">
        <f t="shared" si="24"/>
        <v>0</v>
      </c>
    </row>
    <row r="12" spans="2:47" ht="16" customHeight="1" x14ac:dyDescent="0.2">
      <c r="B12" s="118" t="s">
        <v>634</v>
      </c>
      <c r="C12" s="118"/>
      <c r="D12" s="118"/>
      <c r="E12" s="548">
        <v>0.1</v>
      </c>
      <c r="F12" s="547">
        <f ca="1">+NPV(E12,G11:AU11)</f>
        <v>42701030.877321959</v>
      </c>
      <c r="AB12" s="204"/>
    </row>
    <row r="13" spans="2:47" ht="16" customHeight="1" x14ac:dyDescent="0.2">
      <c r="AB13" s="204"/>
    </row>
    <row r="14" spans="2:47" ht="16" customHeight="1" x14ac:dyDescent="0.2">
      <c r="B14" s="147" t="s">
        <v>633</v>
      </c>
      <c r="AB14" s="204"/>
    </row>
    <row r="15" spans="2:47" ht="16" customHeight="1" x14ac:dyDescent="0.2">
      <c r="B15" s="32" t="s">
        <v>632</v>
      </c>
      <c r="G15" s="150">
        <f>+SUMIF('Phase III Pro Forma'!$F$74:$Z$74,'Public Benefits'!G$3,'Phase III Pro Forma'!$F$82:$Z$82)</f>
        <v>0</v>
      </c>
      <c r="H15" s="150">
        <f>+SUMIF('Phase III Pro Forma'!$F$74:$Z$74,'Public Benefits'!H$3,'Phase III Pro Forma'!$F$82:$Z$82)</f>
        <v>0</v>
      </c>
      <c r="I15" s="150">
        <f>+SUMIF('Phase III Pro Forma'!$F$74:$Z$74,'Public Benefits'!I$3,'Phase III Pro Forma'!$F$82:$Z$82)</f>
        <v>0</v>
      </c>
      <c r="J15" s="150">
        <f>+SUMIF('Phase III Pro Forma'!$F$74:$Z$74,'Public Benefits'!J$3,'Phase III Pro Forma'!$F$82:$Z$82)</f>
        <v>0</v>
      </c>
      <c r="K15" s="150">
        <f>+SUMIF('Phase III Pro Forma'!$F$74:$Z$74,'Public Benefits'!K$3,'Phase III Pro Forma'!$F$82:$Z$82)</f>
        <v>0</v>
      </c>
      <c r="L15" s="150">
        <f>+SUMIF('Phase III Pro Forma'!$F$74:$Z$74,'Public Benefits'!L$3,'Phase III Pro Forma'!$F$82:$Z$82)</f>
        <v>0</v>
      </c>
      <c r="M15" s="150">
        <f>+SUMIF('Phase III Pro Forma'!$F$74:$Z$74,'Public Benefits'!M$3,'Phase III Pro Forma'!$F$82:$Z$82)</f>
        <v>0</v>
      </c>
      <c r="N15" s="150">
        <f>+SUMIF('Phase III Pro Forma'!$F$74:$Z$74,'Public Benefits'!N$3,'Phase III Pro Forma'!$F$82:$Z$82)</f>
        <v>391050</v>
      </c>
      <c r="O15" s="150">
        <f>+SUMIF('Phase III Pro Forma'!$F$74:$Z$74,'Public Benefits'!O$3,'Phase III Pro Forma'!$F$82:$Z$82)</f>
        <v>782100</v>
      </c>
      <c r="P15" s="150">
        <f>+SUMIF('Phase III Pro Forma'!$F$74:$Z$74,'Public Benefits'!P$3,'Phase III Pro Forma'!$F$82:$Z$82)</f>
        <v>782100</v>
      </c>
      <c r="Q15" s="150">
        <f>+SUMIF('Phase III Pro Forma'!$F$74:$Z$74,'Public Benefits'!Q$3,'Phase III Pro Forma'!$F$82:$Z$82)</f>
        <v>821205</v>
      </c>
      <c r="R15" s="150">
        <f>+SUMIF('Phase III Pro Forma'!$F$74:$Z$74,'Public Benefits'!R$3,'Phase III Pro Forma'!$F$82:$Z$82)</f>
        <v>821205</v>
      </c>
      <c r="S15" s="150">
        <f>+SUMIF('Phase III Pro Forma'!$F$74:$Z$74,'Public Benefits'!S$3,'Phase III Pro Forma'!$F$82:$Z$82)</f>
        <v>821205</v>
      </c>
      <c r="T15" s="150">
        <f>+SUMIF('Phase III Pro Forma'!$F$74:$Z$74,'Public Benefits'!T$3,'Phase III Pro Forma'!$F$82:$Z$82)</f>
        <v>821205</v>
      </c>
      <c r="U15" s="150">
        <f>+SUMIF('Phase III Pro Forma'!$F$74:$Z$74,'Public Benefits'!U$3,'Phase III Pro Forma'!$F$82:$Z$82)</f>
        <v>821205</v>
      </c>
      <c r="V15" s="150">
        <f>+SUMIF('Phase III Pro Forma'!$F$74:$Z$74,'Public Benefits'!V$3,'Phase III Pro Forma'!$F$82:$Z$82)</f>
        <v>862265.25</v>
      </c>
      <c r="W15" s="150">
        <f>+SUMIF('Phase III Pro Forma'!$F$74:$Z$74,'Public Benefits'!W$3,'Phase III Pro Forma'!$F$82:$Z$82)</f>
        <v>862265.25</v>
      </c>
      <c r="X15" s="150">
        <f>+SUMIF('Phase III Pro Forma'!$F$74:$Z$74,'Public Benefits'!X$3,'Phase III Pro Forma'!$F$82:$Z$82)</f>
        <v>862265.25</v>
      </c>
      <c r="Y15" s="150">
        <f>+SUMIF('Phase III Pro Forma'!$F$74:$Z$74,'Public Benefits'!Y$3,'Phase III Pro Forma'!$F$82:$Z$82)</f>
        <v>862265.25</v>
      </c>
      <c r="Z15" s="150">
        <f>+SUMIF('Phase III Pro Forma'!$F$74:$Z$74,'Public Benefits'!Z$3,'Phase III Pro Forma'!$F$82:$Z$82)</f>
        <v>862265.25</v>
      </c>
      <c r="AA15" s="150">
        <f>+SUMIF('Phase III Pro Forma'!$F$74:$Z$74,'Public Benefits'!AA$3,'Phase III Pro Forma'!$F$82:$Z$82)</f>
        <v>905378.51250000007</v>
      </c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</row>
    <row r="16" spans="2:47" ht="16" customHeight="1" x14ac:dyDescent="0.2">
      <c r="B16" s="32" t="s">
        <v>631</v>
      </c>
      <c r="G16" s="150">
        <f>+G15*('Assumptions and Sensis'!$H$191/'Assumptions and Sensis'!$H$177)</f>
        <v>0</v>
      </c>
      <c r="H16" s="150">
        <f>+H15*('Assumptions and Sensis'!$H$191/'Assumptions and Sensis'!$H$177)</f>
        <v>0</v>
      </c>
      <c r="I16" s="150">
        <f>+I15*('Assumptions and Sensis'!$H$191/'Assumptions and Sensis'!$H$177)</f>
        <v>0</v>
      </c>
      <c r="J16" s="150">
        <f>+J15*('Assumptions and Sensis'!$H$191/'Assumptions and Sensis'!$H$177)</f>
        <v>0</v>
      </c>
      <c r="K16" s="150">
        <f>+K15*('Assumptions and Sensis'!$H$191/'Assumptions and Sensis'!$H$177)</f>
        <v>0</v>
      </c>
      <c r="L16" s="150">
        <f>+L15*('Assumptions and Sensis'!$H$191/'Assumptions and Sensis'!$H$177)</f>
        <v>0</v>
      </c>
      <c r="M16" s="150">
        <f>+M15*('Assumptions and Sensis'!$H$191/'Assumptions and Sensis'!$H$177)</f>
        <v>0</v>
      </c>
      <c r="N16" s="150">
        <f>+N15*('Assumptions and Sensis'!$H$191/'Assumptions and Sensis'!$H$177)</f>
        <v>1015884.2308032002</v>
      </c>
      <c r="O16" s="150">
        <f>+O15*('Assumptions and Sensis'!$H$191/'Assumptions and Sensis'!$H$177)</f>
        <v>2031768.4616064003</v>
      </c>
      <c r="P16" s="150">
        <f>+P15*('Assumptions and Sensis'!$H$191/'Assumptions and Sensis'!$H$177)</f>
        <v>2031768.4616064003</v>
      </c>
      <c r="Q16" s="150">
        <f>+Q15*('Assumptions and Sensis'!$H$191/'Assumptions and Sensis'!$H$177)</f>
        <v>2133356.8846867201</v>
      </c>
      <c r="R16" s="150">
        <f>+R15*('Assumptions and Sensis'!$H$191/'Assumptions and Sensis'!$H$177)</f>
        <v>2133356.8846867201</v>
      </c>
      <c r="S16" s="150">
        <f>+S15*('Assumptions and Sensis'!$H$191/'Assumptions and Sensis'!$H$177)</f>
        <v>2133356.8846867201</v>
      </c>
      <c r="T16" s="150">
        <f>+T15*('Assumptions and Sensis'!$H$191/'Assumptions and Sensis'!$H$177)</f>
        <v>2133356.8846867201</v>
      </c>
      <c r="U16" s="150">
        <f>+U15*('Assumptions and Sensis'!$H$191/'Assumptions and Sensis'!$H$177)</f>
        <v>2133356.8846867201</v>
      </c>
      <c r="V16" s="150">
        <f>+V15*('Assumptions and Sensis'!$H$191/'Assumptions and Sensis'!$H$177)</f>
        <v>2240024.7289210563</v>
      </c>
      <c r="W16" s="150">
        <f>+W15*('Assumptions and Sensis'!$H$191/'Assumptions and Sensis'!$H$177)</f>
        <v>2240024.7289210563</v>
      </c>
      <c r="X16" s="150">
        <f>+X15*('Assumptions and Sensis'!$H$191/'Assumptions and Sensis'!$H$177)</f>
        <v>2240024.7289210563</v>
      </c>
      <c r="Y16" s="150">
        <f>+Y15*('Assumptions and Sensis'!$H$191/'Assumptions and Sensis'!$H$177)</f>
        <v>2240024.7289210563</v>
      </c>
      <c r="Z16" s="150">
        <f>+Z15*('Assumptions and Sensis'!$H$191/'Assumptions and Sensis'!$H$177)</f>
        <v>2240024.7289210563</v>
      </c>
      <c r="AA16" s="150">
        <f>+AA15*('Assumptions and Sensis'!$H$191/'Assumptions and Sensis'!$H$177)</f>
        <v>2352025.965367109</v>
      </c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</row>
    <row r="17" spans="2:47" ht="16" customHeight="1" x14ac:dyDescent="0.2">
      <c r="AB17" s="204"/>
    </row>
    <row r="18" spans="2:47" ht="16" customHeight="1" x14ac:dyDescent="0.2">
      <c r="B18" s="147" t="s">
        <v>635</v>
      </c>
      <c r="AB18" s="204"/>
    </row>
    <row r="19" spans="2:47" ht="16" customHeight="1" x14ac:dyDescent="0.2">
      <c r="B19" s="32" t="s">
        <v>632</v>
      </c>
      <c r="G19" s="150">
        <f>+SUMIF('Phase I Pro Forma'!$F$74:$Z$74,'Public Benefits'!G$3,'Phase I Pro Forma'!$F$82:$Z$82)</f>
        <v>0</v>
      </c>
      <c r="H19" s="150">
        <f>+SUMIF('Phase I Pro Forma'!$F$74:$Z$74,'Public Benefits'!H$3,'Phase I Pro Forma'!$F$82:$Z$82)</f>
        <v>0</v>
      </c>
      <c r="I19" s="150">
        <f>+SUMIF('Phase I Pro Forma'!$F$74:$Z$74,'Public Benefits'!I$3,'Phase I Pro Forma'!$F$82:$Z$82)</f>
        <v>0</v>
      </c>
      <c r="J19" s="150">
        <f>+SUMIF('Phase I Pro Forma'!$F$74:$Z$74,'Public Benefits'!J$3,'Phase I Pro Forma'!$F$82:$Z$82)</f>
        <v>95625</v>
      </c>
      <c r="K19" s="150">
        <f>+SUMIF('Phase I Pro Forma'!$F$74:$Z$74,'Public Benefits'!K$3,'Phase I Pro Forma'!$F$82:$Z$82)</f>
        <v>191250</v>
      </c>
      <c r="L19" s="150">
        <f>+SUMIF('Phase I Pro Forma'!$F$74:$Z$74,'Public Benefits'!L$3,'Phase I Pro Forma'!$F$82:$Z$82)</f>
        <v>191250</v>
      </c>
      <c r="M19" s="150">
        <f>+SUMIF('Phase I Pro Forma'!$F$74:$Z$74,'Public Benefits'!M$3,'Phase I Pro Forma'!$F$82:$Z$82)</f>
        <v>200812.5</v>
      </c>
      <c r="N19" s="150">
        <f>+SUMIF('Phase I Pro Forma'!$F$74:$Z$74,'Public Benefits'!N$3,'Phase I Pro Forma'!$F$82:$Z$82)</f>
        <v>200812.5</v>
      </c>
      <c r="O19" s="150">
        <f>+SUMIF('Phase I Pro Forma'!$F$74:$Z$74,'Public Benefits'!O$3,'Phase I Pro Forma'!$F$82:$Z$82)</f>
        <v>200812.5</v>
      </c>
      <c r="P19" s="150">
        <f>+SUMIF('Phase I Pro Forma'!$F$74:$Z$74,'Public Benefits'!P$3,'Phase I Pro Forma'!$F$82:$Z$82)</f>
        <v>200812.5</v>
      </c>
      <c r="Q19" s="150">
        <f>+SUMIF('Phase I Pro Forma'!$F$74:$Z$74,'Public Benefits'!Q$3,'Phase I Pro Forma'!$F$82:$Z$82)</f>
        <v>200812.5</v>
      </c>
      <c r="R19" s="150">
        <f>+SUMIF('Phase I Pro Forma'!$F$74:$Z$74,'Public Benefits'!R$3,'Phase I Pro Forma'!$F$82:$Z$82)</f>
        <v>210853.125</v>
      </c>
      <c r="S19" s="150">
        <f>+SUMIF('Phase I Pro Forma'!$F$74:$Z$74,'Public Benefits'!S$3,'Phase I Pro Forma'!$F$82:$Z$82)</f>
        <v>210853.125</v>
      </c>
      <c r="T19" s="150">
        <f>+SUMIF('Phase I Pro Forma'!$F$74:$Z$74,'Public Benefits'!T$3,'Phase I Pro Forma'!$F$82:$Z$82)</f>
        <v>210853.125</v>
      </c>
      <c r="U19" s="150">
        <f>+SUMIF('Phase I Pro Forma'!$F$74:$Z$74,'Public Benefits'!U$3,'Phase I Pro Forma'!$F$82:$Z$82)</f>
        <v>210853.125</v>
      </c>
      <c r="V19" s="150">
        <f>+SUMIF('Phase I Pro Forma'!$F$74:$Z$74,'Public Benefits'!V$3,'Phase I Pro Forma'!$F$82:$Z$82)</f>
        <v>210853.125</v>
      </c>
      <c r="W19" s="150">
        <f>+SUMIF('Phase I Pro Forma'!$F$74:$Z$74,'Public Benefits'!W$3,'Phase I Pro Forma'!$F$82:$Z$82)</f>
        <v>221395.78125000003</v>
      </c>
      <c r="X19" s="150">
        <f>+SUMIF('Phase I Pro Forma'!$F$74:$Z$74,'Public Benefits'!X$3,'Phase I Pro Forma'!$F$82:$Z$82)</f>
        <v>221395.78125000003</v>
      </c>
      <c r="Y19" s="150">
        <f>+SUMIF('Phase I Pro Forma'!$F$74:$Z$74,'Public Benefits'!Y$3,'Phase I Pro Forma'!$F$82:$Z$82)</f>
        <v>221395.78125000003</v>
      </c>
      <c r="Z19" s="150">
        <f>+SUMIF('Phase I Pro Forma'!$F$74:$Z$74,'Public Benefits'!Z$3,'Phase I Pro Forma'!$F$82:$Z$82)</f>
        <v>221395.78125000003</v>
      </c>
      <c r="AA19" s="150">
        <f>+SUMIF('Phase I Pro Forma'!$F$74:$Z$74,'Public Benefits'!AA$3,'Phase I Pro Forma'!$F$82:$Z$82)</f>
        <v>221395.78125000003</v>
      </c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</row>
    <row r="20" spans="2:47" ht="16" customHeight="1" x14ac:dyDescent="0.2">
      <c r="B20" s="32" t="s">
        <v>631</v>
      </c>
      <c r="G20" s="150">
        <f>+G19*('Assumptions and Sensis'!$F$191/'Assumptions and Sensis'!$F$181)</f>
        <v>0</v>
      </c>
      <c r="H20" s="150">
        <f>+H19*('Assumptions and Sensis'!$F$191/'Assumptions and Sensis'!$F$181)</f>
        <v>0</v>
      </c>
      <c r="I20" s="150">
        <f>+I19*('Assumptions and Sensis'!$F$191/'Assumptions and Sensis'!$F$181)</f>
        <v>0</v>
      </c>
      <c r="J20" s="150">
        <f>+J19*('Assumptions and Sensis'!$F$191/'Assumptions and Sensis'!$F$181)</f>
        <v>229500</v>
      </c>
      <c r="K20" s="150">
        <f>+K19*('Assumptions and Sensis'!$F$191/'Assumptions and Sensis'!$F$181)</f>
        <v>459000</v>
      </c>
      <c r="L20" s="150">
        <f>+L19*('Assumptions and Sensis'!$F$191/'Assumptions and Sensis'!$F$181)</f>
        <v>459000</v>
      </c>
      <c r="M20" s="150">
        <f>+M19*('Assumptions and Sensis'!$F$191/'Assumptions and Sensis'!$F$181)</f>
        <v>481950</v>
      </c>
      <c r="N20" s="150">
        <f>+N19*('Assumptions and Sensis'!$F$191/'Assumptions and Sensis'!$F$181)</f>
        <v>481950</v>
      </c>
      <c r="O20" s="150">
        <f>+O19*('Assumptions and Sensis'!$F$191/'Assumptions and Sensis'!$F$181)</f>
        <v>481950</v>
      </c>
      <c r="P20" s="150">
        <f>+P19*('Assumptions and Sensis'!$F$191/'Assumptions and Sensis'!$F$181)</f>
        <v>481950</v>
      </c>
      <c r="Q20" s="150">
        <f>+Q19*('Assumptions and Sensis'!$F$191/'Assumptions and Sensis'!$F$181)</f>
        <v>481950</v>
      </c>
      <c r="R20" s="150">
        <f>+R19*('Assumptions and Sensis'!$F$191/'Assumptions and Sensis'!$F$181)</f>
        <v>506047.5</v>
      </c>
      <c r="S20" s="150">
        <f>+S19*('Assumptions and Sensis'!$F$191/'Assumptions and Sensis'!$F$181)</f>
        <v>506047.5</v>
      </c>
      <c r="T20" s="150">
        <f>+T19*('Assumptions and Sensis'!$F$191/'Assumptions and Sensis'!$F$181)</f>
        <v>506047.5</v>
      </c>
      <c r="U20" s="150">
        <f>+U19*('Assumptions and Sensis'!$F$191/'Assumptions and Sensis'!$F$181)</f>
        <v>506047.5</v>
      </c>
      <c r="V20" s="150">
        <f>+V19*('Assumptions and Sensis'!$F$191/'Assumptions and Sensis'!$F$181)</f>
        <v>506047.5</v>
      </c>
      <c r="W20" s="150">
        <f>+W19*('Assumptions and Sensis'!$F$191/'Assumptions and Sensis'!$F$181)</f>
        <v>531349.875</v>
      </c>
      <c r="X20" s="150">
        <f>+X19*('Assumptions and Sensis'!$F$191/'Assumptions and Sensis'!$F$181)</f>
        <v>531349.875</v>
      </c>
      <c r="Y20" s="150">
        <f>+Y19*('Assumptions and Sensis'!$F$191/'Assumptions and Sensis'!$F$181)</f>
        <v>531349.875</v>
      </c>
      <c r="Z20" s="150">
        <f>+Z19*('Assumptions and Sensis'!$F$191/'Assumptions and Sensis'!$F$181)</f>
        <v>531349.875</v>
      </c>
      <c r="AA20" s="150">
        <f>+AA19*('Assumptions and Sensis'!$F$191/'Assumptions and Sensis'!$F$181)</f>
        <v>531349.875</v>
      </c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</row>
    <row r="21" spans="2:47" ht="16" customHeight="1" x14ac:dyDescent="0.2">
      <c r="AB21" s="204"/>
    </row>
    <row r="22" spans="2:47" ht="16" customHeight="1" x14ac:dyDescent="0.2">
      <c r="B22" s="147" t="s">
        <v>673</v>
      </c>
      <c r="AB22" s="204"/>
    </row>
    <row r="23" spans="2:47" ht="16" customHeight="1" x14ac:dyDescent="0.2">
      <c r="B23" s="32" t="s">
        <v>674</v>
      </c>
      <c r="G23" s="150">
        <f ca="1">+SUMIF('Phase I Pro Forma'!$F$74:$Z$74,'Public Benefits'!G$3,'Phase I Pro Forma'!$F$26:$Z$26)+SUMIF('Phase II Pro Forma'!$F$74:$Z$74,'Public Benefits'!G$3,'Phase II Pro Forma'!$F$26:$Z$26)+SUMIF('Phase III Pro Forma'!$F$74:$Z$74,'Public Benefits'!G$3,'Phase III Pro Forma'!$F$26:$Z$26)</f>
        <v>0</v>
      </c>
      <c r="H23" s="150">
        <f ca="1">+SUMIF('Phase I Pro Forma'!$F$74:$Z$74,'Public Benefits'!H$3,'Phase I Pro Forma'!$F$26:$Z$26)+SUMIF('Phase II Pro Forma'!$F$74:$Z$74,'Public Benefits'!H$3,'Phase II Pro Forma'!$F$26:$Z$26)+SUMIF('Phase III Pro Forma'!$F$74:$Z$74,'Public Benefits'!H$3,'Phase III Pro Forma'!$F$26:$Z$26)</f>
        <v>0</v>
      </c>
      <c r="I23" s="150">
        <f ca="1">+SUMIF('Phase I Pro Forma'!$F$74:$Z$74,'Public Benefits'!I$3,'Phase I Pro Forma'!$F$26:$Z$26)+SUMIF('Phase II Pro Forma'!$F$74:$Z$74,'Public Benefits'!I$3,'Phase II Pro Forma'!$F$26:$Z$26)+SUMIF('Phase III Pro Forma'!$F$74:$Z$74,'Public Benefits'!I$3,'Phase III Pro Forma'!$F$26:$Z$26)</f>
        <v>0</v>
      </c>
      <c r="J23" s="150">
        <f ca="1">+SUMIF('Phase I Pro Forma'!$F$74:$Z$74,'Public Benefits'!J$3,'Phase I Pro Forma'!$F$26:$Z$26)+SUMIF('Phase II Pro Forma'!$F$74:$Z$74,'Public Benefits'!J$3,'Phase II Pro Forma'!$F$26:$Z$26)+SUMIF('Phase III Pro Forma'!$F$74:$Z$74,'Public Benefits'!J$3,'Phase III Pro Forma'!$F$26:$Z$26)</f>
        <v>213092.90858120978</v>
      </c>
      <c r="K23" s="150">
        <f ca="1">+SUMIF('Phase I Pro Forma'!$F$74:$Z$74,'Public Benefits'!K$3,'Phase I Pro Forma'!$F$26:$Z$26)+SUMIF('Phase II Pro Forma'!$F$74:$Z$74,'Public Benefits'!K$3,'Phase II Pro Forma'!$F$26:$Z$26)+SUMIF('Phase III Pro Forma'!$F$74:$Z$74,'Public Benefits'!K$3,'Phase III Pro Forma'!$F$26:$Z$26)</f>
        <v>425054.96217634692</v>
      </c>
      <c r="L23" s="150">
        <f ca="1">+SUMIF('Phase I Pro Forma'!$F$74:$Z$74,'Public Benefits'!L$3,'Phase I Pro Forma'!$F$26:$Z$26)+SUMIF('Phase II Pro Forma'!$F$74:$Z$74,'Public Benefits'!L$3,'Phase II Pro Forma'!$F$26:$Z$26)+SUMIF('Phase III Pro Forma'!$F$74:$Z$74,'Public Benefits'!L$3,'Phase III Pro Forma'!$F$26:$Z$26)</f>
        <v>537588.21099721477</v>
      </c>
      <c r="M23" s="150">
        <f ca="1">+SUMIF('Phase I Pro Forma'!$F$74:$Z$74,'Public Benefits'!M$3,'Phase I Pro Forma'!$F$26:$Z$26)+SUMIF('Phase II Pro Forma'!$F$74:$Z$74,'Public Benefits'!M$3,'Phase II Pro Forma'!$F$26:$Z$26)+SUMIF('Phase III Pro Forma'!$F$74:$Z$74,'Public Benefits'!M$3,'Phase III Pro Forma'!$F$26:$Z$26)</f>
        <v>647385.97384071629</v>
      </c>
      <c r="N23" s="150">
        <f ca="1">+SUMIF('Phase I Pro Forma'!$F$74:$Z$74,'Public Benefits'!N$3,'Phase I Pro Forma'!$F$26:$Z$26)+SUMIF('Phase II Pro Forma'!$F$74:$Z$74,'Public Benefits'!N$3,'Phase II Pro Forma'!$F$26:$Z$26)+SUMIF('Phase III Pro Forma'!$F$74:$Z$74,'Public Benefits'!N$3,'Phase III Pro Forma'!$F$26:$Z$26)</f>
        <v>791728.48430505954</v>
      </c>
      <c r="O23" s="150">
        <f ca="1">+SUMIF('Phase I Pro Forma'!$F$74:$Z$74,'Public Benefits'!O$3,'Phase I Pro Forma'!$F$26:$Z$26)+SUMIF('Phase II Pro Forma'!$F$74:$Z$74,'Public Benefits'!O$3,'Phase II Pro Forma'!$F$26:$Z$26)+SUMIF('Phase III Pro Forma'!$F$74:$Z$74,'Public Benefits'!O$3,'Phase III Pro Forma'!$F$26:$Z$26)</f>
        <v>932664.06328260386</v>
      </c>
      <c r="P23" s="150">
        <f ca="1">+SUMIF('Phase I Pro Forma'!$F$74:$Z$74,'Public Benefits'!P$3,'Phase I Pro Forma'!$F$26:$Z$26)+SUMIF('Phase II Pro Forma'!$F$74:$Z$74,'Public Benefits'!P$3,'Phase II Pro Forma'!$F$26:$Z$26)+SUMIF('Phase III Pro Forma'!$F$74:$Z$74,'Public Benefits'!P$3,'Phase III Pro Forma'!$F$26:$Z$26)</f>
        <v>925401.51676071191</v>
      </c>
      <c r="Q23" s="150">
        <f ca="1">+SUMIF('Phase I Pro Forma'!$F$74:$Z$74,'Public Benefits'!Q$3,'Phase I Pro Forma'!$F$26:$Z$26)+SUMIF('Phase II Pro Forma'!$F$74:$Z$74,'Public Benefits'!Q$3,'Phase II Pro Forma'!$F$26:$Z$26)+SUMIF('Phase III Pro Forma'!$F$74:$Z$74,'Public Benefits'!Q$3,'Phase III Pro Forma'!$F$26:$Z$26)</f>
        <v>918835.41109415982</v>
      </c>
      <c r="R23" s="150">
        <f ca="1">+SUMIF('Phase I Pro Forma'!$F$74:$Z$74,'Public Benefits'!R$3,'Phase I Pro Forma'!$F$26:$Z$26)+SUMIF('Phase II Pro Forma'!$F$74:$Z$74,'Public Benefits'!R$3,'Phase II Pro Forma'!$F$26:$Z$26)+SUMIF('Phase III Pro Forma'!$F$74:$Z$74,'Public Benefits'!R$3,'Phase III Pro Forma'!$F$26:$Z$26)</f>
        <v>909459.30251073837</v>
      </c>
      <c r="S23" s="150">
        <f ca="1">+SUMIF('Phase I Pro Forma'!$F$74:$Z$74,'Public Benefits'!S$3,'Phase I Pro Forma'!$F$26:$Z$26)+SUMIF('Phase II Pro Forma'!$F$74:$Z$74,'Public Benefits'!S$3,'Phase II Pro Forma'!$F$26:$Z$26)+SUMIF('Phase III Pro Forma'!$F$74:$Z$74,'Public Benefits'!S$3,'Phase III Pro Forma'!$F$26:$Z$26)</f>
        <v>899236.97695070959</v>
      </c>
      <c r="T23" s="150">
        <f ca="1">+SUMIF('Phase I Pro Forma'!$F$74:$Z$74,'Public Benefits'!T$3,'Phase I Pro Forma'!$F$26:$Z$26)+SUMIF('Phase II Pro Forma'!$F$74:$Z$74,'Public Benefits'!T$3,'Phase II Pro Forma'!$F$26:$Z$26)+SUMIF('Phase III Pro Forma'!$F$74:$Z$74,'Public Benefits'!T$3,'Phase III Pro Forma'!$F$26:$Z$26)</f>
        <v>889609.14514157956</v>
      </c>
      <c r="U23" s="150">
        <f ca="1">+SUMIF('Phase I Pro Forma'!$F$74:$Z$74,'Public Benefits'!U$3,'Phase I Pro Forma'!$F$26:$Z$26)+SUMIF('Phase II Pro Forma'!$F$74:$Z$74,'Public Benefits'!U$3,'Phase II Pro Forma'!$F$26:$Z$26)+SUMIF('Phase III Pro Forma'!$F$74:$Z$74,'Public Benefits'!U$3,'Phase III Pro Forma'!$F$26:$Z$26)</f>
        <v>876995.12935648474</v>
      </c>
      <c r="V23" s="150">
        <f ca="1">+SUMIF('Phase I Pro Forma'!$F$74:$Z$74,'Public Benefits'!V$3,'Phase I Pro Forma'!$F$26:$Z$26)+SUMIF('Phase II Pro Forma'!$F$74:$Z$74,'Public Benefits'!V$3,'Phase II Pro Forma'!$F$26:$Z$26)+SUMIF('Phase III Pro Forma'!$F$74:$Z$74,'Public Benefits'!V$3,'Phase III Pro Forma'!$F$26:$Z$26)</f>
        <v>863393.75044687011</v>
      </c>
      <c r="W23" s="150">
        <f ca="1">+SUMIF('Phase I Pro Forma'!$F$74:$Z$74,'Public Benefits'!W$3,'Phase I Pro Forma'!$F$26:$Z$26)+SUMIF('Phase II Pro Forma'!$F$74:$Z$74,'Public Benefits'!W$3,'Phase II Pro Forma'!$F$26:$Z$26)+SUMIF('Phase III Pro Forma'!$F$74:$Z$74,'Public Benefits'!W$3,'Phase III Pro Forma'!$F$26:$Z$26)</f>
        <v>850270.15249539248</v>
      </c>
      <c r="X23" s="150">
        <f ca="1">+SUMIF('Phase I Pro Forma'!$F$74:$Z$74,'Public Benefits'!X$3,'Phase I Pro Forma'!$F$26:$Z$26)+SUMIF('Phase II Pro Forma'!$F$74:$Z$74,'Public Benefits'!X$3,'Phase II Pro Forma'!$F$26:$Z$26)+SUMIF('Phase III Pro Forma'!$F$74:$Z$74,'Public Benefits'!X$3,'Phase III Pro Forma'!$F$26:$Z$26)</f>
        <v>833967.51885136357</v>
      </c>
      <c r="Y23" s="150">
        <f ca="1">+SUMIF('Phase I Pro Forma'!$F$74:$Z$74,'Public Benefits'!Y$3,'Phase I Pro Forma'!$F$26:$Z$26)+SUMIF('Phase II Pro Forma'!$F$74:$Z$74,'Public Benefits'!Y$3,'Phase II Pro Forma'!$F$26:$Z$26)+SUMIF('Phase III Pro Forma'!$F$74:$Z$74,'Public Benefits'!Y$3,'Phase III Pro Forma'!$F$26:$Z$26)</f>
        <v>816519.97230710904</v>
      </c>
      <c r="Z23" s="150">
        <f ca="1">+SUMIF('Phase I Pro Forma'!$F$74:$Z$74,'Public Benefits'!Z$3,'Phase I Pro Forma'!$F$26:$Z$26)+SUMIF('Phase II Pro Forma'!$F$74:$Z$74,'Public Benefits'!Z$3,'Phase II Pro Forma'!$F$26:$Z$26)+SUMIF('Phase III Pro Forma'!$F$74:$Z$74,'Public Benefits'!Z$3,'Phase III Pro Forma'!$F$26:$Z$26)</f>
        <v>799417.13150380319</v>
      </c>
      <c r="AA23" s="150">
        <f ca="1">+SUMIF('Phase I Pro Forma'!$F$74:$Z$74,'Public Benefits'!AA$3,'Phase I Pro Forma'!$F$26:$Z$26)+SUMIF('Phase II Pro Forma'!$F$74:$Z$74,'Public Benefits'!AA$3,'Phase II Pro Forma'!$F$26:$Z$26)+SUMIF('Phase III Pro Forma'!$F$74:$Z$74,'Public Benefits'!AA$3,'Phase III Pro Forma'!$F$26:$Z$26)</f>
        <v>778924.05639995984</v>
      </c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</row>
    <row r="24" spans="2:47" ht="16" customHeight="1" x14ac:dyDescent="0.2">
      <c r="B24" s="32" t="s">
        <v>631</v>
      </c>
      <c r="G24" s="150">
        <f ca="1">+G23*AVERAGE('Assumptions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0</v>
      </c>
      <c r="H24" s="150">
        <f ca="1">+H23*AVERAGE('Assumptions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0</v>
      </c>
      <c r="I24" s="150">
        <f ca="1">+I23*AVERAGE('Assumptions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0</v>
      </c>
      <c r="J24" s="150">
        <f ca="1">+J23*AVERAGE('Assumptions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568335.41982718662</v>
      </c>
      <c r="K24" s="150">
        <f ca="1">+K23*AVERAGE('Assumptions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1133654.761139361</v>
      </c>
      <c r="L24" s="150">
        <f ca="1">+L23*AVERAGE('Assumptions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1433789.7193552572</v>
      </c>
      <c r="M24" s="150">
        <f ca="1">+M23*AVERAGE('Assumptions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1726628.9229553428</v>
      </c>
      <c r="N24" s="150">
        <f ca="1">+N23*AVERAGE('Assumptions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2111601.66479766</v>
      </c>
      <c r="O24" s="150">
        <f ca="1">+O23*AVERAGE('Assumptions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2487487.8544418579</v>
      </c>
      <c r="P24" s="150">
        <f ca="1">+P23*AVERAGE('Assumptions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2468118.0760010094</v>
      </c>
      <c r="Q24" s="150">
        <f ca="1">+Q23*AVERAGE('Assumptions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2450605.759680979</v>
      </c>
      <c r="R24" s="150">
        <f ca="1">+R23*AVERAGE('Assumptions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2425598.9462511772</v>
      </c>
      <c r="S24" s="150">
        <f ca="1">+S23*AVERAGE('Assumptions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2398335.2060945919</v>
      </c>
      <c r="T24" s="150">
        <f ca="1">+T23*AVERAGE('Assumptions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2372657.0271739536</v>
      </c>
      <c r="U24" s="150">
        <f ca="1">+U23*AVERAGE('Assumptions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2339014.4625073941</v>
      </c>
      <c r="V24" s="150">
        <f ca="1">+V23*AVERAGE('Assumptions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2302738.5233206213</v>
      </c>
      <c r="W24" s="150">
        <f ca="1">+W23*AVERAGE('Assumptions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2267736.8632416618</v>
      </c>
      <c r="X24" s="150">
        <f ca="1">+X23*AVERAGE('Assumptions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2224256.4668358993</v>
      </c>
      <c r="Y24" s="150">
        <f ca="1">+Y23*AVERAGE('Assumptions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2177722.4983608089</v>
      </c>
      <c r="Z24" s="150">
        <f ca="1">+Z23*AVERAGE('Assumptions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2132107.8870023084</v>
      </c>
      <c r="AA24" s="150">
        <f ca="1">+AA23*AVERAGE('Assumptions and Sensis'!$F$87,'Assumptions and Sensis'!$F$94,'Assumptions and Sensis'!$F$98,'Assumptions and Sensis'!$F$102,'Assumptions and Sensis'!$F$106)/AVERAGE('Assumptions and Sensis'!$F$57,'Assumptions and Sensis'!$F$61,'Assumptions and Sensis'!$F$65,'Assumptions and Sensis'!$F$69,'Assumptions and Sensis'!$F$73)</f>
        <v>2077451.2561447206</v>
      </c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</row>
    <row r="27" spans="2:47" ht="20" customHeight="1" x14ac:dyDescent="0.2">
      <c r="B27" s="147" t="s">
        <v>803</v>
      </c>
      <c r="F27" s="149"/>
      <c r="G27" s="149">
        <f>+G3</f>
        <v>44196</v>
      </c>
      <c r="H27" s="149">
        <f t="shared" ref="H27:P27" si="25">+H3</f>
        <v>44561</v>
      </c>
      <c r="I27" s="149">
        <f t="shared" si="25"/>
        <v>44926</v>
      </c>
      <c r="J27" s="149">
        <f t="shared" si="25"/>
        <v>45291</v>
      </c>
      <c r="K27" s="149">
        <f t="shared" si="25"/>
        <v>45657</v>
      </c>
      <c r="L27" s="149">
        <f t="shared" si="25"/>
        <v>46022</v>
      </c>
      <c r="M27" s="149">
        <f t="shared" si="25"/>
        <v>46387</v>
      </c>
      <c r="N27" s="149">
        <f t="shared" si="25"/>
        <v>46752</v>
      </c>
      <c r="O27" s="149">
        <f t="shared" si="25"/>
        <v>47118</v>
      </c>
      <c r="P27" s="149">
        <f t="shared" si="25"/>
        <v>47483</v>
      </c>
      <c r="Q27" s="149">
        <f t="shared" ref="Q27" si="26">+Q3</f>
        <v>47848</v>
      </c>
    </row>
    <row r="28" spans="2:47" ht="20" customHeight="1" x14ac:dyDescent="0.2">
      <c r="B28" s="32" t="s">
        <v>669</v>
      </c>
      <c r="D28" s="47"/>
      <c r="F28" s="47">
        <f>+SUM(G28:P28)</f>
        <v>21240000</v>
      </c>
      <c r="G28" s="150">
        <f>+G4</f>
        <v>8700000</v>
      </c>
      <c r="H28" s="150">
        <f t="shared" ref="H28:P28" si="27">+H4</f>
        <v>292500</v>
      </c>
      <c r="I28" s="150">
        <f t="shared" si="27"/>
        <v>8010000</v>
      </c>
      <c r="J28" s="150">
        <f t="shared" si="27"/>
        <v>337500</v>
      </c>
      <c r="K28" s="150">
        <f t="shared" si="27"/>
        <v>0</v>
      </c>
      <c r="L28" s="150">
        <f t="shared" si="27"/>
        <v>3900000</v>
      </c>
      <c r="M28" s="150">
        <f t="shared" si="27"/>
        <v>0</v>
      </c>
      <c r="N28" s="150">
        <f t="shared" si="27"/>
        <v>0</v>
      </c>
      <c r="O28" s="150">
        <f t="shared" si="27"/>
        <v>0</v>
      </c>
      <c r="P28" s="150">
        <f t="shared" si="27"/>
        <v>0</v>
      </c>
      <c r="Q28" s="150">
        <f t="shared" ref="Q28" si="28">+Q4</f>
        <v>0</v>
      </c>
    </row>
    <row r="29" spans="2:47" ht="20" customHeight="1" x14ac:dyDescent="0.2">
      <c r="B29" s="32" t="s">
        <v>523</v>
      </c>
      <c r="D29" s="24"/>
      <c r="F29" s="47">
        <f t="shared" ref="F29:F34" si="29">+SUM(G29:P29)</f>
        <v>4000000</v>
      </c>
      <c r="G29" s="150">
        <f t="shared" ref="G29:P30" si="30">+G5</f>
        <v>0</v>
      </c>
      <c r="H29" s="150">
        <f t="shared" si="30"/>
        <v>0</v>
      </c>
      <c r="I29" s="150">
        <f t="shared" si="30"/>
        <v>0</v>
      </c>
      <c r="J29" s="150">
        <f t="shared" si="30"/>
        <v>0</v>
      </c>
      <c r="K29" s="150">
        <f t="shared" si="30"/>
        <v>4000000</v>
      </c>
      <c r="L29" s="150">
        <f t="shared" si="30"/>
        <v>0</v>
      </c>
      <c r="M29" s="150">
        <f t="shared" si="30"/>
        <v>0</v>
      </c>
      <c r="N29" s="150">
        <f t="shared" si="30"/>
        <v>0</v>
      </c>
      <c r="O29" s="150">
        <f t="shared" si="30"/>
        <v>0</v>
      </c>
      <c r="P29" s="150">
        <f t="shared" si="30"/>
        <v>0</v>
      </c>
      <c r="Q29" s="150">
        <f t="shared" ref="Q29:Q30" si="31">+Q5</f>
        <v>0</v>
      </c>
    </row>
    <row r="30" spans="2:47" ht="20" customHeight="1" x14ac:dyDescent="0.2">
      <c r="B30" s="32" t="s">
        <v>907</v>
      </c>
      <c r="D30" s="24"/>
      <c r="F30" s="47">
        <f t="shared" ref="F30" si="32">+SUM(G30:P30)</f>
        <v>3000000</v>
      </c>
      <c r="G30" s="150">
        <f t="shared" si="30"/>
        <v>0</v>
      </c>
      <c r="H30" s="150">
        <f t="shared" si="30"/>
        <v>0</v>
      </c>
      <c r="I30" s="150">
        <f t="shared" si="30"/>
        <v>0</v>
      </c>
      <c r="J30" s="150">
        <f t="shared" si="30"/>
        <v>0</v>
      </c>
      <c r="K30" s="150">
        <f t="shared" si="30"/>
        <v>3000000</v>
      </c>
      <c r="L30" s="150">
        <f t="shared" si="30"/>
        <v>0</v>
      </c>
      <c r="M30" s="150">
        <f t="shared" si="30"/>
        <v>0</v>
      </c>
      <c r="N30" s="150">
        <f t="shared" si="30"/>
        <v>0</v>
      </c>
      <c r="O30" s="150">
        <f t="shared" si="30"/>
        <v>0</v>
      </c>
      <c r="P30" s="150">
        <f t="shared" si="30"/>
        <v>0</v>
      </c>
      <c r="Q30" s="150">
        <f t="shared" si="31"/>
        <v>0</v>
      </c>
    </row>
    <row r="31" spans="2:47" ht="20" customHeight="1" x14ac:dyDescent="0.2">
      <c r="B31" s="32" t="s">
        <v>629</v>
      </c>
      <c r="D31" s="24"/>
      <c r="F31" s="47">
        <f t="shared" si="29"/>
        <v>9900000</v>
      </c>
      <c r="G31" s="150">
        <f t="shared" ref="G31:P31" si="33">+G7</f>
        <v>0</v>
      </c>
      <c r="H31" s="150">
        <f t="shared" si="33"/>
        <v>9900000</v>
      </c>
      <c r="I31" s="150">
        <f t="shared" si="33"/>
        <v>0</v>
      </c>
      <c r="J31" s="150">
        <f t="shared" si="33"/>
        <v>0</v>
      </c>
      <c r="K31" s="150">
        <f t="shared" si="33"/>
        <v>0</v>
      </c>
      <c r="L31" s="150">
        <f t="shared" si="33"/>
        <v>0</v>
      </c>
      <c r="M31" s="150">
        <f t="shared" si="33"/>
        <v>0</v>
      </c>
      <c r="N31" s="150">
        <f t="shared" si="33"/>
        <v>0</v>
      </c>
      <c r="O31" s="150">
        <f t="shared" si="33"/>
        <v>0</v>
      </c>
      <c r="P31" s="150">
        <f t="shared" si="33"/>
        <v>0</v>
      </c>
      <c r="Q31" s="150">
        <f t="shared" ref="Q31" si="34">+Q7</f>
        <v>0</v>
      </c>
    </row>
    <row r="32" spans="2:47" ht="20" customHeight="1" x14ac:dyDescent="0.2">
      <c r="B32" s="32" t="s">
        <v>804</v>
      </c>
      <c r="D32" s="24"/>
      <c r="F32" s="47">
        <f t="shared" si="29"/>
        <v>3124171.1540160012</v>
      </c>
      <c r="G32" s="150">
        <f t="shared" ref="G32:P32" si="35">+G8</f>
        <v>0</v>
      </c>
      <c r="H32" s="150">
        <f t="shared" si="35"/>
        <v>0</v>
      </c>
      <c r="I32" s="150">
        <f t="shared" si="35"/>
        <v>0</v>
      </c>
      <c r="J32" s="150">
        <f t="shared" si="35"/>
        <v>0</v>
      </c>
      <c r="K32" s="150">
        <f t="shared" si="35"/>
        <v>0</v>
      </c>
      <c r="L32" s="150">
        <f t="shared" si="35"/>
        <v>0</v>
      </c>
      <c r="M32" s="150">
        <f t="shared" si="35"/>
        <v>0</v>
      </c>
      <c r="N32" s="150">
        <f t="shared" si="35"/>
        <v>624834.23080320016</v>
      </c>
      <c r="O32" s="150">
        <f t="shared" si="35"/>
        <v>1249668.4616064003</v>
      </c>
      <c r="P32" s="150">
        <f t="shared" si="35"/>
        <v>1249668.4616064003</v>
      </c>
      <c r="Q32" s="150">
        <f t="shared" ref="Q32" si="36">+Q8</f>
        <v>1312151.8846867201</v>
      </c>
    </row>
    <row r="33" spans="2:17" ht="20" customHeight="1" x14ac:dyDescent="0.2">
      <c r="B33" s="32" t="s">
        <v>805</v>
      </c>
      <c r="D33" s="24"/>
      <c r="F33" s="47">
        <f t="shared" si="29"/>
        <v>1793925</v>
      </c>
      <c r="G33" s="150">
        <f t="shared" ref="G33:P33" si="37">+G9</f>
        <v>0</v>
      </c>
      <c r="H33" s="150">
        <f t="shared" si="37"/>
        <v>0</v>
      </c>
      <c r="I33" s="150">
        <f t="shared" si="37"/>
        <v>0</v>
      </c>
      <c r="J33" s="150">
        <f t="shared" si="37"/>
        <v>133875</v>
      </c>
      <c r="K33" s="150">
        <f t="shared" si="37"/>
        <v>267750</v>
      </c>
      <c r="L33" s="150">
        <f t="shared" si="37"/>
        <v>267750</v>
      </c>
      <c r="M33" s="150">
        <f t="shared" si="37"/>
        <v>281137.5</v>
      </c>
      <c r="N33" s="150">
        <f t="shared" si="37"/>
        <v>281137.5</v>
      </c>
      <c r="O33" s="150">
        <f t="shared" si="37"/>
        <v>281137.5</v>
      </c>
      <c r="P33" s="150">
        <f t="shared" si="37"/>
        <v>281137.5</v>
      </c>
      <c r="Q33" s="150">
        <f t="shared" ref="Q33" si="38">+Q9</f>
        <v>281137.5</v>
      </c>
    </row>
    <row r="34" spans="2:17" ht="20" customHeight="1" x14ac:dyDescent="0.2">
      <c r="B34" s="32" t="s">
        <v>806</v>
      </c>
      <c r="D34" s="24"/>
      <c r="F34" s="47">
        <f t="shared" ca="1" si="29"/>
        <v>7456700.2985738115</v>
      </c>
      <c r="G34" s="150">
        <f t="shared" ref="G34:P34" ca="1" si="39">+G10</f>
        <v>0</v>
      </c>
      <c r="H34" s="150">
        <f t="shared" ca="1" si="39"/>
        <v>0</v>
      </c>
      <c r="I34" s="150">
        <f t="shared" ca="1" si="39"/>
        <v>0</v>
      </c>
      <c r="J34" s="150">
        <f t="shared" ca="1" si="39"/>
        <v>355242.51124597684</v>
      </c>
      <c r="K34" s="150">
        <f t="shared" ca="1" si="39"/>
        <v>708599.79896301404</v>
      </c>
      <c r="L34" s="150">
        <f t="shared" ca="1" si="39"/>
        <v>896201.50835804234</v>
      </c>
      <c r="M34" s="150">
        <f t="shared" ca="1" si="39"/>
        <v>1079242.9491146267</v>
      </c>
      <c r="N34" s="150">
        <f t="shared" ca="1" si="39"/>
        <v>1319873.1804926004</v>
      </c>
      <c r="O34" s="150">
        <f t="shared" ca="1" si="39"/>
        <v>1554823.7911592536</v>
      </c>
      <c r="P34" s="150">
        <f t="shared" ca="1" si="39"/>
        <v>1542716.5592402974</v>
      </c>
      <c r="Q34" s="150">
        <f t="shared" ref="Q34" ca="1" si="40">+Q10</f>
        <v>1531770.3485868191</v>
      </c>
    </row>
    <row r="35" spans="2:17" ht="20" customHeight="1" x14ac:dyDescent="0.2">
      <c r="B35" s="137" t="s">
        <v>17</v>
      </c>
      <c r="C35" s="137"/>
      <c r="D35" s="137"/>
      <c r="E35" s="137"/>
      <c r="F35" s="138"/>
      <c r="G35" s="138">
        <f ca="1">+SUM(G28:G34)</f>
        <v>8700000</v>
      </c>
      <c r="H35" s="138">
        <f t="shared" ref="H35:Q35" ca="1" si="41">+SUM(H28:H34)</f>
        <v>10192500</v>
      </c>
      <c r="I35" s="138">
        <f t="shared" ca="1" si="41"/>
        <v>8010000</v>
      </c>
      <c r="J35" s="138">
        <f t="shared" ca="1" si="41"/>
        <v>826617.5112459769</v>
      </c>
      <c r="K35" s="138">
        <f t="shared" ca="1" si="41"/>
        <v>7976349.798963014</v>
      </c>
      <c r="L35" s="138">
        <f t="shared" ca="1" si="41"/>
        <v>5063951.5083580427</v>
      </c>
      <c r="M35" s="138">
        <f t="shared" ca="1" si="41"/>
        <v>1360380.4491146267</v>
      </c>
      <c r="N35" s="138">
        <f t="shared" ca="1" si="41"/>
        <v>2225844.9112958005</v>
      </c>
      <c r="O35" s="138">
        <f t="shared" ca="1" si="41"/>
        <v>3085629.7527656537</v>
      </c>
      <c r="P35" s="138">
        <f t="shared" ca="1" si="41"/>
        <v>3073522.5208466975</v>
      </c>
      <c r="Q35" s="138">
        <f t="shared" ca="1" si="41"/>
        <v>3125059.7332735392</v>
      </c>
    </row>
    <row r="36" spans="2:17" ht="20" customHeight="1" x14ac:dyDescent="0.2">
      <c r="B36" s="140" t="str">
        <f>+CONCATENATE("NPV at ",TEXT(E12,"00%")," Discount Rate")</f>
        <v>NPV at 10% Discount Rate</v>
      </c>
      <c r="C36" s="190"/>
      <c r="D36" s="190"/>
      <c r="E36" s="190"/>
      <c r="F36" s="141">
        <f ca="1">+NPV($E$12,G35:Q35)</f>
        <v>36051783.279666319</v>
      </c>
      <c r="G36" s="215"/>
      <c r="H36" s="215"/>
      <c r="I36" s="215"/>
      <c r="J36" s="215"/>
      <c r="K36" s="215"/>
      <c r="L36" s="215"/>
      <c r="M36" s="215"/>
      <c r="N36" s="215"/>
      <c r="O36" s="215"/>
      <c r="P36" s="215"/>
      <c r="Q36" s="215"/>
    </row>
    <row r="37" spans="2:17" ht="20" customHeight="1" x14ac:dyDescent="0.2"/>
    <row r="38" spans="2:17" ht="20" customHeight="1" x14ac:dyDescent="0.2">
      <c r="B38" s="147" t="s">
        <v>807</v>
      </c>
      <c r="F38" s="149"/>
      <c r="G38" s="149">
        <f>+R3</f>
        <v>48213</v>
      </c>
      <c r="H38" s="149">
        <v>48579</v>
      </c>
      <c r="I38" s="149">
        <v>48944</v>
      </c>
      <c r="J38" s="149">
        <v>49309</v>
      </c>
      <c r="K38" s="149">
        <v>49674</v>
      </c>
      <c r="L38" s="149">
        <v>50040</v>
      </c>
      <c r="M38" s="149">
        <v>50405</v>
      </c>
      <c r="N38" s="149">
        <v>50770</v>
      </c>
      <c r="O38" s="149">
        <v>51135</v>
      </c>
      <c r="P38" s="149">
        <v>51501</v>
      </c>
    </row>
    <row r="39" spans="2:17" ht="20" customHeight="1" x14ac:dyDescent="0.2">
      <c r="B39" s="32" t="s">
        <v>669</v>
      </c>
      <c r="D39" s="47"/>
      <c r="F39" s="47">
        <f>+SUM(G39:P39)</f>
        <v>0</v>
      </c>
      <c r="G39" s="150">
        <f>+R4</f>
        <v>0</v>
      </c>
      <c r="H39" s="150">
        <f t="shared" ref="H39:P39" si="42">+S4</f>
        <v>0</v>
      </c>
      <c r="I39" s="150">
        <f t="shared" si="42"/>
        <v>0</v>
      </c>
      <c r="J39" s="150">
        <f t="shared" si="42"/>
        <v>0</v>
      </c>
      <c r="K39" s="150">
        <f t="shared" si="42"/>
        <v>0</v>
      </c>
      <c r="L39" s="150">
        <f t="shared" si="42"/>
        <v>0</v>
      </c>
      <c r="M39" s="150">
        <f t="shared" si="42"/>
        <v>0</v>
      </c>
      <c r="N39" s="150">
        <f t="shared" si="42"/>
        <v>0</v>
      </c>
      <c r="O39" s="150">
        <f t="shared" si="42"/>
        <v>0</v>
      </c>
      <c r="P39" s="150">
        <f t="shared" si="42"/>
        <v>0</v>
      </c>
    </row>
    <row r="40" spans="2:17" ht="20" customHeight="1" x14ac:dyDescent="0.2">
      <c r="B40" s="32" t="s">
        <v>523</v>
      </c>
      <c r="D40" s="24"/>
      <c r="F40" s="47">
        <f t="shared" ref="F40:F45" si="43">+SUM(G40:P40)</f>
        <v>0</v>
      </c>
      <c r="G40" s="150">
        <f t="shared" ref="G40:P40" si="44">+R5</f>
        <v>0</v>
      </c>
      <c r="H40" s="150">
        <f t="shared" si="44"/>
        <v>0</v>
      </c>
      <c r="I40" s="150">
        <f t="shared" si="44"/>
        <v>0</v>
      </c>
      <c r="J40" s="150">
        <f t="shared" si="44"/>
        <v>0</v>
      </c>
      <c r="K40" s="150">
        <f t="shared" si="44"/>
        <v>0</v>
      </c>
      <c r="L40" s="150">
        <f t="shared" si="44"/>
        <v>0</v>
      </c>
      <c r="M40" s="150">
        <f t="shared" si="44"/>
        <v>0</v>
      </c>
      <c r="N40" s="150">
        <f t="shared" si="44"/>
        <v>0</v>
      </c>
      <c r="O40" s="150">
        <f t="shared" si="44"/>
        <v>0</v>
      </c>
      <c r="P40" s="150">
        <f t="shared" si="44"/>
        <v>0</v>
      </c>
    </row>
    <row r="41" spans="2:17" ht="20" customHeight="1" x14ac:dyDescent="0.2">
      <c r="B41" s="32" t="s">
        <v>907</v>
      </c>
      <c r="D41" s="24"/>
      <c r="F41" s="47">
        <f t="shared" ref="F41" si="45">+SUM(G41:P41)</f>
        <v>0</v>
      </c>
      <c r="G41" s="150">
        <f t="shared" ref="G41:P41" si="46">+G17</f>
        <v>0</v>
      </c>
      <c r="H41" s="150">
        <f t="shared" si="46"/>
        <v>0</v>
      </c>
      <c r="I41" s="150">
        <f t="shared" si="46"/>
        <v>0</v>
      </c>
      <c r="J41" s="150">
        <f t="shared" si="46"/>
        <v>0</v>
      </c>
      <c r="K41" s="150">
        <f t="shared" si="46"/>
        <v>0</v>
      </c>
      <c r="L41" s="150">
        <f t="shared" si="46"/>
        <v>0</v>
      </c>
      <c r="M41" s="150">
        <f t="shared" si="46"/>
        <v>0</v>
      </c>
      <c r="N41" s="150">
        <f t="shared" si="46"/>
        <v>0</v>
      </c>
      <c r="O41" s="150">
        <f t="shared" si="46"/>
        <v>0</v>
      </c>
      <c r="P41" s="150">
        <f t="shared" si="46"/>
        <v>0</v>
      </c>
      <c r="Q41" s="150"/>
    </row>
    <row r="42" spans="2:17" ht="20" customHeight="1" x14ac:dyDescent="0.2">
      <c r="B42" s="32" t="s">
        <v>629</v>
      </c>
      <c r="D42" s="24"/>
      <c r="F42" s="47">
        <f t="shared" si="43"/>
        <v>0</v>
      </c>
      <c r="G42" s="150">
        <f t="shared" ref="G42:P42" si="47">+R7</f>
        <v>0</v>
      </c>
      <c r="H42" s="150">
        <f t="shared" si="47"/>
        <v>0</v>
      </c>
      <c r="I42" s="150">
        <f t="shared" si="47"/>
        <v>0</v>
      </c>
      <c r="J42" s="150">
        <f t="shared" si="47"/>
        <v>0</v>
      </c>
      <c r="K42" s="150">
        <f t="shared" si="47"/>
        <v>0</v>
      </c>
      <c r="L42" s="150">
        <f t="shared" si="47"/>
        <v>0</v>
      </c>
      <c r="M42" s="150">
        <f t="shared" si="47"/>
        <v>0</v>
      </c>
      <c r="N42" s="150">
        <f t="shared" si="47"/>
        <v>0</v>
      </c>
      <c r="O42" s="150">
        <f t="shared" si="47"/>
        <v>0</v>
      </c>
      <c r="P42" s="150">
        <f t="shared" si="47"/>
        <v>0</v>
      </c>
    </row>
    <row r="43" spans="2:17" ht="20" customHeight="1" x14ac:dyDescent="0.2">
      <c r="B43" s="32" t="s">
        <v>804</v>
      </c>
      <c r="D43" s="24"/>
      <c r="F43" s="47">
        <f t="shared" si="43"/>
        <v>13584052.386219269</v>
      </c>
      <c r="G43" s="150">
        <f t="shared" ref="G43:P43" si="48">+R8</f>
        <v>1312151.8846867201</v>
      </c>
      <c r="H43" s="150">
        <f t="shared" si="48"/>
        <v>1312151.8846867201</v>
      </c>
      <c r="I43" s="150">
        <f t="shared" si="48"/>
        <v>1312151.8846867201</v>
      </c>
      <c r="J43" s="150">
        <f t="shared" si="48"/>
        <v>1312151.8846867201</v>
      </c>
      <c r="K43" s="150">
        <f t="shared" si="48"/>
        <v>1377759.4789210563</v>
      </c>
      <c r="L43" s="150">
        <f t="shared" si="48"/>
        <v>1377759.4789210563</v>
      </c>
      <c r="M43" s="150">
        <f t="shared" si="48"/>
        <v>1377759.4789210563</v>
      </c>
      <c r="N43" s="150">
        <f t="shared" si="48"/>
        <v>1377759.4789210563</v>
      </c>
      <c r="O43" s="150">
        <f t="shared" si="48"/>
        <v>1377759.4789210563</v>
      </c>
      <c r="P43" s="150">
        <f t="shared" si="48"/>
        <v>1446647.4528671089</v>
      </c>
    </row>
    <row r="44" spans="2:17" ht="20" customHeight="1" x14ac:dyDescent="0.2">
      <c r="B44" s="32" t="s">
        <v>805</v>
      </c>
      <c r="D44" s="24"/>
      <c r="F44" s="47">
        <f t="shared" si="43"/>
        <v>3025742.34375</v>
      </c>
      <c r="G44" s="150">
        <f t="shared" ref="G44:P44" si="49">+R9</f>
        <v>295194.375</v>
      </c>
      <c r="H44" s="150">
        <f t="shared" si="49"/>
        <v>295194.375</v>
      </c>
      <c r="I44" s="150">
        <f t="shared" si="49"/>
        <v>295194.375</v>
      </c>
      <c r="J44" s="150">
        <f t="shared" si="49"/>
        <v>295194.375</v>
      </c>
      <c r="K44" s="150">
        <f t="shared" si="49"/>
        <v>295194.375</v>
      </c>
      <c r="L44" s="150">
        <f t="shared" si="49"/>
        <v>309954.09375</v>
      </c>
      <c r="M44" s="150">
        <f t="shared" si="49"/>
        <v>309954.09375</v>
      </c>
      <c r="N44" s="150">
        <f t="shared" si="49"/>
        <v>309954.09375</v>
      </c>
      <c r="O44" s="150">
        <f t="shared" si="49"/>
        <v>309954.09375</v>
      </c>
      <c r="P44" s="150">
        <f t="shared" si="49"/>
        <v>309954.09375</v>
      </c>
    </row>
    <row r="45" spans="2:17" ht="20" customHeight="1" x14ac:dyDescent="0.2">
      <c r="B45" s="32" t="s">
        <v>806</v>
      </c>
      <c r="D45" s="24"/>
      <c r="F45" s="47">
        <f t="shared" ca="1" si="43"/>
        <v>14199826.000969127</v>
      </c>
      <c r="G45" s="150">
        <f t="shared" ref="G45:P45" ca="1" si="50">+R10</f>
        <v>1516139.6437404389</v>
      </c>
      <c r="H45" s="150">
        <f t="shared" ca="1" si="50"/>
        <v>1499098.2291438822</v>
      </c>
      <c r="I45" s="150">
        <f t="shared" ca="1" si="50"/>
        <v>1483047.8820323739</v>
      </c>
      <c r="J45" s="150">
        <f t="shared" ca="1" si="50"/>
        <v>1462019.3331509093</v>
      </c>
      <c r="K45" s="150">
        <f t="shared" ca="1" si="50"/>
        <v>1439344.7728737509</v>
      </c>
      <c r="L45" s="150">
        <f t="shared" ca="1" si="50"/>
        <v>1417466.7107462694</v>
      </c>
      <c r="M45" s="150">
        <f t="shared" ca="1" si="50"/>
        <v>1390288.9479845359</v>
      </c>
      <c r="N45" s="150">
        <f t="shared" ca="1" si="50"/>
        <v>1361202.5260536999</v>
      </c>
      <c r="O45" s="150">
        <f t="shared" ca="1" si="50"/>
        <v>1332690.7554985052</v>
      </c>
      <c r="P45" s="150">
        <f t="shared" ca="1" si="50"/>
        <v>1298527.1997447608</v>
      </c>
    </row>
    <row r="46" spans="2:17" ht="20" customHeight="1" x14ac:dyDescent="0.2">
      <c r="B46" s="137" t="s">
        <v>17</v>
      </c>
      <c r="C46" s="137"/>
      <c r="D46" s="137"/>
      <c r="E46" s="137"/>
      <c r="F46" s="138"/>
      <c r="G46" s="138">
        <f ca="1">+SUM(G39:G45)</f>
        <v>3123485.9034271589</v>
      </c>
      <c r="H46" s="138">
        <f t="shared" ref="H46:P46" ca="1" si="51">+SUM(H39:H45)</f>
        <v>3106444.4888306023</v>
      </c>
      <c r="I46" s="138">
        <f t="shared" ca="1" si="51"/>
        <v>3090394.141719094</v>
      </c>
      <c r="J46" s="138">
        <f t="shared" ca="1" si="51"/>
        <v>3069365.5928376294</v>
      </c>
      <c r="K46" s="138">
        <f t="shared" ca="1" si="51"/>
        <v>3112298.6267948071</v>
      </c>
      <c r="L46" s="138">
        <f t="shared" ca="1" si="51"/>
        <v>3105180.2834173255</v>
      </c>
      <c r="M46" s="138">
        <f t="shared" ca="1" si="51"/>
        <v>3078002.520655592</v>
      </c>
      <c r="N46" s="138">
        <f t="shared" ca="1" si="51"/>
        <v>3048916.0987247564</v>
      </c>
      <c r="O46" s="138">
        <f t="shared" ca="1" si="51"/>
        <v>3020404.3281695615</v>
      </c>
      <c r="P46" s="138">
        <f t="shared" ca="1" si="51"/>
        <v>3055128.7463618694</v>
      </c>
    </row>
    <row r="47" spans="2:17" ht="20" customHeight="1" x14ac:dyDescent="0.2">
      <c r="B47" s="140" t="str">
        <f>+B36</f>
        <v>NPV at 10% Discount Rate</v>
      </c>
      <c r="C47" s="190"/>
      <c r="D47" s="190"/>
      <c r="E47" s="190"/>
      <c r="F47" s="141">
        <f ca="1">+F12-F36</f>
        <v>6649247.5976556391</v>
      </c>
    </row>
    <row r="48" spans="2:17" ht="20" customHeight="1" x14ac:dyDescent="0.2"/>
    <row r="49" ht="20" customHeight="1" x14ac:dyDescent="0.2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  <pageSetUpPr fitToPage="1"/>
  </sheetPr>
  <dimension ref="B1:AF137"/>
  <sheetViews>
    <sheetView tabSelected="1" view="pageBreakPreview" topLeftCell="A86" zoomScale="80" zoomScaleNormal="80" zoomScaleSheetLayoutView="80" workbookViewId="0">
      <selection activeCell="F103" sqref="F103"/>
    </sheetView>
  </sheetViews>
  <sheetFormatPr baseColWidth="10" defaultColWidth="10.83203125" defaultRowHeight="13" x14ac:dyDescent="0.15"/>
  <cols>
    <col min="1" max="1" width="2.83203125" style="564" customWidth="1"/>
    <col min="2" max="2" width="44" style="564" bestFit="1" customWidth="1"/>
    <col min="3" max="3" width="2.83203125" style="564" customWidth="1"/>
    <col min="4" max="4" width="17.83203125" style="564" customWidth="1"/>
    <col min="5" max="5" width="12.5" style="564" bestFit="1" customWidth="1"/>
    <col min="6" max="8" width="15" style="564" bestFit="1" customWidth="1"/>
    <col min="9" max="9" width="1.1640625" style="564" customWidth="1"/>
    <col min="10" max="10" width="1.5" style="564" customWidth="1"/>
    <col min="11" max="11" width="1.83203125" style="564" customWidth="1"/>
    <col min="12" max="12" width="43" style="564" customWidth="1"/>
    <col min="13" max="13" width="3.5" style="564" customWidth="1"/>
    <col min="14" max="14" width="2.5" style="564" customWidth="1"/>
    <col min="15" max="15" width="19.33203125" style="564" customWidth="1"/>
    <col min="16" max="16" width="16.1640625" style="564" customWidth="1"/>
    <col min="17" max="17" width="7.1640625" style="564" bestFit="1" customWidth="1"/>
    <col min="18" max="18" width="19.6640625" style="564" customWidth="1"/>
    <col min="19" max="19" width="7.1640625" style="564" bestFit="1" customWidth="1"/>
    <col min="20" max="20" width="16.1640625" style="564" customWidth="1"/>
    <col min="21" max="21" width="7.6640625" style="564" customWidth="1"/>
    <col min="22" max="22" width="3.83203125" style="564" customWidth="1"/>
    <col min="23" max="16384" width="10.83203125" style="564"/>
  </cols>
  <sheetData>
    <row r="1" spans="2:21" ht="96" customHeight="1" x14ac:dyDescent="0.15"/>
    <row r="2" spans="2:21" ht="19" customHeight="1" x14ac:dyDescent="0.2">
      <c r="B2" s="316" t="s">
        <v>732</v>
      </c>
    </row>
    <row r="3" spans="2:21" ht="19" customHeight="1" x14ac:dyDescent="0.15"/>
    <row r="4" spans="2:21" ht="16" customHeight="1" x14ac:dyDescent="0.2">
      <c r="B4" s="561" t="s">
        <v>688</v>
      </c>
      <c r="C4" s="562"/>
      <c r="D4" s="562"/>
      <c r="E4" s="562"/>
      <c r="F4" s="1037" t="s">
        <v>242</v>
      </c>
      <c r="G4" s="1037"/>
      <c r="H4" s="1038"/>
      <c r="I4" s="563"/>
      <c r="J4" s="563"/>
      <c r="L4" s="561" t="s">
        <v>689</v>
      </c>
      <c r="M4" s="562"/>
      <c r="N4" s="562"/>
      <c r="O4" s="562"/>
      <c r="P4" s="1037" t="s">
        <v>242</v>
      </c>
      <c r="Q4" s="1037"/>
      <c r="R4" s="1037"/>
      <c r="S4" s="1037"/>
      <c r="T4" s="1037"/>
      <c r="U4" s="565"/>
    </row>
    <row r="5" spans="2:21" ht="16" customHeight="1" x14ac:dyDescent="0.2">
      <c r="B5" s="566"/>
      <c r="C5" s="567"/>
      <c r="D5" s="567"/>
      <c r="E5" s="567"/>
      <c r="F5" s="568" t="s">
        <v>202</v>
      </c>
      <c r="G5" s="568" t="s">
        <v>240</v>
      </c>
      <c r="H5" s="569" t="s">
        <v>241</v>
      </c>
      <c r="I5" s="570"/>
      <c r="J5" s="570"/>
      <c r="L5" s="566"/>
      <c r="M5" s="567"/>
      <c r="N5" s="567"/>
      <c r="O5" s="568" t="s">
        <v>17</v>
      </c>
      <c r="P5" s="568" t="s">
        <v>202</v>
      </c>
      <c r="Q5" s="568"/>
      <c r="R5" s="568" t="s">
        <v>240</v>
      </c>
      <c r="S5" s="568"/>
      <c r="T5" s="568" t="s">
        <v>241</v>
      </c>
      <c r="U5" s="569"/>
    </row>
    <row r="6" spans="2:21" ht="16" customHeight="1" x14ac:dyDescent="0.15">
      <c r="B6" s="571" t="s">
        <v>105</v>
      </c>
      <c r="C6" s="563"/>
      <c r="D6" s="563"/>
      <c r="E6" s="572"/>
      <c r="F6" s="572">
        <f>'Assumptions and Sensis'!F43</f>
        <v>44196</v>
      </c>
      <c r="G6" s="572">
        <f>'Assumptions and Sensis'!G43</f>
        <v>44926</v>
      </c>
      <c r="H6" s="573">
        <f>'Assumptions and Sensis'!H43</f>
        <v>45657</v>
      </c>
      <c r="I6" s="574"/>
      <c r="J6" s="574"/>
      <c r="L6" s="575" t="str">
        <f>'Assumptions and Sensis'!B7</f>
        <v>Project (Unlevered) Returns</v>
      </c>
      <c r="M6" s="576"/>
      <c r="N6" s="576"/>
      <c r="O6" s="576"/>
      <c r="P6" s="577"/>
      <c r="Q6" s="577"/>
      <c r="R6" s="577"/>
      <c r="S6" s="577"/>
      <c r="T6" s="577"/>
      <c r="U6" s="578"/>
    </row>
    <row r="7" spans="2:21" ht="16" customHeight="1" x14ac:dyDescent="0.15">
      <c r="B7" s="571" t="s">
        <v>107</v>
      </c>
      <c r="C7" s="563"/>
      <c r="D7" s="579"/>
      <c r="E7" s="563"/>
      <c r="F7" s="572">
        <f>'Assumptions and Sensis'!F45</f>
        <v>44561</v>
      </c>
      <c r="G7" s="572">
        <f>'Assumptions and Sensis'!G45</f>
        <v>45291</v>
      </c>
      <c r="H7" s="573">
        <f>'Assumptions and Sensis'!H45</f>
        <v>46022</v>
      </c>
      <c r="I7" s="572"/>
      <c r="J7" s="572"/>
      <c r="L7" s="580" t="str">
        <f>'Assumptions and Sensis'!B8</f>
        <v>Total Cost less Subsidies</v>
      </c>
      <c r="M7" s="581"/>
      <c r="N7" s="581"/>
      <c r="O7" s="582">
        <f ca="1">+SUM(P7:T7)</f>
        <v>790353411.07051921</v>
      </c>
      <c r="P7" s="582">
        <f ca="1">'Assumptions and Sensis'!E8</f>
        <v>303961345.66452712</v>
      </c>
      <c r="Q7" s="582"/>
      <c r="R7" s="582">
        <f ca="1">'Assumptions and Sensis'!F8</f>
        <v>169335097.45884427</v>
      </c>
      <c r="S7" s="582"/>
      <c r="T7" s="582">
        <f ca="1">'Assumptions and Sensis'!G8</f>
        <v>317056967.94714785</v>
      </c>
      <c r="U7" s="583"/>
    </row>
    <row r="8" spans="2:21" ht="16" customHeight="1" x14ac:dyDescent="0.15">
      <c r="B8" s="571" t="s">
        <v>109</v>
      </c>
      <c r="C8" s="563"/>
      <c r="D8" s="563"/>
      <c r="E8" s="563"/>
      <c r="F8" s="572">
        <f>'Assumptions and Sensis'!F47</f>
        <v>45291</v>
      </c>
      <c r="G8" s="572">
        <f>'Assumptions and Sensis'!G47</f>
        <v>46022</v>
      </c>
      <c r="H8" s="573">
        <f>'Assumptions and Sensis'!H47</f>
        <v>46752</v>
      </c>
      <c r="I8" s="572"/>
      <c r="J8" s="572"/>
      <c r="L8" s="584" t="s">
        <v>320</v>
      </c>
      <c r="M8" s="579"/>
      <c r="N8" s="579"/>
      <c r="O8" s="585">
        <f ca="1">+SUM(P8:T8)</f>
        <v>1080780888.042721</v>
      </c>
      <c r="P8" s="585">
        <f ca="1">'Assumptions and Sensis'!E9</f>
        <v>412428286.77958107</v>
      </c>
      <c r="Q8" s="585"/>
      <c r="R8" s="585">
        <f ca="1">'Assumptions and Sensis'!F9</f>
        <v>239095231.09056801</v>
      </c>
      <c r="S8" s="585"/>
      <c r="T8" s="585">
        <f ca="1">'Assumptions and Sensis'!G9</f>
        <v>429257370.17257202</v>
      </c>
      <c r="U8" s="586"/>
    </row>
    <row r="9" spans="2:21" ht="16" customHeight="1" x14ac:dyDescent="0.15">
      <c r="B9" s="571" t="s">
        <v>111</v>
      </c>
      <c r="C9" s="563"/>
      <c r="D9" s="563"/>
      <c r="E9" s="563"/>
      <c r="F9" s="572">
        <f>'Assumptions and Sensis'!F49</f>
        <v>46022</v>
      </c>
      <c r="G9" s="572">
        <f>'Assumptions and Sensis'!G49</f>
        <v>46752</v>
      </c>
      <c r="H9" s="573">
        <f>'Assumptions and Sensis'!H49</f>
        <v>47483</v>
      </c>
      <c r="I9" s="572"/>
      <c r="J9" s="572"/>
      <c r="L9" s="580" t="str">
        <f>'Assumptions and Sensis'!B10</f>
        <v>Yield-to-Cost</v>
      </c>
      <c r="M9" s="581"/>
      <c r="N9" s="581"/>
      <c r="O9" s="587">
        <f ca="1">+'Loan Sizing'!$E$64/O7</f>
        <v>8.4770903139802595E-2</v>
      </c>
      <c r="P9" s="587">
        <f ca="1">'Assumptions and Sensis'!E10</f>
        <v>8.5268155548161431E-2</v>
      </c>
      <c r="Q9" s="587"/>
      <c r="R9" s="587">
        <f ca="1">'Assumptions and Sensis'!F10</f>
        <v>8.8104045752325374E-2</v>
      </c>
      <c r="S9" s="587"/>
      <c r="T9" s="587">
        <f ca="1">'Assumptions and Sensis'!G10</f>
        <v>8.2514010490672335E-2</v>
      </c>
      <c r="U9" s="588"/>
    </row>
    <row r="10" spans="2:21" ht="16" customHeight="1" x14ac:dyDescent="0.15">
      <c r="B10" s="589" t="s">
        <v>113</v>
      </c>
      <c r="C10" s="590"/>
      <c r="D10" s="590"/>
      <c r="E10" s="590"/>
      <c r="F10" s="591">
        <f>'Assumptions and Sensis'!F51</f>
        <v>47848</v>
      </c>
      <c r="G10" s="591">
        <f>'Assumptions and Sensis'!G51</f>
        <v>47848</v>
      </c>
      <c r="H10" s="592">
        <f>'Assumptions and Sensis'!H51</f>
        <v>47848</v>
      </c>
      <c r="I10" s="572"/>
      <c r="J10" s="572"/>
      <c r="L10" s="589" t="str">
        <f>'Assumptions and Sensis'!B11</f>
        <v>Blended Exit Cap</v>
      </c>
      <c r="M10" s="590"/>
      <c r="N10" s="590"/>
      <c r="O10" s="593">
        <f ca="1">+'Loan Sizing'!$E$64/$O$8</f>
        <v>6.1991263166584827E-2</v>
      </c>
      <c r="P10" s="593">
        <f ca="1">'Assumptions and Sensis'!E11</f>
        <v>6.2842981758433905E-2</v>
      </c>
      <c r="Q10" s="593"/>
      <c r="R10" s="593">
        <f ca="1">'Assumptions and Sensis'!F11</f>
        <v>6.2398179612111186E-2</v>
      </c>
      <c r="S10" s="593"/>
      <c r="T10" s="593">
        <f ca="1">'Assumptions and Sensis'!G11</f>
        <v>6.0946284903190123E-2</v>
      </c>
      <c r="U10" s="594"/>
    </row>
    <row r="11" spans="2:21" ht="16" customHeight="1" x14ac:dyDescent="0.15">
      <c r="B11" s="579"/>
      <c r="C11" s="579"/>
      <c r="D11" s="579"/>
      <c r="E11" s="595"/>
      <c r="F11" s="596"/>
      <c r="G11" s="596"/>
      <c r="H11" s="596"/>
      <c r="I11" s="572"/>
      <c r="J11" s="572"/>
      <c r="L11" s="575" t="str">
        <f>'Assumptions and Sensis'!B13</f>
        <v>Equity Returns</v>
      </c>
      <c r="M11" s="576"/>
      <c r="N11" s="576"/>
      <c r="O11" s="576"/>
      <c r="P11" s="579"/>
      <c r="Q11" s="579"/>
      <c r="R11" s="579"/>
      <c r="S11" s="579"/>
      <c r="T11" s="579"/>
      <c r="U11" s="597"/>
    </row>
    <row r="12" spans="2:21" ht="16" customHeight="1" x14ac:dyDescent="0.2">
      <c r="B12" s="561" t="s">
        <v>690</v>
      </c>
      <c r="C12" s="562"/>
      <c r="D12" s="1039" t="s">
        <v>691</v>
      </c>
      <c r="E12" s="562"/>
      <c r="F12" s="1037" t="s">
        <v>242</v>
      </c>
      <c r="G12" s="1037"/>
      <c r="H12" s="1038"/>
      <c r="L12" s="584" t="str">
        <f>'Assumptions and Sensis'!B15</f>
        <v>Unlevered IRR</v>
      </c>
      <c r="M12" s="579"/>
      <c r="N12" s="579"/>
      <c r="O12" s="600">
        <f ca="1">+'Assumptions and Sensis'!E4</f>
        <v>0.12945660144928284</v>
      </c>
      <c r="P12" s="600">
        <f ca="1">'Assumptions and Sensis'!E15</f>
        <v>0.11972108472418541</v>
      </c>
      <c r="Q12" s="600"/>
      <c r="R12" s="600">
        <f ca="1">'Assumptions and Sensis'!F15</f>
        <v>0.13785665601235575</v>
      </c>
      <c r="S12" s="600"/>
      <c r="T12" s="600">
        <f ca="1">'Assumptions and Sensis'!G15</f>
        <v>0.14509319275795374</v>
      </c>
      <c r="U12" s="601"/>
    </row>
    <row r="13" spans="2:21" ht="16" customHeight="1" x14ac:dyDescent="0.2">
      <c r="B13" s="566"/>
      <c r="C13" s="567"/>
      <c r="D13" s="1040"/>
      <c r="E13" s="598" t="s">
        <v>17</v>
      </c>
      <c r="F13" s="598" t="s">
        <v>202</v>
      </c>
      <c r="G13" s="598" t="s">
        <v>240</v>
      </c>
      <c r="H13" s="599" t="s">
        <v>241</v>
      </c>
      <c r="I13" s="563"/>
      <c r="J13" s="563"/>
      <c r="L13" s="584" t="s">
        <v>745</v>
      </c>
      <c r="M13" s="579"/>
      <c r="N13" s="579"/>
      <c r="O13" s="600">
        <f ca="1">+'Assumptions and Sensis'!E3</f>
        <v>0.22085344333029133</v>
      </c>
      <c r="P13" s="600">
        <f ca="1">'Assumptions and Sensis'!E14</f>
        <v>0.20213049169868547</v>
      </c>
      <c r="Q13" s="600"/>
      <c r="R13" s="600">
        <f ca="1">'Assumptions and Sensis'!F14</f>
        <v>0.25390363378108316</v>
      </c>
      <c r="S13" s="600"/>
      <c r="T13" s="600">
        <f ca="1">'Assumptions and Sensis'!G14</f>
        <v>0.24148009708429607</v>
      </c>
      <c r="U13" s="601"/>
    </row>
    <row r="14" spans="2:21" ht="16" customHeight="1" x14ac:dyDescent="0.15">
      <c r="B14" s="602" t="s">
        <v>923</v>
      </c>
      <c r="C14" s="563"/>
      <c r="D14" s="563"/>
      <c r="E14" s="595"/>
      <c r="F14" s="596"/>
      <c r="G14" s="596"/>
      <c r="H14" s="603"/>
      <c r="I14" s="596"/>
      <c r="J14" s="596"/>
      <c r="L14" s="584" t="s">
        <v>744</v>
      </c>
      <c r="M14" s="579"/>
      <c r="N14" s="579"/>
      <c r="O14" s="600">
        <f ca="1">+'Assumptions and Sensis'!$F$3</f>
        <v>0.30116005615140645</v>
      </c>
      <c r="P14" s="600">
        <f ca="1">+'Assumptions and Sensis'!E16</f>
        <v>0.29685512823841814</v>
      </c>
      <c r="Q14" s="600"/>
      <c r="R14" s="600">
        <f ca="1">+'Assumptions and Sensis'!F16</f>
        <v>0.32964171412919885</v>
      </c>
      <c r="S14" s="600"/>
      <c r="T14" s="600">
        <f ca="1">+'Assumptions and Sensis'!G16</f>
        <v>0.29078066901367527</v>
      </c>
      <c r="U14" s="601"/>
    </row>
    <row r="15" spans="2:21" ht="16" customHeight="1" x14ac:dyDescent="0.15">
      <c r="B15" s="604" t="s">
        <v>115</v>
      </c>
      <c r="C15" s="563"/>
      <c r="D15" s="605">
        <f>'Assumptions and Sensis'!E83</f>
        <v>550</v>
      </c>
      <c r="E15" s="595">
        <f>SUM(F15:H15)</f>
        <v>1005.9685886030237</v>
      </c>
      <c r="F15" s="596">
        <f>VLOOKUP(B15,'Assumptions and Sensis'!$B$82:$H$107,5,FALSE)</f>
        <v>397.56940050698711</v>
      </c>
      <c r="G15" s="596">
        <f>VLOOKUP(B15,'Assumptions and Sensis'!$B$82:$H$107,6,FALSE)</f>
        <v>276.17243636363639</v>
      </c>
      <c r="H15" s="603">
        <f>VLOOKUP(B15,'Assumptions and Sensis'!$B$82:$H$107,7,FALSE)</f>
        <v>332.2267517324002</v>
      </c>
      <c r="I15" s="596"/>
      <c r="J15" s="596"/>
      <c r="L15" s="589" t="str">
        <f>'Assumptions and Sensis'!B18</f>
        <v>Equity Multiple</v>
      </c>
      <c r="M15" s="590"/>
      <c r="N15" s="590"/>
      <c r="O15" s="606">
        <f ca="1">+SUM('Phase I Pro Forma'!D308,'Phase II Pro Forma'!D308,'Phase III Pro Forma'!D308)/-SUM('Phase I Pro Forma'!D307,'Phase II Pro Forma'!D307,'Phase III Pro Forma'!D307)</f>
        <v>3.749012778894238</v>
      </c>
      <c r="P15" s="606">
        <f ca="1">'Assumptions and Sensis'!E18</f>
        <v>4.4603076936764419</v>
      </c>
      <c r="Q15" s="606"/>
      <c r="R15" s="606">
        <f ca="1">'Assumptions and Sensis'!F18</f>
        <v>4.105075272410641</v>
      </c>
      <c r="S15" s="606"/>
      <c r="T15" s="606">
        <f ca="1">'Assumptions and Sensis'!G18</f>
        <v>3.0036037323810025</v>
      </c>
      <c r="U15" s="607"/>
    </row>
    <row r="16" spans="2:21" ht="16" customHeight="1" x14ac:dyDescent="0.15">
      <c r="B16" s="604" t="s">
        <v>123</v>
      </c>
      <c r="C16" s="563"/>
      <c r="D16" s="605">
        <f>'Assumptions and Sensis'!E90</f>
        <v>750</v>
      </c>
      <c r="E16" s="595">
        <f t="shared" ref="E16:E26" si="0">SUM(F16:H16)</f>
        <v>295.08411932355364</v>
      </c>
      <c r="F16" s="596">
        <f>VLOOKUP(B16,'Assumptions and Sensis'!$B$82:$H$107,5,FALSE)</f>
        <v>116.62035748204956</v>
      </c>
      <c r="G16" s="596">
        <f>VLOOKUP(B16,'Assumptions and Sensis'!$B$82:$H$107,6,FALSE)</f>
        <v>81.010581333333349</v>
      </c>
      <c r="H16" s="603">
        <f>VLOOKUP(B16,'Assumptions and Sensis'!$B$82:$H$107,7,FALSE)</f>
        <v>97.453180508170718</v>
      </c>
      <c r="I16" s="596"/>
      <c r="J16" s="596"/>
    </row>
    <row r="17" spans="2:21" ht="16" customHeight="1" x14ac:dyDescent="0.2">
      <c r="B17" s="604" t="s">
        <v>127</v>
      </c>
      <c r="C17" s="563"/>
      <c r="D17" s="605">
        <f>'Assumptions and Sensis'!E97</f>
        <v>1100</v>
      </c>
      <c r="E17" s="595">
        <f t="shared" si="0"/>
        <v>100.59685886030238</v>
      </c>
      <c r="F17" s="596">
        <f>VLOOKUP(B17,'Assumptions and Sensis'!$B$82:$H$107,5,FALSE)</f>
        <v>39.756940050698709</v>
      </c>
      <c r="G17" s="596">
        <f>VLOOKUP(B17,'Assumptions and Sensis'!$B$82:$H$107,6,FALSE)</f>
        <v>27.617243636363643</v>
      </c>
      <c r="H17" s="603">
        <f>VLOOKUP(B17,'Assumptions and Sensis'!$B$82:$H$107,7,FALSE)</f>
        <v>33.22267517324002</v>
      </c>
      <c r="I17" s="596"/>
      <c r="J17" s="596"/>
      <c r="L17" s="561" t="s">
        <v>692</v>
      </c>
      <c r="M17" s="562"/>
      <c r="N17" s="562"/>
      <c r="O17" s="562"/>
      <c r="P17" s="1037" t="s">
        <v>242</v>
      </c>
      <c r="Q17" s="1037"/>
      <c r="R17" s="1037"/>
      <c r="S17" s="1037"/>
      <c r="T17" s="1037"/>
      <c r="U17" s="565"/>
    </row>
    <row r="18" spans="2:21" ht="16" customHeight="1" x14ac:dyDescent="0.2">
      <c r="B18" s="604" t="s">
        <v>131</v>
      </c>
      <c r="C18" s="563"/>
      <c r="D18" s="605">
        <f>'Assumptions and Sensis'!E101</f>
        <v>1500</v>
      </c>
      <c r="E18" s="595">
        <f t="shared" si="0"/>
        <v>36.885514915444205</v>
      </c>
      <c r="F18" s="596">
        <f>VLOOKUP(B18,'Assumptions and Sensis'!$B$82:$H$107,5,FALSE)</f>
        <v>14.577544685256195</v>
      </c>
      <c r="G18" s="596">
        <f>VLOOKUP(B18,'Assumptions and Sensis'!$B$82:$H$107,6,FALSE)</f>
        <v>10.126322666666669</v>
      </c>
      <c r="H18" s="603">
        <f>VLOOKUP(B18,'Assumptions and Sensis'!$B$82:$H$107,7,FALSE)</f>
        <v>12.18164756352134</v>
      </c>
      <c r="I18" s="596"/>
      <c r="J18" s="596"/>
      <c r="L18" s="566"/>
      <c r="M18" s="567"/>
      <c r="N18" s="567"/>
      <c r="O18" s="567"/>
      <c r="P18" s="568" t="s">
        <v>202</v>
      </c>
      <c r="Q18" s="568"/>
      <c r="R18" s="568" t="s">
        <v>240</v>
      </c>
      <c r="S18" s="568"/>
      <c r="T18" s="568" t="s">
        <v>241</v>
      </c>
      <c r="U18" s="569"/>
    </row>
    <row r="19" spans="2:21" ht="16" customHeight="1" x14ac:dyDescent="0.2">
      <c r="B19" s="604" t="s">
        <v>372</v>
      </c>
      <c r="C19" s="563"/>
      <c r="D19" s="605">
        <f>'Assumptions and Sensis'!E105</f>
        <v>2200</v>
      </c>
      <c r="E19" s="595">
        <f t="shared" si="0"/>
        <v>75.447644145226775</v>
      </c>
      <c r="F19" s="596">
        <f>VLOOKUP(B19,'Assumptions and Sensis'!$B$82:$H$107,5,FALSE)</f>
        <v>29.81770503802403</v>
      </c>
      <c r="G19" s="596">
        <f>VLOOKUP(B19,'Assumptions and Sensis'!$B$82:$H$107,6,FALSE)</f>
        <v>20.712932727272729</v>
      </c>
      <c r="H19" s="603">
        <f>VLOOKUP(B19,'Assumptions and Sensis'!$B$82:$H$107,7,FALSE)</f>
        <v>24.917006379930015</v>
      </c>
      <c r="I19" s="596"/>
      <c r="J19" s="596"/>
      <c r="L19" s="608" t="s">
        <v>263</v>
      </c>
      <c r="M19" s="609"/>
      <c r="N19" s="609"/>
      <c r="O19" s="609"/>
      <c r="P19" s="609"/>
      <c r="Q19" s="609"/>
      <c r="R19" s="609"/>
      <c r="S19" s="609"/>
      <c r="T19" s="609"/>
      <c r="U19" s="610"/>
    </row>
    <row r="20" spans="2:21" ht="16" customHeight="1" x14ac:dyDescent="0.2">
      <c r="B20" s="611" t="s">
        <v>545</v>
      </c>
      <c r="C20" s="612"/>
      <c r="D20" s="612"/>
      <c r="E20" s="613">
        <f>SUM(E15:E19)</f>
        <v>1513.9827258475507</v>
      </c>
      <c r="F20" s="614">
        <f t="shared" ref="F20:H20" si="1">SUM(F15:F19)</f>
        <v>598.3419477630157</v>
      </c>
      <c r="G20" s="614">
        <f t="shared" si="1"/>
        <v>415.63951672727279</v>
      </c>
      <c r="H20" s="615">
        <f t="shared" si="1"/>
        <v>500.00126135726225</v>
      </c>
      <c r="I20" s="596"/>
      <c r="J20" s="596"/>
      <c r="L20" s="616" t="s">
        <v>747</v>
      </c>
      <c r="M20" s="609"/>
      <c r="N20" s="609"/>
      <c r="O20" s="609"/>
      <c r="P20" s="617">
        <f>'Assumptions and Sensis'!N177</f>
        <v>6.5000000000000002E-2</v>
      </c>
      <c r="Q20" s="617"/>
      <c r="R20" s="617">
        <f>'Assumptions and Sensis'!O177</f>
        <v>6.5000000000000002E-2</v>
      </c>
      <c r="S20" s="617"/>
      <c r="T20" s="617">
        <f>'Assumptions and Sensis'!P177</f>
        <v>6.5000000000000002E-2</v>
      </c>
      <c r="U20" s="618"/>
    </row>
    <row r="21" spans="2:21" ht="16" customHeight="1" x14ac:dyDescent="0.2">
      <c r="B21" s="602" t="s">
        <v>752</v>
      </c>
      <c r="C21" s="579"/>
      <c r="D21" s="579"/>
      <c r="E21" s="595"/>
      <c r="F21" s="596"/>
      <c r="G21" s="596"/>
      <c r="H21" s="603"/>
      <c r="I21" s="596"/>
      <c r="J21" s="596"/>
      <c r="L21" s="616" t="s">
        <v>761</v>
      </c>
      <c r="M21" s="609"/>
      <c r="N21" s="609"/>
      <c r="O21" s="609"/>
      <c r="P21" s="619">
        <f ca="1">SUM('Loan Sizing'!F17:F22)</f>
        <v>20415119.392887935</v>
      </c>
      <c r="Q21" s="619"/>
      <c r="R21" s="619">
        <f ca="1">SUM('Loan Sizing'!G17:G22)</f>
        <v>11403435.464829812</v>
      </c>
      <c r="S21" s="619"/>
      <c r="T21" s="619">
        <f ca="1">SUM('Loan Sizing'!H17:H22)</f>
        <v>22752875.065934878</v>
      </c>
      <c r="U21" s="620"/>
    </row>
    <row r="22" spans="2:21" ht="16" customHeight="1" x14ac:dyDescent="0.2">
      <c r="B22" s="604" t="str">
        <f>B15</f>
        <v>Studio Units</v>
      </c>
      <c r="C22" s="577"/>
      <c r="D22" s="605">
        <f>D15</f>
        <v>550</v>
      </c>
      <c r="E22" s="595">
        <f t="shared" si="0"/>
        <v>251.49214715075593</v>
      </c>
      <c r="F22" s="596">
        <f>VLOOKUP($B22,'Assumptions and Sensis'!$B$55:$H$79,5,FALSE)</f>
        <v>99.392350126746777</v>
      </c>
      <c r="G22" s="596">
        <f>VLOOKUP($B22,'Assumptions and Sensis'!$B$55:$H$79,6,FALSE)</f>
        <v>69.043109090909098</v>
      </c>
      <c r="H22" s="603">
        <f>VLOOKUP($B22,'Assumptions and Sensis'!$B$55:$H$79,7,FALSE)</f>
        <v>83.056687933100051</v>
      </c>
      <c r="I22" s="596"/>
      <c r="J22" s="596"/>
      <c r="L22" s="616" t="s">
        <v>762</v>
      </c>
      <c r="M22" s="609"/>
      <c r="N22" s="609"/>
      <c r="O22" s="609"/>
      <c r="P22" s="619">
        <f ca="1">SUM('Loan Sizing'!F6:F11)</f>
        <v>335563095.44410574</v>
      </c>
      <c r="Q22" s="619"/>
      <c r="R22" s="619">
        <f ca="1">SUM('Loan Sizing'!G6:G11)</f>
        <v>190853874.12969497</v>
      </c>
      <c r="S22" s="619"/>
      <c r="T22" s="619">
        <f ca="1">SUM('Loan Sizing'!H6:H11)</f>
        <v>369581352.46073335</v>
      </c>
      <c r="U22" s="620"/>
    </row>
    <row r="23" spans="2:21" ht="16" customHeight="1" x14ac:dyDescent="0.2">
      <c r="B23" s="604" t="str">
        <f>B16</f>
        <v>1-BR Units</v>
      </c>
      <c r="C23" s="577"/>
      <c r="D23" s="605">
        <f t="shared" ref="D23:D26" si="2">D16</f>
        <v>750</v>
      </c>
      <c r="E23" s="595">
        <f t="shared" si="0"/>
        <v>73.771029830888409</v>
      </c>
      <c r="F23" s="596">
        <f>VLOOKUP($B23,'Assumptions and Sensis'!$B$55:$H$79,5,FALSE)</f>
        <v>29.155089370512389</v>
      </c>
      <c r="G23" s="596">
        <f>VLOOKUP($B23,'Assumptions and Sensis'!$B$55:$H$79,6,FALSE)</f>
        <v>20.252645333333337</v>
      </c>
      <c r="H23" s="603">
        <f>VLOOKUP($B23,'Assumptions and Sensis'!$B$55:$H$79,7,FALSE)</f>
        <v>24.363295127042679</v>
      </c>
      <c r="I23" s="596"/>
      <c r="J23" s="596"/>
      <c r="L23" s="616" t="s">
        <v>693</v>
      </c>
      <c r="M23" s="609"/>
      <c r="N23" s="609"/>
      <c r="O23" s="609"/>
      <c r="P23" s="621">
        <f>'Loan Sizing'!F13</f>
        <v>0.65</v>
      </c>
      <c r="Q23" s="621"/>
      <c r="R23" s="621">
        <f>'Loan Sizing'!G13</f>
        <v>0.65</v>
      </c>
      <c r="S23" s="621"/>
      <c r="T23" s="621">
        <f>'Loan Sizing'!H13</f>
        <v>0.65</v>
      </c>
      <c r="U23" s="622"/>
    </row>
    <row r="24" spans="2:21" ht="16" customHeight="1" x14ac:dyDescent="0.2">
      <c r="B24" s="604" t="str">
        <f>B17</f>
        <v>2-BR Units</v>
      </c>
      <c r="C24" s="577"/>
      <c r="D24" s="605">
        <f t="shared" si="2"/>
        <v>1100</v>
      </c>
      <c r="E24" s="595">
        <f t="shared" si="0"/>
        <v>25.149214715075594</v>
      </c>
      <c r="F24" s="596">
        <f>VLOOKUP($B24,'Assumptions and Sensis'!$B$55:$H$79,5,FALSE)</f>
        <v>9.9392350126746773</v>
      </c>
      <c r="G24" s="596">
        <f>VLOOKUP($B24,'Assumptions and Sensis'!$B$55:$H$79,6,FALSE)</f>
        <v>6.9043109090909107</v>
      </c>
      <c r="H24" s="603">
        <f>VLOOKUP($B24,'Assumptions and Sensis'!$B$55:$H$79,7,FALSE)</f>
        <v>8.3056687933100051</v>
      </c>
      <c r="I24" s="596"/>
      <c r="J24" s="596"/>
      <c r="L24" s="616" t="s">
        <v>694</v>
      </c>
      <c r="M24" s="609"/>
      <c r="N24" s="609"/>
      <c r="O24" s="609"/>
      <c r="P24" s="619">
        <f ca="1">'Loan Sizing'!F14</f>
        <v>218116012.03866875</v>
      </c>
      <c r="Q24" s="619"/>
      <c r="R24" s="619">
        <f ca="1">'Loan Sizing'!G14</f>
        <v>124055018.18430173</v>
      </c>
      <c r="S24" s="619"/>
      <c r="T24" s="619">
        <f ca="1">'Loan Sizing'!H14</f>
        <v>240227879.0994767</v>
      </c>
      <c r="U24" s="620"/>
    </row>
    <row r="25" spans="2:21" ht="16" customHeight="1" x14ac:dyDescent="0.2">
      <c r="B25" s="604" t="str">
        <f>B18</f>
        <v>3-BR Units</v>
      </c>
      <c r="C25" s="577"/>
      <c r="D25" s="605">
        <f t="shared" si="2"/>
        <v>1500</v>
      </c>
      <c r="E25" s="595">
        <f t="shared" si="0"/>
        <v>9.2213787288610511</v>
      </c>
      <c r="F25" s="596">
        <f>VLOOKUP($B25,'Assumptions and Sensis'!$B$55:$H$79,5,FALSE)</f>
        <v>3.6443861713140486</v>
      </c>
      <c r="G25" s="596">
        <f>VLOOKUP($B25,'Assumptions and Sensis'!$B$55:$H$79,6,FALSE)</f>
        <v>2.5315806666666671</v>
      </c>
      <c r="H25" s="603">
        <f>VLOOKUP($B25,'Assumptions and Sensis'!$B$55:$H$79,7,FALSE)</f>
        <v>3.0454118908803349</v>
      </c>
      <c r="L25" s="616" t="s">
        <v>196</v>
      </c>
      <c r="M25" s="609"/>
      <c r="N25" s="609"/>
      <c r="O25" s="609"/>
      <c r="P25" s="731">
        <f>'Loan Sizing'!F24</f>
        <v>1.25</v>
      </c>
      <c r="Q25" s="731"/>
      <c r="R25" s="731">
        <f>'Loan Sizing'!G24</f>
        <v>1.25</v>
      </c>
      <c r="S25" s="731"/>
      <c r="T25" s="731">
        <f>'Loan Sizing'!H24</f>
        <v>1.25</v>
      </c>
      <c r="U25" s="610"/>
    </row>
    <row r="26" spans="2:21" ht="16" customHeight="1" x14ac:dyDescent="0.2">
      <c r="B26" s="604" t="str">
        <f>'Assumptions and Sensis'!B71</f>
        <v>Live-Work Units (4-BR)</v>
      </c>
      <c r="C26" s="577"/>
      <c r="D26" s="605">
        <f t="shared" si="2"/>
        <v>2200</v>
      </c>
      <c r="E26" s="595">
        <f t="shared" si="0"/>
        <v>18.861911036306694</v>
      </c>
      <c r="F26" s="596">
        <f>VLOOKUP($B26,'Assumptions and Sensis'!$B$55:$H$79,5,FALSE)</f>
        <v>7.4544262595060076</v>
      </c>
      <c r="G26" s="596">
        <f>VLOOKUP($B26,'Assumptions and Sensis'!$B$55:$H$79,6,FALSE)</f>
        <v>5.1782331818181824</v>
      </c>
      <c r="H26" s="603">
        <f>VLOOKUP($B26,'Assumptions and Sensis'!$B$55:$H$79,7,FALSE)</f>
        <v>6.2292515949825038</v>
      </c>
      <c r="J26" s="563"/>
      <c r="L26" s="616" t="s">
        <v>695</v>
      </c>
      <c r="M26" s="609"/>
      <c r="N26" s="609"/>
      <c r="O26" s="609"/>
      <c r="P26" s="619">
        <f ca="1">'Loan Sizing'!F28</f>
        <v>213275542.18726224</v>
      </c>
      <c r="Q26" s="619"/>
      <c r="R26" s="619">
        <f ca="1">'Loan Sizing'!G28</f>
        <v>119131014.36018541</v>
      </c>
      <c r="S26" s="619"/>
      <c r="T26" s="619">
        <f ca="1">'Loan Sizing'!H28</f>
        <v>237697937.13265392</v>
      </c>
      <c r="U26" s="620"/>
    </row>
    <row r="27" spans="2:21" ht="16" customHeight="1" x14ac:dyDescent="0.2">
      <c r="B27" s="611" t="s">
        <v>545</v>
      </c>
      <c r="C27" s="612"/>
      <c r="D27" s="612"/>
      <c r="E27" s="613">
        <f>SUM(E22:E26)</f>
        <v>378.49568146188767</v>
      </c>
      <c r="F27" s="614">
        <f t="shared" ref="F27:H27" si="3">SUM(F22:F26)</f>
        <v>149.58548694075392</v>
      </c>
      <c r="G27" s="614">
        <f t="shared" si="3"/>
        <v>103.9098791818182</v>
      </c>
      <c r="H27" s="615">
        <f t="shared" si="3"/>
        <v>125.00031533931556</v>
      </c>
      <c r="J27" s="623"/>
      <c r="L27" s="616"/>
      <c r="M27" s="609"/>
      <c r="N27" s="609"/>
      <c r="O27" s="609"/>
      <c r="P27" s="619"/>
      <c r="Q27" s="619"/>
      <c r="R27" s="619"/>
      <c r="S27" s="619"/>
      <c r="T27" s="619"/>
      <c r="U27" s="620"/>
    </row>
    <row r="28" spans="2:21" ht="16" customHeight="1" x14ac:dyDescent="0.2">
      <c r="J28" s="596"/>
      <c r="L28" s="608" t="s">
        <v>164</v>
      </c>
      <c r="M28" s="609"/>
      <c r="N28" s="609"/>
      <c r="O28" s="609"/>
      <c r="P28" s="609"/>
      <c r="Q28" s="609"/>
      <c r="R28" s="609"/>
      <c r="S28" s="609"/>
      <c r="T28" s="609"/>
      <c r="U28" s="610"/>
    </row>
    <row r="29" spans="2:21" ht="16" customHeight="1" x14ac:dyDescent="0.2">
      <c r="B29" s="561" t="s">
        <v>696</v>
      </c>
      <c r="C29" s="562"/>
      <c r="D29" s="562"/>
      <c r="E29" s="562"/>
      <c r="F29" s="1037" t="s">
        <v>242</v>
      </c>
      <c r="G29" s="1037"/>
      <c r="H29" s="1038"/>
      <c r="J29" s="624"/>
      <c r="L29" s="616" t="s">
        <v>748</v>
      </c>
      <c r="M29" s="609"/>
      <c r="N29" s="609"/>
      <c r="O29" s="609"/>
      <c r="P29" s="617">
        <f>'Loan Sizing'!F43</f>
        <v>0.06</v>
      </c>
      <c r="Q29" s="617"/>
      <c r="R29" s="617">
        <f>'Loan Sizing'!G43</f>
        <v>0.06</v>
      </c>
      <c r="S29" s="617"/>
      <c r="T29" s="617">
        <f>'Loan Sizing'!H43</f>
        <v>0.06</v>
      </c>
      <c r="U29" s="618"/>
    </row>
    <row r="30" spans="2:21" ht="16" customHeight="1" x14ac:dyDescent="0.2">
      <c r="B30" s="566"/>
      <c r="C30" s="567"/>
      <c r="D30" s="625"/>
      <c r="E30" s="598" t="s">
        <v>17</v>
      </c>
      <c r="F30" s="598" t="s">
        <v>202</v>
      </c>
      <c r="G30" s="598" t="s">
        <v>240</v>
      </c>
      <c r="H30" s="599" t="s">
        <v>241</v>
      </c>
      <c r="J30" s="624"/>
      <c r="L30" s="616" t="s">
        <v>765</v>
      </c>
      <c r="M30" s="609"/>
      <c r="N30" s="609"/>
      <c r="O30" s="609"/>
      <c r="P30" s="619">
        <f ca="1">'Loan Sizing'!F38</f>
        <v>5503103.9098521462</v>
      </c>
      <c r="Q30" s="619"/>
      <c r="R30" s="619">
        <f ca="1">'Loan Sizing'!G38</f>
        <v>3515671.7091469439</v>
      </c>
      <c r="S30" s="619"/>
      <c r="T30" s="619">
        <f ca="1">'Loan Sizing'!H38</f>
        <v>543973.38253181055</v>
      </c>
      <c r="U30" s="620"/>
    </row>
    <row r="31" spans="2:21" ht="16" customHeight="1" x14ac:dyDescent="0.2">
      <c r="B31" s="602" t="s">
        <v>25</v>
      </c>
      <c r="C31" s="577"/>
      <c r="D31" s="577"/>
      <c r="E31" s="577"/>
      <c r="F31" s="577"/>
      <c r="G31" s="577"/>
      <c r="H31" s="578"/>
      <c r="J31" s="626"/>
      <c r="L31" s="616" t="s">
        <v>766</v>
      </c>
      <c r="M31" s="609"/>
      <c r="N31" s="609"/>
      <c r="O31" s="609"/>
      <c r="P31" s="619">
        <f ca="1">'Loan Sizing'!F33</f>
        <v>76865191.335270256</v>
      </c>
      <c r="Q31" s="619"/>
      <c r="R31" s="619">
        <f ca="1">'Loan Sizing'!G33</f>
        <v>48241356.96065966</v>
      </c>
      <c r="S31" s="619"/>
      <c r="T31" s="619">
        <f ca="1">'Loan Sizing'!H33</f>
        <v>7588862.605201764</v>
      </c>
      <c r="U31" s="620"/>
    </row>
    <row r="32" spans="2:21" ht="16" customHeight="1" x14ac:dyDescent="0.2">
      <c r="B32" s="604" t="s">
        <v>750</v>
      </c>
      <c r="C32" s="577"/>
      <c r="D32" s="605"/>
      <c r="E32" s="595">
        <f t="shared" ref="E32" si="4">SUM(F32:H32)</f>
        <v>377397</v>
      </c>
      <c r="F32" s="596">
        <f>'Assumptions and Sensis'!F155</f>
        <v>168300</v>
      </c>
      <c r="G32" s="596">
        <f>'Assumptions and Sensis'!G155</f>
        <v>138600</v>
      </c>
      <c r="H32" s="603">
        <f>'Assumptions and Sensis'!H155</f>
        <v>70497</v>
      </c>
      <c r="J32" s="624"/>
      <c r="L32" s="616" t="s">
        <v>693</v>
      </c>
      <c r="M32" s="609"/>
      <c r="N32" s="609"/>
      <c r="O32" s="609"/>
      <c r="P32" s="621">
        <f>'Loan Sizing'!F35</f>
        <v>0.8</v>
      </c>
      <c r="Q32" s="621"/>
      <c r="R32" s="621">
        <f>'Loan Sizing'!G35</f>
        <v>0.8</v>
      </c>
      <c r="S32" s="621"/>
      <c r="T32" s="621">
        <f>'Loan Sizing'!H35</f>
        <v>0.8</v>
      </c>
      <c r="U32" s="622"/>
    </row>
    <row r="33" spans="2:21" ht="16" customHeight="1" x14ac:dyDescent="0.2">
      <c r="B33" s="604" t="str">
        <f>'Assumptions and Sensis'!B162</f>
        <v>Food Hall</v>
      </c>
      <c r="C33" s="577"/>
      <c r="D33" s="605"/>
      <c r="E33" s="595">
        <f>SUM(F33:H33)</f>
        <v>45900</v>
      </c>
      <c r="F33" s="596">
        <f>'Assumptions and Sensis'!F163</f>
        <v>45900</v>
      </c>
      <c r="G33" s="596">
        <f>'Assumptions and Sensis'!G163</f>
        <v>0</v>
      </c>
      <c r="H33" s="603">
        <f>'Assumptions and Sensis'!H163</f>
        <v>0</v>
      </c>
      <c r="J33" s="624"/>
      <c r="L33" s="616" t="s">
        <v>694</v>
      </c>
      <c r="M33" s="609"/>
      <c r="N33" s="609"/>
      <c r="O33" s="609"/>
      <c r="P33" s="619">
        <f ca="1">'Loan Sizing'!F36</f>
        <v>61492153.068216205</v>
      </c>
      <c r="Q33" s="619"/>
      <c r="R33" s="619">
        <f ca="1">'Loan Sizing'!G36</f>
        <v>38593085.568527728</v>
      </c>
      <c r="S33" s="619"/>
      <c r="T33" s="619">
        <f ca="1">'Loan Sizing'!H36</f>
        <v>6071090.084161412</v>
      </c>
      <c r="U33" s="620"/>
    </row>
    <row r="34" spans="2:21" ht="16" customHeight="1" x14ac:dyDescent="0.2">
      <c r="B34" s="627" t="s">
        <v>545</v>
      </c>
      <c r="C34" s="628"/>
      <c r="D34" s="628"/>
      <c r="E34" s="629">
        <f>SUM(E32:E33)</f>
        <v>423297</v>
      </c>
      <c r="F34" s="630">
        <f>SUM(F32:F33)</f>
        <v>214200</v>
      </c>
      <c r="G34" s="630">
        <f t="shared" ref="G34:H34" si="5">SUM(G32:G33)</f>
        <v>138600</v>
      </c>
      <c r="H34" s="631">
        <f t="shared" si="5"/>
        <v>70497</v>
      </c>
      <c r="J34" s="624"/>
      <c r="L34" s="616" t="s">
        <v>196</v>
      </c>
      <c r="M34" s="609"/>
      <c r="N34" s="609"/>
      <c r="O34" s="609"/>
      <c r="P34" s="731">
        <f>'Loan Sizing'!F40</f>
        <v>1.3</v>
      </c>
      <c r="Q34" s="731"/>
      <c r="R34" s="731">
        <f>'Loan Sizing'!G40</f>
        <v>1.3</v>
      </c>
      <c r="S34" s="731"/>
      <c r="T34" s="731">
        <f>'Loan Sizing'!H40</f>
        <v>1.3</v>
      </c>
      <c r="U34" s="610"/>
    </row>
    <row r="35" spans="2:21" ht="16" customHeight="1" x14ac:dyDescent="0.2">
      <c r="B35" s="602" t="s">
        <v>146</v>
      </c>
      <c r="C35" s="577"/>
      <c r="D35" s="577"/>
      <c r="E35" s="595"/>
      <c r="F35" s="577"/>
      <c r="G35" s="577"/>
      <c r="H35" s="578"/>
      <c r="J35" s="624"/>
      <c r="L35" s="616" t="s">
        <v>695</v>
      </c>
      <c r="M35" s="609"/>
      <c r="N35" s="609"/>
      <c r="O35" s="609"/>
      <c r="P35" s="619">
        <f ca="1">'Loan Sizing'!F44</f>
        <v>70552614.22887367</v>
      </c>
      <c r="Q35" s="619"/>
      <c r="R35" s="619">
        <f ca="1">'Loan Sizing'!G44</f>
        <v>45072714.219832614</v>
      </c>
      <c r="S35" s="619"/>
      <c r="T35" s="619">
        <f ca="1">'Loan Sizing'!H44</f>
        <v>6974017.724766802</v>
      </c>
      <c r="U35" s="620"/>
    </row>
    <row r="36" spans="2:21" ht="16" customHeight="1" x14ac:dyDescent="0.2">
      <c r="B36" s="604" t="str">
        <f>'Assumptions and Sensis'!B189</f>
        <v>Conventional Office</v>
      </c>
      <c r="C36" s="577"/>
      <c r="D36" s="605"/>
      <c r="E36" s="595">
        <f>SUM(F36:H36)</f>
        <v>1133974.8999999999</v>
      </c>
      <c r="F36" s="596">
        <f>'Assumptions and Sensis'!F190</f>
        <v>410068.80000000005</v>
      </c>
      <c r="G36" s="596">
        <f>'Assumptions and Sensis'!G190</f>
        <v>134937</v>
      </c>
      <c r="H36" s="603">
        <f>'Assumptions and Sensis'!H190</f>
        <v>588969.09999999986</v>
      </c>
      <c r="J36" s="624"/>
      <c r="L36" s="616"/>
      <c r="M36" s="609"/>
      <c r="N36" s="609"/>
      <c r="O36" s="609"/>
      <c r="P36" s="619"/>
      <c r="Q36" s="619"/>
      <c r="R36" s="619"/>
      <c r="S36" s="619"/>
      <c r="T36" s="619"/>
      <c r="U36" s="620"/>
    </row>
    <row r="37" spans="2:21" ht="16" customHeight="1" x14ac:dyDescent="0.2">
      <c r="B37" s="627" t="s">
        <v>545</v>
      </c>
      <c r="C37" s="628"/>
      <c r="D37" s="628"/>
      <c r="E37" s="629">
        <f>SUM(E36)</f>
        <v>1133974.8999999999</v>
      </c>
      <c r="F37" s="630">
        <f>SUM(F36)</f>
        <v>410068.80000000005</v>
      </c>
      <c r="G37" s="630">
        <f t="shared" ref="G37:H37" si="6">SUM(G36)</f>
        <v>134937</v>
      </c>
      <c r="H37" s="631">
        <f t="shared" si="6"/>
        <v>588969.09999999986</v>
      </c>
      <c r="J37" s="624"/>
      <c r="L37" s="608" t="s">
        <v>261</v>
      </c>
      <c r="M37" s="609"/>
      <c r="N37" s="609"/>
      <c r="O37" s="609"/>
      <c r="P37" s="609"/>
      <c r="Q37" s="609"/>
      <c r="R37" s="609"/>
      <c r="S37" s="609"/>
      <c r="T37" s="609"/>
      <c r="U37" s="610"/>
    </row>
    <row r="38" spans="2:21" ht="16" customHeight="1" x14ac:dyDescent="0.2">
      <c r="B38" s="602" t="s">
        <v>697</v>
      </c>
      <c r="C38" s="577"/>
      <c r="D38" s="577"/>
      <c r="E38" s="595"/>
      <c r="F38" s="577"/>
      <c r="G38" s="577"/>
      <c r="H38" s="578"/>
      <c r="J38" s="624"/>
      <c r="L38" s="616" t="s">
        <v>748</v>
      </c>
      <c r="M38" s="609"/>
      <c r="N38" s="609"/>
      <c r="O38" s="609"/>
      <c r="P38" s="617">
        <f>'Loan Sizing'!F59</f>
        <v>5.5E-2</v>
      </c>
      <c r="Q38" s="617"/>
      <c r="R38" s="617">
        <f>'Loan Sizing'!G59</f>
        <v>5.5E-2</v>
      </c>
      <c r="S38" s="617"/>
      <c r="T38" s="617">
        <f>'Loan Sizing'!H59</f>
        <v>5.5E-2</v>
      </c>
      <c r="U38" s="618"/>
    </row>
    <row r="39" spans="2:21" ht="16" customHeight="1" x14ac:dyDescent="0.2">
      <c r="B39" s="604" t="s">
        <v>751</v>
      </c>
      <c r="C39" s="577"/>
      <c r="D39" s="605"/>
      <c r="E39" s="595">
        <f>SUM(F39:H39)</f>
        <v>234630.00000199999</v>
      </c>
      <c r="F39" s="596">
        <f>'Assumptions and Sensis'!N233</f>
        <v>9.9999999999999995E-7</v>
      </c>
      <c r="G39" s="596">
        <f>'Assumptions and Sensis'!O233</f>
        <v>9.9999999999999995E-7</v>
      </c>
      <c r="H39" s="603">
        <f>'Assumptions and Sensis'!P233</f>
        <v>234630</v>
      </c>
      <c r="J39" s="624"/>
      <c r="L39" s="616" t="s">
        <v>764</v>
      </c>
      <c r="M39" s="609"/>
      <c r="N39" s="609"/>
      <c r="O39" s="609"/>
      <c r="P39" s="619">
        <f ca="1">'Loan Sizing'!F54</f>
        <v>1.1280000000000002E-5</v>
      </c>
      <c r="Q39" s="619"/>
      <c r="R39" s="619">
        <f ca="1">'Loan Sizing'!G54</f>
        <v>1.1735712E-5</v>
      </c>
      <c r="S39" s="619"/>
      <c r="T39" s="619">
        <f ca="1">'Loan Sizing'!H54</f>
        <v>2864793.5308650248</v>
      </c>
      <c r="U39" s="620"/>
    </row>
    <row r="40" spans="2:21" ht="16" customHeight="1" x14ac:dyDescent="0.2">
      <c r="B40" s="627" t="s">
        <v>545</v>
      </c>
      <c r="C40" s="628"/>
      <c r="D40" s="628"/>
      <c r="E40" s="629">
        <f>SUM(E39:E39)</f>
        <v>234630.00000199999</v>
      </c>
      <c r="F40" s="630">
        <f>SUM(F39:F39)</f>
        <v>9.9999999999999995E-7</v>
      </c>
      <c r="G40" s="630">
        <f>SUM(G39:G39)</f>
        <v>9.9999999999999995E-7</v>
      </c>
      <c r="H40" s="631">
        <f>SUM(H39:H39)</f>
        <v>234630</v>
      </c>
      <c r="J40" s="626"/>
      <c r="L40" s="616" t="s">
        <v>763</v>
      </c>
      <c r="M40" s="609"/>
      <c r="N40" s="609"/>
      <c r="O40" s="609"/>
      <c r="P40" s="619">
        <f ca="1">'Loan Sizing'!F49</f>
        <v>2.0509090909090914E-4</v>
      </c>
      <c r="Q40" s="619"/>
      <c r="R40" s="619">
        <f ca="1">'Loan Sizing'!G49</f>
        <v>2.1337658181818181E-4</v>
      </c>
      <c r="S40" s="619"/>
      <c r="T40" s="619">
        <f ca="1">'Loan Sizing'!H49</f>
        <v>52087155.106636815</v>
      </c>
      <c r="U40" s="620"/>
    </row>
    <row r="41" spans="2:21" ht="16" customHeight="1" x14ac:dyDescent="0.2">
      <c r="J41" s="624"/>
      <c r="L41" s="616" t="s">
        <v>693</v>
      </c>
      <c r="M41" s="609"/>
      <c r="N41" s="609"/>
      <c r="O41" s="609"/>
      <c r="P41" s="621">
        <f>'Loan Sizing'!F51</f>
        <v>0.75</v>
      </c>
      <c r="Q41" s="621"/>
      <c r="R41" s="621">
        <f>'Loan Sizing'!G51</f>
        <v>0.75</v>
      </c>
      <c r="S41" s="621"/>
      <c r="T41" s="621">
        <f>'Loan Sizing'!H51</f>
        <v>0.75</v>
      </c>
      <c r="U41" s="622"/>
    </row>
    <row r="42" spans="2:21" ht="16" customHeight="1" x14ac:dyDescent="0.2">
      <c r="B42" s="561" t="s">
        <v>698</v>
      </c>
      <c r="C42" s="562"/>
      <c r="D42" s="1039" t="s">
        <v>699</v>
      </c>
      <c r="E42" s="562"/>
      <c r="F42" s="1037" t="s">
        <v>242</v>
      </c>
      <c r="G42" s="1037"/>
      <c r="H42" s="1038"/>
      <c r="J42" s="624"/>
      <c r="L42" s="616" t="s">
        <v>694</v>
      </c>
      <c r="M42" s="609"/>
      <c r="N42" s="609"/>
      <c r="O42" s="609"/>
      <c r="P42" s="619">
        <f ca="1">'Loan Sizing'!F52</f>
        <v>1.5381818181818186E-4</v>
      </c>
      <c r="Q42" s="619"/>
      <c r="R42" s="619">
        <f ca="1">'Loan Sizing'!G52</f>
        <v>1.6003243636363636E-4</v>
      </c>
      <c r="S42" s="619"/>
      <c r="T42" s="619">
        <f ca="1">'Loan Sizing'!H52</f>
        <v>39065366.329977609</v>
      </c>
      <c r="U42" s="620"/>
    </row>
    <row r="43" spans="2:21" ht="16" customHeight="1" x14ac:dyDescent="0.2">
      <c r="B43" s="566"/>
      <c r="C43" s="567"/>
      <c r="D43" s="1040"/>
      <c r="E43" s="598" t="s">
        <v>17</v>
      </c>
      <c r="F43" s="598" t="s">
        <v>202</v>
      </c>
      <c r="G43" s="598" t="s">
        <v>240</v>
      </c>
      <c r="H43" s="599" t="s">
        <v>241</v>
      </c>
      <c r="J43" s="624"/>
      <c r="L43" s="616" t="s">
        <v>196</v>
      </c>
      <c r="M43" s="609"/>
      <c r="N43" s="609"/>
      <c r="O43" s="609"/>
      <c r="P43" s="731">
        <f>'Loan Sizing'!F56</f>
        <v>1.3</v>
      </c>
      <c r="Q43" s="731"/>
      <c r="R43" s="731">
        <f>'Loan Sizing'!G56</f>
        <v>1.3</v>
      </c>
      <c r="S43" s="731"/>
      <c r="T43" s="731">
        <f>'Loan Sizing'!H56</f>
        <v>1.3</v>
      </c>
      <c r="U43" s="610"/>
    </row>
    <row r="44" spans="2:21" ht="16" customHeight="1" x14ac:dyDescent="0.2">
      <c r="B44" s="602" t="s">
        <v>700</v>
      </c>
      <c r="C44" s="577"/>
      <c r="D44" s="577"/>
      <c r="E44" s="595"/>
      <c r="F44" s="577"/>
      <c r="G44" s="577"/>
      <c r="H44" s="578"/>
      <c r="J44" s="624"/>
      <c r="L44" s="616" t="s">
        <v>695</v>
      </c>
      <c r="M44" s="609"/>
      <c r="N44" s="609"/>
      <c r="O44" s="609"/>
      <c r="P44" s="619">
        <f ca="1">'Loan Sizing'!F60</f>
        <v>1.5776223776223778E-4</v>
      </c>
      <c r="Q44" s="619"/>
      <c r="R44" s="619">
        <f ca="1">'Loan Sizing'!G60</f>
        <v>1.6413583216783213E-4</v>
      </c>
      <c r="S44" s="619"/>
      <c r="T44" s="619">
        <f ca="1">'Loan Sizing'!H60</f>
        <v>40067042.389720626</v>
      </c>
      <c r="U44" s="620"/>
    </row>
    <row r="45" spans="2:21" ht="16" customHeight="1" x14ac:dyDescent="0.2">
      <c r="B45" s="604" t="s">
        <v>722</v>
      </c>
      <c r="C45" s="577"/>
      <c r="D45" s="605">
        <f>'Assumptions and Sensis'!E123</f>
        <v>450</v>
      </c>
      <c r="E45" s="595">
        <f>SUM(F45:H45)</f>
        <v>346.80700000000007</v>
      </c>
      <c r="F45" s="596">
        <f>'Assumptions and Sensis'!$F$122</f>
        <v>346.80700000000007</v>
      </c>
      <c r="G45" s="596">
        <v>0</v>
      </c>
      <c r="H45" s="603">
        <v>0</v>
      </c>
      <c r="J45" s="624"/>
      <c r="L45" s="616"/>
      <c r="M45" s="609"/>
      <c r="N45" s="609"/>
      <c r="O45" s="609"/>
      <c r="P45" s="619"/>
      <c r="Q45" s="619"/>
      <c r="R45" s="619"/>
      <c r="S45" s="619"/>
      <c r="T45" s="619"/>
      <c r="U45" s="620"/>
    </row>
    <row r="46" spans="2:21" ht="16" customHeight="1" x14ac:dyDescent="0.2">
      <c r="B46" s="604" t="s">
        <v>723</v>
      </c>
      <c r="C46" s="577"/>
      <c r="D46" s="605">
        <f>+D45</f>
        <v>450</v>
      </c>
      <c r="E46" s="595">
        <f>SUM(F46:H46)</f>
        <v>231.88266666666669</v>
      </c>
      <c r="F46" s="596">
        <v>0</v>
      </c>
      <c r="G46" s="596">
        <f>'Assumptions and Sensis'!$G$122</f>
        <v>231.88266666666669</v>
      </c>
      <c r="H46" s="603">
        <v>0</v>
      </c>
      <c r="J46" s="624"/>
      <c r="L46" s="608" t="s">
        <v>720</v>
      </c>
      <c r="M46" s="577"/>
      <c r="N46" s="577"/>
      <c r="O46" s="577"/>
      <c r="P46" s="633">
        <f ca="1">'Phase I Pro Forma'!D300</f>
        <v>239796126.33825794</v>
      </c>
      <c r="Q46" s="633"/>
      <c r="R46" s="633">
        <f ca="1">'Phase II Pro Forma'!D300</f>
        <v>133051409.60886553</v>
      </c>
      <c r="S46" s="633"/>
      <c r="T46" s="633">
        <f ca="1">'Phase III Pro Forma'!D300</f>
        <v>238496538.80234998</v>
      </c>
      <c r="U46" s="634"/>
    </row>
    <row r="47" spans="2:21" ht="16" customHeight="1" x14ac:dyDescent="0.2">
      <c r="B47" s="604" t="s">
        <v>724</v>
      </c>
      <c r="C47" s="577"/>
      <c r="D47" s="605">
        <f>+D45</f>
        <v>450</v>
      </c>
      <c r="E47" s="595">
        <f>SUM(F47:H47)</f>
        <v>37.277688888888889</v>
      </c>
      <c r="F47" s="596">
        <v>0</v>
      </c>
      <c r="G47" s="596">
        <v>0</v>
      </c>
      <c r="H47" s="603">
        <f>'Assumptions and Sensis'!$H$122</f>
        <v>37.277688888888889</v>
      </c>
      <c r="J47" s="624"/>
      <c r="L47" s="608" t="s">
        <v>719</v>
      </c>
      <c r="M47" s="577"/>
      <c r="N47" s="577"/>
      <c r="O47" s="577"/>
      <c r="P47" s="633">
        <f ca="1">'Loan Sizing'!F66</f>
        <v>274767695.25563228</v>
      </c>
      <c r="Q47" s="633"/>
      <c r="R47" s="633">
        <f ca="1">'Loan Sizing'!G66</f>
        <v>157724099.92887318</v>
      </c>
      <c r="S47" s="633"/>
      <c r="T47" s="633">
        <f ca="1">'Loan Sizing'!H66</f>
        <v>282834393.54679292</v>
      </c>
      <c r="U47" s="634"/>
    </row>
    <row r="48" spans="2:21" ht="16" customHeight="1" x14ac:dyDescent="0.2">
      <c r="B48" s="627" t="s">
        <v>545</v>
      </c>
      <c r="C48" s="628"/>
      <c r="D48" s="628"/>
      <c r="E48" s="629">
        <f>SUM(E45:E47)</f>
        <v>615.96735555555563</v>
      </c>
      <c r="F48" s="630">
        <f t="shared" ref="F48:H48" si="7">SUM(F45:F47)</f>
        <v>346.80700000000007</v>
      </c>
      <c r="G48" s="630">
        <f t="shared" si="7"/>
        <v>231.88266666666669</v>
      </c>
      <c r="H48" s="631">
        <f t="shared" si="7"/>
        <v>37.277688888888889</v>
      </c>
      <c r="J48" s="624"/>
      <c r="L48" s="635" t="s">
        <v>721</v>
      </c>
      <c r="M48" s="636"/>
      <c r="N48" s="636"/>
      <c r="O48" s="636"/>
      <c r="P48" s="637">
        <f ca="1">'Phase I Pro Forma'!J280</f>
        <v>20021624.698411778</v>
      </c>
      <c r="Q48" s="637"/>
      <c r="R48" s="637">
        <f ca="1">'Phase II Pro Forma'!J280</f>
        <v>11438333.50598431</v>
      </c>
      <c r="S48" s="637"/>
      <c r="T48" s="637">
        <f ca="1">'Phase III Pro Forma'!J280</f>
        <v>20715160.605946351</v>
      </c>
      <c r="U48" s="638"/>
    </row>
    <row r="49" spans="2:21" ht="16" customHeight="1" x14ac:dyDescent="0.15">
      <c r="B49" s="602" t="s">
        <v>703</v>
      </c>
      <c r="C49" s="577"/>
      <c r="D49" s="577"/>
      <c r="E49" s="595"/>
      <c r="F49" s="577"/>
      <c r="G49" s="577"/>
      <c r="H49" s="578"/>
      <c r="J49" s="626"/>
    </row>
    <row r="50" spans="2:21" ht="16" customHeight="1" x14ac:dyDescent="0.2">
      <c r="B50" s="604" t="str">
        <f>'Assumptions and Sensis'!B171</f>
        <v>Sports Museum and Community Sports Center</v>
      </c>
      <c r="C50" s="577"/>
      <c r="D50" s="605"/>
      <c r="E50" s="595">
        <f t="shared" ref="E50:E52" si="8">SUM(F50:H50)</f>
        <v>60000.000099999997</v>
      </c>
      <c r="F50" s="596">
        <f>'Assumptions and Sensis'!F172</f>
        <v>60000</v>
      </c>
      <c r="G50" s="596">
        <f>'Assumptions and Sensis'!G172</f>
        <v>1E-4</v>
      </c>
      <c r="H50" s="603">
        <f>'Assumptions and Sensis'!H172</f>
        <v>0</v>
      </c>
      <c r="J50" s="624"/>
      <c r="L50" s="561" t="s">
        <v>701</v>
      </c>
      <c r="M50" s="562"/>
      <c r="N50" s="562"/>
      <c r="O50" s="562"/>
      <c r="P50" s="1037" t="s">
        <v>242</v>
      </c>
      <c r="Q50" s="1037"/>
      <c r="R50" s="1037"/>
      <c r="S50" s="1037"/>
      <c r="T50" s="1037"/>
      <c r="U50" s="565"/>
    </row>
    <row r="51" spans="2:21" ht="16" customHeight="1" x14ac:dyDescent="0.2">
      <c r="B51" s="604" t="str">
        <f>'Assumptions and Sensis'!B175</f>
        <v>STEM Charter School</v>
      </c>
      <c r="C51" s="577"/>
      <c r="D51" s="605"/>
      <c r="E51" s="595">
        <f t="shared" si="8"/>
        <v>78210</v>
      </c>
      <c r="F51" s="596">
        <f>'Assumptions and Sensis'!F176</f>
        <v>0</v>
      </c>
      <c r="G51" s="596">
        <f>'Assumptions and Sensis'!G176</f>
        <v>0</v>
      </c>
      <c r="H51" s="603">
        <f>'Assumptions and Sensis'!H176</f>
        <v>78210</v>
      </c>
      <c r="J51" s="624"/>
      <c r="L51" s="639"/>
      <c r="M51" s="640"/>
      <c r="N51" s="640"/>
      <c r="O51" s="641" t="s">
        <v>17</v>
      </c>
      <c r="P51" s="641" t="s">
        <v>202</v>
      </c>
      <c r="Q51" s="641" t="s">
        <v>702</v>
      </c>
      <c r="R51" s="641" t="s">
        <v>240</v>
      </c>
      <c r="S51" s="641" t="s">
        <v>702</v>
      </c>
      <c r="T51" s="641" t="s">
        <v>241</v>
      </c>
      <c r="U51" s="642" t="s">
        <v>702</v>
      </c>
    </row>
    <row r="52" spans="2:21" ht="16" customHeight="1" x14ac:dyDescent="0.15">
      <c r="B52" s="604" t="str">
        <f>'Assumptions and Sensis'!B179</f>
        <v>Test Kitchen</v>
      </c>
      <c r="C52" s="577"/>
      <c r="D52" s="605"/>
      <c r="E52" s="595">
        <f t="shared" si="8"/>
        <v>19125</v>
      </c>
      <c r="F52" s="596">
        <f>'Assumptions and Sensis'!F180</f>
        <v>19125</v>
      </c>
      <c r="G52" s="596">
        <f>'Assumptions and Sensis'!G180</f>
        <v>0</v>
      </c>
      <c r="H52" s="603">
        <f>'Assumptions and Sensis'!H180</f>
        <v>0</v>
      </c>
      <c r="J52" s="624"/>
      <c r="L52" s="602" t="s">
        <v>704</v>
      </c>
      <c r="M52" s="579"/>
      <c r="N52" s="579"/>
      <c r="O52" s="579"/>
      <c r="P52" s="579"/>
      <c r="Q52" s="579"/>
      <c r="R52" s="579"/>
      <c r="S52" s="579"/>
      <c r="T52" s="579"/>
      <c r="U52" s="597"/>
    </row>
    <row r="53" spans="2:21" ht="16" customHeight="1" x14ac:dyDescent="0.15">
      <c r="B53" s="627" t="s">
        <v>545</v>
      </c>
      <c r="C53" s="628"/>
      <c r="D53" s="628"/>
      <c r="E53" s="629">
        <f>SUM(E50:E52)</f>
        <v>157335.0001</v>
      </c>
      <c r="F53" s="630">
        <f>SUM(F50:F52)</f>
        <v>79125</v>
      </c>
      <c r="G53" s="630">
        <f t="shared" ref="G53:H53" si="9">SUM(G50:G52)</f>
        <v>1E-4</v>
      </c>
      <c r="H53" s="631">
        <f t="shared" si="9"/>
        <v>78210</v>
      </c>
      <c r="J53" s="624"/>
      <c r="L53" s="643" t="s">
        <v>705</v>
      </c>
      <c r="M53" s="563"/>
      <c r="N53" s="563"/>
      <c r="O53" s="626"/>
      <c r="P53" s="626"/>
      <c r="Q53" s="626"/>
      <c r="R53" s="596"/>
      <c r="S53" s="596"/>
      <c r="T53" s="596"/>
      <c r="U53" s="603"/>
    </row>
    <row r="54" spans="2:21" ht="16" customHeight="1" x14ac:dyDescent="0.15">
      <c r="B54" s="602" t="s">
        <v>707</v>
      </c>
      <c r="C54" s="577"/>
      <c r="D54" s="577"/>
      <c r="E54" s="595"/>
      <c r="F54" s="577"/>
      <c r="G54" s="577"/>
      <c r="H54" s="578"/>
      <c r="J54" s="624"/>
      <c r="L54" s="604" t="s">
        <v>626</v>
      </c>
      <c r="M54" s="563"/>
      <c r="N54" s="563"/>
      <c r="O54" s="644">
        <f t="shared" ref="O54:O64" ca="1" si="10">SUM(P54:T54)</f>
        <v>126144276.00543645</v>
      </c>
      <c r="P54" s="644">
        <f ca="1">'S&amp;U'!H3</f>
        <v>51505114.619219258</v>
      </c>
      <c r="Q54" s="645">
        <f ca="1">P54/P$55</f>
        <v>1</v>
      </c>
      <c r="R54" s="644">
        <f ca="1">'S&amp;U'!I3</f>
        <v>18873780.060831025</v>
      </c>
      <c r="S54" s="645">
        <f ca="1">R54/R$55</f>
        <v>1</v>
      </c>
      <c r="T54" s="644">
        <f ca="1">'S&amp;U'!J3</f>
        <v>55765379.325386167</v>
      </c>
      <c r="U54" s="646">
        <f ca="1">T54/T$55</f>
        <v>1</v>
      </c>
    </row>
    <row r="55" spans="2:21" ht="16" customHeight="1" x14ac:dyDescent="0.15">
      <c r="B55" s="604" t="s">
        <v>210</v>
      </c>
      <c r="C55" s="577"/>
      <c r="D55" s="605">
        <f>'Assumptions and Sensis'!F208</f>
        <v>330</v>
      </c>
      <c r="E55" s="595">
        <f>SUM(F55:H55)</f>
        <v>718.18181818181824</v>
      </c>
      <c r="F55" s="596">
        <f>'Assumptions and Sensis'!F207</f>
        <v>251.5151515151515</v>
      </c>
      <c r="G55" s="596">
        <f>'Assumptions and Sensis'!G207</f>
        <v>321.21212121212119</v>
      </c>
      <c r="H55" s="603">
        <f>'Assumptions and Sensis'!H207</f>
        <v>145.45454545454547</v>
      </c>
      <c r="J55" s="624"/>
      <c r="L55" s="735" t="s">
        <v>96</v>
      </c>
      <c r="M55" s="736"/>
      <c r="N55" s="736"/>
      <c r="O55" s="737">
        <f t="shared" ca="1" si="10"/>
        <v>126144274.00543645</v>
      </c>
      <c r="P55" s="737">
        <f ca="1">'S&amp;U'!H4</f>
        <v>51505114.619219258</v>
      </c>
      <c r="Q55" s="738"/>
      <c r="R55" s="737">
        <f ca="1">'S&amp;U'!I4</f>
        <v>18873780.060831025</v>
      </c>
      <c r="S55" s="738"/>
      <c r="T55" s="737">
        <f ca="1">'S&amp;U'!J4</f>
        <v>55765379.325386167</v>
      </c>
      <c r="U55" s="739"/>
    </row>
    <row r="56" spans="2:21" ht="16" customHeight="1" x14ac:dyDescent="0.15">
      <c r="B56" s="604" t="s">
        <v>28</v>
      </c>
      <c r="C56" s="577"/>
      <c r="D56" s="605">
        <f>'Assumptions and Sensis'!F222</f>
        <v>330</v>
      </c>
      <c r="E56" s="595">
        <f>SUM(F56:H56)</f>
        <v>454.54545454545456</v>
      </c>
      <c r="F56" s="596">
        <f>'Assumptions and Sensis'!F221</f>
        <v>0</v>
      </c>
      <c r="G56" s="596">
        <f>'Assumptions and Sensis'!G221</f>
        <v>0</v>
      </c>
      <c r="H56" s="603">
        <f>'Assumptions and Sensis'!H221</f>
        <v>454.54545454545456</v>
      </c>
      <c r="J56" s="624"/>
      <c r="L56" s="643" t="s">
        <v>706</v>
      </c>
      <c r="M56" s="563"/>
      <c r="N56" s="563"/>
      <c r="O56" s="644"/>
      <c r="P56" s="649"/>
      <c r="Q56" s="650"/>
      <c r="R56" s="649"/>
      <c r="S56" s="650"/>
      <c r="T56" s="649"/>
      <c r="U56" s="651"/>
    </row>
    <row r="57" spans="2:21" ht="16" customHeight="1" x14ac:dyDescent="0.15">
      <c r="B57" s="627" t="s">
        <v>545</v>
      </c>
      <c r="C57" s="628"/>
      <c r="D57" s="628"/>
      <c r="E57" s="629">
        <f>SUM(E55:E56)</f>
        <v>1172.7272727272727</v>
      </c>
      <c r="F57" s="630">
        <f>SUM(F55:F56)</f>
        <v>251.5151515151515</v>
      </c>
      <c r="G57" s="630">
        <f t="shared" ref="G57:H57" si="11">SUM(G55:G56)</f>
        <v>321.21212121212119</v>
      </c>
      <c r="H57" s="631">
        <f t="shared" si="11"/>
        <v>600</v>
      </c>
      <c r="J57" s="624"/>
      <c r="L57" s="604" t="s">
        <v>61</v>
      </c>
      <c r="M57" s="563"/>
      <c r="N57" s="563"/>
      <c r="O57" s="644">
        <f t="shared" ca="1" si="10"/>
        <v>16840711.284505174</v>
      </c>
      <c r="P57" s="644">
        <f>'S&amp;U'!H7</f>
        <v>6900151</v>
      </c>
      <c r="Q57" s="645">
        <f t="shared" ref="Q57:Q63" ca="1" si="12">P57/P$64</f>
        <v>0.13397020958041306</v>
      </c>
      <c r="R57" s="644">
        <f>'S&amp;U'!I7</f>
        <v>818973.10714285716</v>
      </c>
      <c r="S57" s="645">
        <f t="shared" ref="S57:S63" ca="1" si="13">R57/R$64</f>
        <v>4.3392108231804692E-2</v>
      </c>
      <c r="T57" s="644">
        <f>'S&amp;U'!J7</f>
        <v>9121587</v>
      </c>
      <c r="U57" s="646">
        <f t="shared" ref="U57:U63" ca="1" si="14">T57/T$64</f>
        <v>0.16357078729396474</v>
      </c>
    </row>
    <row r="58" spans="2:21" ht="16" customHeight="1" x14ac:dyDescent="0.15">
      <c r="B58" s="732"/>
      <c r="J58" s="632"/>
      <c r="L58" s="604" t="s">
        <v>8</v>
      </c>
      <c r="M58" s="563"/>
      <c r="N58" s="563"/>
      <c r="O58" s="644">
        <f t="shared" ca="1" si="10"/>
        <v>74895537.294927478</v>
      </c>
      <c r="P58" s="644">
        <f>'S&amp;U'!H8</f>
        <v>31353547.897872344</v>
      </c>
      <c r="Q58" s="645">
        <f t="shared" ca="1" si="12"/>
        <v>0.60874629888062981</v>
      </c>
      <c r="R58" s="644">
        <f>'S&amp;U'!I8</f>
        <v>10461100</v>
      </c>
      <c r="S58" s="645">
        <f t="shared" ca="1" si="13"/>
        <v>0.55426628721344706</v>
      </c>
      <c r="T58" s="644">
        <f>'S&amp;U'!J8</f>
        <v>33080888.234042555</v>
      </c>
      <c r="U58" s="646">
        <f t="shared" ca="1" si="14"/>
        <v>0.59321551532929473</v>
      </c>
    </row>
    <row r="59" spans="2:21" ht="16" customHeight="1" x14ac:dyDescent="0.2">
      <c r="B59" s="561" t="s">
        <v>708</v>
      </c>
      <c r="C59" s="562"/>
      <c r="D59" s="836" t="s">
        <v>926</v>
      </c>
      <c r="E59" s="1037" t="s">
        <v>709</v>
      </c>
      <c r="F59" s="1037"/>
      <c r="G59" s="652" t="s">
        <v>710</v>
      </c>
      <c r="H59" s="565" t="s">
        <v>116</v>
      </c>
      <c r="J59" s="626"/>
      <c r="L59" s="604" t="s">
        <v>362</v>
      </c>
      <c r="M59" s="579"/>
      <c r="N59" s="579"/>
      <c r="O59" s="644">
        <f t="shared" ca="1" si="10"/>
        <v>160000.00310648759</v>
      </c>
      <c r="P59" s="644">
        <f>'S&amp;U'!H9</f>
        <v>160000</v>
      </c>
      <c r="Q59" s="645">
        <f t="shared" ca="1" si="12"/>
        <v>3.1064876019185794E-3</v>
      </c>
      <c r="R59" s="644">
        <f>'S&amp;U'!I9</f>
        <v>0</v>
      </c>
      <c r="S59" s="645">
        <f t="shared" ca="1" si="13"/>
        <v>0</v>
      </c>
      <c r="T59" s="644">
        <f>'S&amp;U'!J9</f>
        <v>0</v>
      </c>
      <c r="U59" s="646">
        <f t="shared" ca="1" si="14"/>
        <v>0</v>
      </c>
    </row>
    <row r="60" spans="2:21" ht="16" customHeight="1" x14ac:dyDescent="0.2">
      <c r="B60" s="639"/>
      <c r="C60" s="640"/>
      <c r="D60" s="653" t="s">
        <v>924</v>
      </c>
      <c r="E60" s="654" t="s">
        <v>121</v>
      </c>
      <c r="F60" s="654" t="s">
        <v>119</v>
      </c>
      <c r="G60" s="654" t="s">
        <v>711</v>
      </c>
      <c r="H60" s="655" t="s">
        <v>712</v>
      </c>
      <c r="J60" s="624"/>
      <c r="L60" s="604" t="s">
        <v>58</v>
      </c>
      <c r="M60" s="579"/>
      <c r="N60" s="579"/>
      <c r="O60" s="644">
        <f t="shared" ca="1" si="10"/>
        <v>34248027.422897302</v>
      </c>
      <c r="P60" s="644">
        <f ca="1">'S&amp;U'!H10</f>
        <v>13091415.721346911</v>
      </c>
      <c r="Q60" s="645">
        <f t="shared" ca="1" si="12"/>
        <v>0.25417700393703846</v>
      </c>
      <c r="R60" s="644">
        <f ca="1">'S&amp;U'!I10</f>
        <v>7593706.953688167</v>
      </c>
      <c r="S60" s="645">
        <f t="shared" ca="1" si="13"/>
        <v>0.40234160455474816</v>
      </c>
      <c r="T60" s="644">
        <f ca="1">'S&amp;U'!J10</f>
        <v>13562904.091343613</v>
      </c>
      <c r="U60" s="646">
        <f t="shared" ca="1" si="14"/>
        <v>0.24321369737674051</v>
      </c>
    </row>
    <row r="61" spans="2:21" ht="16" customHeight="1" x14ac:dyDescent="0.15">
      <c r="B61" s="656" t="s">
        <v>922</v>
      </c>
      <c r="C61" s="657"/>
      <c r="D61" s="657"/>
      <c r="E61" s="657"/>
      <c r="F61" s="657"/>
      <c r="G61" s="657"/>
      <c r="H61" s="658"/>
      <c r="J61" s="624"/>
      <c r="L61" s="604" t="s">
        <v>80</v>
      </c>
      <c r="M61" s="579"/>
      <c r="N61" s="579"/>
      <c r="O61" s="644">
        <f t="shared" ca="1" si="10"/>
        <v>0</v>
      </c>
      <c r="P61" s="644">
        <f>'S&amp;U'!H11</f>
        <v>0</v>
      </c>
      <c r="Q61" s="645">
        <f t="shared" ca="1" si="12"/>
        <v>0</v>
      </c>
      <c r="R61" s="644">
        <f>'S&amp;U'!I11</f>
        <v>0</v>
      </c>
      <c r="S61" s="645">
        <f t="shared" ca="1" si="13"/>
        <v>0</v>
      </c>
      <c r="T61" s="644">
        <f>'S&amp;U'!J11</f>
        <v>0</v>
      </c>
      <c r="U61" s="646">
        <f t="shared" ca="1" si="14"/>
        <v>0</v>
      </c>
    </row>
    <row r="62" spans="2:21" ht="16" customHeight="1" x14ac:dyDescent="0.2">
      <c r="B62" s="659" t="s">
        <v>115</v>
      </c>
      <c r="C62" s="577"/>
      <c r="D62" s="660">
        <f>+'Assumptions and Sensis'!F84</f>
        <v>1646.4</v>
      </c>
      <c r="E62" s="660">
        <f>'Assumptions and Sensis'!F88</f>
        <v>1450</v>
      </c>
      <c r="F62" s="740">
        <f>'Assumptions and Sensis'!F87</f>
        <v>31.636363636363637</v>
      </c>
      <c r="G62" s="661">
        <f>'Assumptions and Sensis'!$M$86</f>
        <v>0.03</v>
      </c>
      <c r="H62" s="662">
        <f>'Assumptions and Sensis'!$M$76</f>
        <v>0.05</v>
      </c>
      <c r="J62" s="624"/>
      <c r="L62" s="604" t="s">
        <v>83</v>
      </c>
      <c r="M62" s="579"/>
      <c r="N62" s="579"/>
      <c r="O62" s="644">
        <f t="shared" ca="1" si="10"/>
        <v>0</v>
      </c>
      <c r="P62" s="644">
        <f>'S&amp;U'!H12</f>
        <v>0</v>
      </c>
      <c r="Q62" s="645">
        <f t="shared" ca="1" si="12"/>
        <v>0</v>
      </c>
      <c r="R62" s="644">
        <f>'S&amp;U'!I12</f>
        <v>0</v>
      </c>
      <c r="S62" s="645">
        <f t="shared" ca="1" si="13"/>
        <v>0</v>
      </c>
      <c r="T62" s="644">
        <f>'S&amp;U'!J12</f>
        <v>0</v>
      </c>
      <c r="U62" s="646">
        <f t="shared" ca="1" si="14"/>
        <v>0</v>
      </c>
    </row>
    <row r="63" spans="2:21" ht="16" customHeight="1" x14ac:dyDescent="0.2">
      <c r="B63" s="659" t="s">
        <v>123</v>
      </c>
      <c r="C63" s="577"/>
      <c r="D63" s="660">
        <f>+'Assumptions and Sensis'!F91</f>
        <v>1764</v>
      </c>
      <c r="E63" s="660">
        <f>'Assumptions and Sensis'!F95</f>
        <v>1700</v>
      </c>
      <c r="F63" s="740">
        <f>'Assumptions and Sensis'!F94</f>
        <v>27.2</v>
      </c>
      <c r="G63" s="661">
        <f>'Assumptions and Sensis'!$M$86</f>
        <v>0.03</v>
      </c>
      <c r="H63" s="662">
        <f>'Assumptions and Sensis'!$M$76</f>
        <v>0.05</v>
      </c>
      <c r="J63" s="624"/>
      <c r="L63" s="604" t="s">
        <v>60</v>
      </c>
      <c r="M63" s="577"/>
      <c r="N63" s="577"/>
      <c r="O63" s="644">
        <f t="shared" ca="1" si="10"/>
        <v>0</v>
      </c>
      <c r="P63" s="644">
        <f ca="1">'S&amp;U'!H13</f>
        <v>0</v>
      </c>
      <c r="Q63" s="645">
        <f t="shared" ca="1" si="12"/>
        <v>0</v>
      </c>
      <c r="R63" s="644">
        <f ca="1">'S&amp;U'!I13</f>
        <v>0</v>
      </c>
      <c r="S63" s="645">
        <f t="shared" ca="1" si="13"/>
        <v>0</v>
      </c>
      <c r="T63" s="644">
        <f ca="1">'S&amp;U'!J13</f>
        <v>0</v>
      </c>
      <c r="U63" s="646">
        <f t="shared" ca="1" si="14"/>
        <v>0</v>
      </c>
    </row>
    <row r="64" spans="2:21" ht="16" customHeight="1" x14ac:dyDescent="0.2">
      <c r="B64" s="659" t="s">
        <v>127</v>
      </c>
      <c r="C64" s="577"/>
      <c r="D64" s="660" t="s">
        <v>491</v>
      </c>
      <c r="E64" s="660">
        <f>'Assumptions and Sensis'!F99</f>
        <v>2400</v>
      </c>
      <c r="F64" s="740">
        <f>'Assumptions and Sensis'!F98</f>
        <v>26.181818181818183</v>
      </c>
      <c r="G64" s="661">
        <f>'Assumptions and Sensis'!$M$86</f>
        <v>0.03</v>
      </c>
      <c r="H64" s="662">
        <f>'Assumptions and Sensis'!$M$76</f>
        <v>0.05</v>
      </c>
      <c r="J64" s="624"/>
      <c r="L64" s="735" t="s">
        <v>97</v>
      </c>
      <c r="M64" s="736"/>
      <c r="N64" s="736"/>
      <c r="O64" s="737">
        <f t="shared" ca="1" si="10"/>
        <v>126144274.00543645</v>
      </c>
      <c r="P64" s="737">
        <f ca="1">'S&amp;U'!H14</f>
        <v>51505114.619219258</v>
      </c>
      <c r="Q64" s="738"/>
      <c r="R64" s="737">
        <f ca="1">'S&amp;U'!I14</f>
        <v>18873780.060831025</v>
      </c>
      <c r="S64" s="738"/>
      <c r="T64" s="737">
        <f ca="1">'S&amp;U'!J14</f>
        <v>55765379.325386167</v>
      </c>
      <c r="U64" s="739"/>
    </row>
    <row r="65" spans="2:21" ht="16" customHeight="1" x14ac:dyDescent="0.2">
      <c r="B65" s="659" t="s">
        <v>131</v>
      </c>
      <c r="C65" s="577"/>
      <c r="D65" s="660" t="s">
        <v>491</v>
      </c>
      <c r="E65" s="660">
        <f>'Assumptions and Sensis'!F103</f>
        <v>3200</v>
      </c>
      <c r="F65" s="740">
        <f>'Assumptions and Sensis'!F102</f>
        <v>25.6</v>
      </c>
      <c r="G65" s="661">
        <f>'Assumptions and Sensis'!$M$86</f>
        <v>0.03</v>
      </c>
      <c r="H65" s="662">
        <f>'Assumptions and Sensis'!$M$76</f>
        <v>0.05</v>
      </c>
      <c r="J65" s="624"/>
      <c r="L65" s="604"/>
      <c r="M65" s="563"/>
      <c r="N65" s="563"/>
      <c r="O65" s="644"/>
      <c r="P65" s="644"/>
      <c r="Q65" s="647"/>
      <c r="R65" s="644"/>
      <c r="S65" s="647"/>
      <c r="T65" s="644"/>
      <c r="U65" s="648"/>
    </row>
    <row r="66" spans="2:21" ht="16" customHeight="1" x14ac:dyDescent="0.2">
      <c r="B66" s="659" t="s">
        <v>372</v>
      </c>
      <c r="C66" s="577"/>
      <c r="D66" s="660" t="s">
        <v>491</v>
      </c>
      <c r="E66" s="660">
        <f>'Assumptions and Sensis'!F107</f>
        <v>4500</v>
      </c>
      <c r="F66" s="740">
        <f>'Assumptions and Sensis'!F106</f>
        <v>24.545454545454547</v>
      </c>
      <c r="G66" s="661">
        <f>'Assumptions and Sensis'!$M$86</f>
        <v>0.03</v>
      </c>
      <c r="H66" s="662">
        <f>'Assumptions and Sensis'!$M$76</f>
        <v>0.05</v>
      </c>
      <c r="J66" s="624"/>
      <c r="L66" s="608" t="s">
        <v>659</v>
      </c>
      <c r="M66" s="577"/>
      <c r="N66" s="577"/>
      <c r="O66" s="644"/>
      <c r="P66" s="663"/>
      <c r="Q66" s="664"/>
      <c r="R66" s="663"/>
      <c r="S66" s="664"/>
      <c r="T66" s="663"/>
      <c r="U66" s="665"/>
    </row>
    <row r="67" spans="2:21" ht="16" customHeight="1" x14ac:dyDescent="0.2">
      <c r="B67" s="627" t="s">
        <v>611</v>
      </c>
      <c r="C67" s="628"/>
      <c r="D67" s="666" t="s">
        <v>491</v>
      </c>
      <c r="E67" s="666">
        <f>'Assumptions and Sensis'!F113</f>
        <v>1756.4784053156145</v>
      </c>
      <c r="F67" s="741">
        <f>'Assumptions and Sensis'!F112</f>
        <v>28.83818181818182</v>
      </c>
      <c r="G67" s="666"/>
      <c r="H67" s="667"/>
      <c r="J67" s="624"/>
      <c r="L67" s="643" t="s">
        <v>705</v>
      </c>
      <c r="M67" s="577"/>
      <c r="N67" s="577"/>
      <c r="O67" s="644"/>
      <c r="P67" s="649"/>
      <c r="Q67" s="650"/>
      <c r="R67" s="649"/>
      <c r="S67" s="650"/>
      <c r="T67" s="649"/>
      <c r="U67" s="651"/>
    </row>
    <row r="68" spans="2:21" ht="16" customHeight="1" x14ac:dyDescent="0.2">
      <c r="B68" s="656" t="s">
        <v>752</v>
      </c>
      <c r="C68" s="657"/>
      <c r="D68" s="657"/>
      <c r="E68" s="668"/>
      <c r="F68" s="742"/>
      <c r="G68" s="668"/>
      <c r="H68" s="669"/>
      <c r="J68" s="624"/>
      <c r="L68" s="604" t="s">
        <v>330</v>
      </c>
      <c r="M68" s="577"/>
      <c r="N68" s="577"/>
      <c r="O68" s="644">
        <f t="shared" ref="O68:O75" ca="1" si="15">SUM(P68:T68)</f>
        <v>611344075.94947338</v>
      </c>
      <c r="P68" s="644">
        <f ca="1">'S&amp;U'!H17</f>
        <v>239796126.33825794</v>
      </c>
      <c r="Q68" s="645">
        <f t="shared" ref="Q68:Q74" ca="1" si="16">P68/P$75</f>
        <v>0.6</v>
      </c>
      <c r="R68" s="644">
        <f ca="1">'S&amp;U'!I17</f>
        <v>133051409.60886553</v>
      </c>
      <c r="S68" s="645">
        <f t="shared" ref="S68:S74" ca="1" si="17">R68/R$75</f>
        <v>0.6</v>
      </c>
      <c r="T68" s="644">
        <f ca="1">'S&amp;U'!J17</f>
        <v>238496538.80234998</v>
      </c>
      <c r="U68" s="646">
        <f t="shared" ref="U68:U74" ca="1" si="18">T68/T$75</f>
        <v>0.60000000000000009</v>
      </c>
    </row>
    <row r="69" spans="2:21" ht="16" customHeight="1" x14ac:dyDescent="0.2">
      <c r="B69" s="659" t="s">
        <v>115</v>
      </c>
      <c r="C69" s="577"/>
      <c r="D69" s="577"/>
      <c r="E69" s="660">
        <f>'Assumptions and Sensis'!F58</f>
        <v>686</v>
      </c>
      <c r="F69" s="740">
        <f>'Assumptions and Sensis'!F57</f>
        <v>14.967272727272727</v>
      </c>
      <c r="G69" s="661">
        <f>'Assumptions and Sensis'!$M$85</f>
        <v>0.02</v>
      </c>
      <c r="H69" s="662">
        <f>'Assumptions and Sensis'!$M$75</f>
        <v>0.03</v>
      </c>
      <c r="J69" s="624"/>
      <c r="L69" s="604" t="s">
        <v>98</v>
      </c>
      <c r="M69" s="577"/>
      <c r="N69" s="577"/>
      <c r="O69" s="644">
        <f t="shared" ca="1" si="15"/>
        <v>182048916.86898297</v>
      </c>
      <c r="P69" s="644">
        <f ca="1">'S&amp;U'!H18</f>
        <v>74189767.741794825</v>
      </c>
      <c r="Q69" s="645">
        <f t="shared" ca="1" si="16"/>
        <v>0.18563210892858775</v>
      </c>
      <c r="R69" s="644">
        <f ca="1">'S&amp;U'!I18</f>
        <v>43584912.158747993</v>
      </c>
      <c r="S69" s="645">
        <f t="shared" ca="1" si="17"/>
        <v>0.19654769064172542</v>
      </c>
      <c r="T69" s="644">
        <f ca="1">'S&amp;U'!J18</f>
        <v>64274236.586260393</v>
      </c>
      <c r="U69" s="646">
        <f t="shared" ca="1" si="18"/>
        <v>0.16169853929710887</v>
      </c>
    </row>
    <row r="70" spans="2:21" ht="16" customHeight="1" x14ac:dyDescent="0.2">
      <c r="B70" s="659" t="s">
        <v>123</v>
      </c>
      <c r="C70" s="577"/>
      <c r="D70" s="577"/>
      <c r="E70" s="660">
        <f>'Assumptions and Sensis'!F62</f>
        <v>735</v>
      </c>
      <c r="F70" s="740">
        <f>'Assumptions and Sensis'!F61</f>
        <v>11.76</v>
      </c>
      <c r="G70" s="661">
        <f>'Assumptions and Sensis'!$M$85</f>
        <v>0.02</v>
      </c>
      <c r="H70" s="662">
        <f>'Assumptions and Sensis'!$M$75</f>
        <v>0.03</v>
      </c>
      <c r="J70" s="626"/>
      <c r="L70" s="604" t="s">
        <v>326</v>
      </c>
      <c r="M70" s="577"/>
      <c r="N70" s="577"/>
      <c r="O70" s="644">
        <f t="shared" ca="1" si="15"/>
        <v>0</v>
      </c>
      <c r="P70" s="644">
        <f>'S&amp;U'!H19</f>
        <v>0</v>
      </c>
      <c r="Q70" s="645">
        <f t="shared" ca="1" si="16"/>
        <v>0</v>
      </c>
      <c r="R70" s="644">
        <f>'S&amp;U'!I19</f>
        <v>0</v>
      </c>
      <c r="S70" s="645">
        <f t="shared" ca="1" si="17"/>
        <v>0</v>
      </c>
      <c r="T70" s="644">
        <f>'S&amp;U'!J19</f>
        <v>0</v>
      </c>
      <c r="U70" s="646">
        <f t="shared" ca="1" si="18"/>
        <v>0</v>
      </c>
    </row>
    <row r="71" spans="2:21" ht="16" customHeight="1" x14ac:dyDescent="0.2">
      <c r="B71" s="659" t="s">
        <v>127</v>
      </c>
      <c r="C71" s="577"/>
      <c r="D71" s="577"/>
      <c r="E71" s="660">
        <f>'Assumptions and Sensis'!F66</f>
        <v>881</v>
      </c>
      <c r="F71" s="740">
        <f>'Assumptions and Sensis'!F65</f>
        <v>9.6109090909090913</v>
      </c>
      <c r="G71" s="661">
        <f>'Assumptions and Sensis'!$M$85</f>
        <v>0.02</v>
      </c>
      <c r="H71" s="662">
        <f>'Assumptions and Sensis'!$M$75</f>
        <v>0.03</v>
      </c>
      <c r="J71" s="624"/>
      <c r="L71" s="604" t="s">
        <v>615</v>
      </c>
      <c r="M71" s="577"/>
      <c r="N71" s="577"/>
      <c r="O71" s="644">
        <f t="shared" ca="1" si="15"/>
        <v>32172132.99590414</v>
      </c>
      <c r="P71" s="644">
        <f>'S&amp;U'!H20</f>
        <v>12714766.389964083</v>
      </c>
      <c r="Q71" s="645">
        <f t="shared" ca="1" si="16"/>
        <v>3.1813941077668335E-2</v>
      </c>
      <c r="R71" s="644">
        <f>'S&amp;U'!I20</f>
        <v>8832339.7304545473</v>
      </c>
      <c r="S71" s="645">
        <f t="shared" ca="1" si="17"/>
        <v>3.9829745914391403E-2</v>
      </c>
      <c r="T71" s="644">
        <f>'S&amp;U'!J20</f>
        <v>10625026.803841824</v>
      </c>
      <c r="U71" s="646">
        <f t="shared" ca="1" si="18"/>
        <v>2.673001509505462E-2</v>
      </c>
    </row>
    <row r="72" spans="2:21" ht="16" customHeight="1" x14ac:dyDescent="0.2">
      <c r="B72" s="659" t="s">
        <v>131</v>
      </c>
      <c r="C72" s="577"/>
      <c r="D72" s="577"/>
      <c r="E72" s="660">
        <f>'Assumptions and Sensis'!F70</f>
        <v>1018</v>
      </c>
      <c r="F72" s="740">
        <f>'Assumptions and Sensis'!F69</f>
        <v>8.1440000000000001</v>
      </c>
      <c r="G72" s="661">
        <f>'Assumptions and Sensis'!$M$85</f>
        <v>0.02</v>
      </c>
      <c r="H72" s="662">
        <f>'Assumptions and Sensis'!$M$75</f>
        <v>0.03</v>
      </c>
      <c r="J72" s="624"/>
      <c r="L72" s="604" t="s">
        <v>621</v>
      </c>
      <c r="M72" s="577"/>
      <c r="N72" s="577"/>
      <c r="O72" s="644">
        <f t="shared" ca="1" si="15"/>
        <v>11076000.013919171</v>
      </c>
      <c r="P72" s="644">
        <f>'S&amp;U'!H21</f>
        <v>5538000</v>
      </c>
      <c r="Q72" s="645">
        <f t="shared" ca="1" si="16"/>
        <v>1.3856770960982234E-2</v>
      </c>
      <c r="R72" s="644">
        <f>'S&amp;U'!I21</f>
        <v>6.2400000000000012E-5</v>
      </c>
      <c r="S72" s="645">
        <f t="shared" ca="1" si="17"/>
        <v>2.8139498942599173E-13</v>
      </c>
      <c r="T72" s="644">
        <f>'S&amp;U'!J21</f>
        <v>5538000</v>
      </c>
      <c r="U72" s="646">
        <f t="shared" ca="1" si="18"/>
        <v>1.3932277661914898E-2</v>
      </c>
    </row>
    <row r="73" spans="2:21" ht="16" customHeight="1" x14ac:dyDescent="0.2">
      <c r="B73" s="659" t="s">
        <v>373</v>
      </c>
      <c r="C73" s="577"/>
      <c r="D73" s="577"/>
      <c r="E73" s="660">
        <f>'Assumptions and Sensis'!F74</f>
        <v>1136</v>
      </c>
      <c r="F73" s="740">
        <f>'Assumptions and Sensis'!F73</f>
        <v>6.1963636363636363</v>
      </c>
      <c r="G73" s="661">
        <f>'Assumptions and Sensis'!$M$85</f>
        <v>0.02</v>
      </c>
      <c r="H73" s="662">
        <f>'Assumptions and Sensis'!$M$75</f>
        <v>0.03</v>
      </c>
      <c r="J73" s="624"/>
      <c r="L73" s="604" t="s">
        <v>614</v>
      </c>
      <c r="M73" s="577"/>
      <c r="N73" s="577"/>
      <c r="O73" s="644">
        <f t="shared" ca="1" si="15"/>
        <v>3256330.7756249844</v>
      </c>
      <c r="P73" s="644">
        <f ca="1">'S&amp;U'!H22</f>
        <v>3256330.7674772362</v>
      </c>
      <c r="Q73" s="645">
        <f t="shared" ca="1" si="16"/>
        <v>8.1477482156250558E-3</v>
      </c>
      <c r="R73" s="644">
        <f>'S&amp;U'!I22</f>
        <v>0</v>
      </c>
      <c r="S73" s="645">
        <f t="shared" ca="1" si="17"/>
        <v>0</v>
      </c>
      <c r="T73" s="644">
        <f>'S&amp;U'!J22</f>
        <v>0</v>
      </c>
      <c r="U73" s="646">
        <f t="shared" ca="1" si="18"/>
        <v>0</v>
      </c>
    </row>
    <row r="74" spans="2:21" ht="16" customHeight="1" x14ac:dyDescent="0.2">
      <c r="B74" s="627" t="s">
        <v>611</v>
      </c>
      <c r="C74" s="628"/>
      <c r="D74" s="628"/>
      <c r="E74" s="666">
        <f>'Assumptions and Sensis'!F79</f>
        <v>739.02104097452923</v>
      </c>
      <c r="F74" s="741">
        <f>'Assumptions and Sensis'!F78</f>
        <v>12.133381818181819</v>
      </c>
      <c r="G74" s="666"/>
      <c r="H74" s="667"/>
      <c r="J74" s="624"/>
      <c r="L74" s="604" t="s">
        <v>626</v>
      </c>
      <c r="M74" s="577"/>
      <c r="N74" s="577"/>
      <c r="O74" s="644">
        <f t="shared" ca="1" si="15"/>
        <v>179009336.64521769</v>
      </c>
      <c r="P74" s="644">
        <f ca="1">'S&amp;U'!H23</f>
        <v>64165219.326269209</v>
      </c>
      <c r="Q74" s="645">
        <f t="shared" ca="1" si="16"/>
        <v>0.16054943081713674</v>
      </c>
      <c r="R74" s="644">
        <f ca="1">'S&amp;U'!I23</f>
        <v>36283687.849978745</v>
      </c>
      <c r="S74" s="645">
        <f t="shared" ca="1" si="17"/>
        <v>0.16362256344360177</v>
      </c>
      <c r="T74" s="644">
        <f ca="1">'S&amp;U'!J23</f>
        <v>78560429.144797742</v>
      </c>
      <c r="U74" s="646">
        <f t="shared" ca="1" si="18"/>
        <v>0.19763916794592157</v>
      </c>
    </row>
    <row r="75" spans="2:21" ht="16" customHeight="1" x14ac:dyDescent="0.15">
      <c r="B75" s="1043" t="s">
        <v>925</v>
      </c>
      <c r="C75" s="1043"/>
      <c r="D75" s="1043"/>
      <c r="E75" s="1043"/>
      <c r="F75" s="1043"/>
      <c r="G75" s="1043"/>
      <c r="H75" s="1043"/>
      <c r="J75" s="624"/>
      <c r="L75" s="735" t="s">
        <v>96</v>
      </c>
      <c r="M75" s="736"/>
      <c r="N75" s="736"/>
      <c r="O75" s="737">
        <f t="shared" ca="1" si="15"/>
        <v>1018906791.2491224</v>
      </c>
      <c r="P75" s="737">
        <f ca="1">'S&amp;U'!H26</f>
        <v>399660210.56376326</v>
      </c>
      <c r="Q75" s="738"/>
      <c r="R75" s="737">
        <f ca="1">'S&amp;U'!I26</f>
        <v>221752349.34810922</v>
      </c>
      <c r="S75" s="738"/>
      <c r="T75" s="737">
        <f ca="1">'S&amp;U'!J26</f>
        <v>397494231.33724993</v>
      </c>
      <c r="U75" s="739"/>
    </row>
    <row r="76" spans="2:21" ht="16" customHeight="1" x14ac:dyDescent="0.15">
      <c r="J76" s="624"/>
      <c r="L76" s="604"/>
      <c r="M76" s="563"/>
      <c r="N76" s="563"/>
      <c r="O76" s="644"/>
      <c r="P76" s="644"/>
      <c r="Q76" s="647"/>
      <c r="R76" s="644"/>
      <c r="S76" s="647"/>
      <c r="T76" s="644"/>
      <c r="U76" s="648"/>
    </row>
    <row r="77" spans="2:21" ht="16" customHeight="1" x14ac:dyDescent="0.2">
      <c r="B77" s="561" t="s">
        <v>713</v>
      </c>
      <c r="C77" s="562"/>
      <c r="D77" s="562"/>
      <c r="E77" s="670" t="s">
        <v>714</v>
      </c>
      <c r="F77" s="670" t="s">
        <v>709</v>
      </c>
      <c r="G77" s="652" t="s">
        <v>710</v>
      </c>
      <c r="H77" s="565" t="s">
        <v>116</v>
      </c>
      <c r="J77" s="624"/>
      <c r="L77" s="643" t="s">
        <v>706</v>
      </c>
      <c r="M77" s="577"/>
      <c r="N77" s="577"/>
      <c r="O77" s="644"/>
      <c r="P77" s="649"/>
      <c r="Q77" s="650"/>
      <c r="R77" s="649"/>
      <c r="S77" s="650"/>
      <c r="T77" s="649"/>
      <c r="U77" s="651"/>
    </row>
    <row r="78" spans="2:21" ht="16" customHeight="1" x14ac:dyDescent="0.2">
      <c r="B78" s="566"/>
      <c r="C78" s="567"/>
      <c r="D78" s="625"/>
      <c r="E78" s="598"/>
      <c r="F78" s="598" t="s">
        <v>119</v>
      </c>
      <c r="G78" s="598" t="s">
        <v>711</v>
      </c>
      <c r="H78" s="599" t="s">
        <v>711</v>
      </c>
      <c r="J78" s="624"/>
      <c r="L78" s="604" t="s">
        <v>61</v>
      </c>
      <c r="M78" s="577"/>
      <c r="N78" s="577"/>
      <c r="O78" s="644">
        <f t="shared" ref="O78:O84" ca="1" si="19">SUM(P78:T78)</f>
        <v>16840711.128101088</v>
      </c>
      <c r="P78" s="644">
        <f>'S&amp;U'!H29</f>
        <v>6900151</v>
      </c>
      <c r="Q78" s="645">
        <f t="shared" ref="Q78:Q84" ca="1" si="20">P78/P$85</f>
        <v>1.7265043698662427E-2</v>
      </c>
      <c r="R78" s="644">
        <f>'S&amp;U'!I29</f>
        <v>818973.10714285716</v>
      </c>
      <c r="S78" s="645">
        <f t="shared" ref="S78:S84" ca="1" si="21">R78/R$85</f>
        <v>3.6931879619332662E-3</v>
      </c>
      <c r="T78" s="644">
        <f>'S&amp;U'!J29</f>
        <v>9121587</v>
      </c>
      <c r="U78" s="646">
        <f t="shared" ref="U78:U84" ca="1" si="22">T78/T$85</f>
        <v>2.2947721704823641E-2</v>
      </c>
    </row>
    <row r="79" spans="2:21" ht="16" customHeight="1" x14ac:dyDescent="0.15">
      <c r="B79" s="602" t="s">
        <v>25</v>
      </c>
      <c r="C79" s="577"/>
      <c r="D79" s="577"/>
      <c r="E79" s="577"/>
      <c r="F79" s="577"/>
      <c r="G79" s="577"/>
      <c r="H79" s="578"/>
      <c r="J79" s="624"/>
      <c r="L79" s="604" t="s">
        <v>8</v>
      </c>
      <c r="M79" s="577"/>
      <c r="N79" s="577"/>
      <c r="O79" s="644">
        <f t="shared" ca="1" si="19"/>
        <v>74895536.257540107</v>
      </c>
      <c r="P79" s="644">
        <f>'S&amp;U'!H30</f>
        <v>31353547.897872344</v>
      </c>
      <c r="Q79" s="645">
        <f t="shared" ca="1" si="20"/>
        <v>7.8450511382268523E-2</v>
      </c>
      <c r="R79" s="644">
        <f>'S&amp;U'!I30</f>
        <v>10461100</v>
      </c>
      <c r="S79" s="645">
        <f t="shared" ca="1" si="21"/>
        <v>4.7174697498144895E-2</v>
      </c>
      <c r="T79" s="644">
        <f>'S&amp;U'!J30</f>
        <v>33080888.234042555</v>
      </c>
      <c r="U79" s="646">
        <f t="shared" ca="1" si="22"/>
        <v>8.3223568107521573E-2</v>
      </c>
    </row>
    <row r="80" spans="2:21" ht="16" customHeight="1" x14ac:dyDescent="0.2">
      <c r="B80" s="604" t="str">
        <f>B32</f>
        <v>Conventional Retail</v>
      </c>
      <c r="C80" s="577"/>
      <c r="D80" s="605"/>
      <c r="E80" s="596" t="s">
        <v>730</v>
      </c>
      <c r="F80" s="740">
        <f>'Assumptions and Sensis'!F156</f>
        <v>23</v>
      </c>
      <c r="G80" s="671">
        <f>'Assumptions and Sensis'!$M$87/'Assumptions and Sensis'!$M$88</f>
        <v>0.02</v>
      </c>
      <c r="H80" s="672">
        <f>'Assumptions and Sensis'!M77</f>
        <v>0.1</v>
      </c>
      <c r="L80" s="604" t="s">
        <v>57</v>
      </c>
      <c r="M80" s="577"/>
      <c r="N80" s="577"/>
      <c r="O80" s="644">
        <f t="shared" ca="1" si="19"/>
        <v>762870571.72369289</v>
      </c>
      <c r="P80" s="644">
        <f ca="1">'S&amp;U'!H31</f>
        <v>297663456.66999996</v>
      </c>
      <c r="Q80" s="645">
        <f t="shared" ca="1" si="20"/>
        <v>0.74479132223373945</v>
      </c>
      <c r="R80" s="644">
        <f ca="1">'S&amp;U'!I31</f>
        <v>174155529.98339999</v>
      </c>
      <c r="S80" s="645">
        <f t="shared" ca="1" si="21"/>
        <v>0.78536047304738477</v>
      </c>
      <c r="T80" s="644">
        <f ca="1">'S&amp;U'!J31</f>
        <v>291051583.54014122</v>
      </c>
      <c r="U80" s="646">
        <f t="shared" ca="1" si="22"/>
        <v>0.73221586779004466</v>
      </c>
    </row>
    <row r="81" spans="2:32" ht="16" customHeight="1" x14ac:dyDescent="0.2">
      <c r="B81" s="604" t="str">
        <f>B33</f>
        <v>Food Hall</v>
      </c>
      <c r="C81" s="577"/>
      <c r="D81" s="605"/>
      <c r="E81" s="596" t="s">
        <v>730</v>
      </c>
      <c r="F81" s="740">
        <f>'Assumptions and Sensis'!F164</f>
        <v>28</v>
      </c>
      <c r="G81" s="671">
        <f>'Assumptions and Sensis'!$M$87/'Assumptions and Sensis'!$M$88</f>
        <v>0.02</v>
      </c>
      <c r="H81" s="672">
        <f>$H$80</f>
        <v>0.1</v>
      </c>
      <c r="L81" s="604" t="s">
        <v>58</v>
      </c>
      <c r="M81" s="577"/>
      <c r="N81" s="577"/>
      <c r="O81" s="644">
        <f t="shared" ca="1" si="19"/>
        <v>61078878.237121671</v>
      </c>
      <c r="P81" s="644">
        <f ca="1">'S&amp;U'!H32</f>
        <v>23373365.864354212</v>
      </c>
      <c r="Q81" s="645">
        <f t="shared" ca="1" si="20"/>
        <v>5.848309450516375E-2</v>
      </c>
      <c r="R81" s="644">
        <f ca="1">'S&amp;U'!I32</f>
        <v>13380466.778895907</v>
      </c>
      <c r="S81" s="645">
        <f t="shared" ca="1" si="21"/>
        <v>6.0339684419266772E-2</v>
      </c>
      <c r="T81" s="644">
        <f ca="1">'S&amp;U'!J32</f>
        <v>24325045.475048773</v>
      </c>
      <c r="U81" s="646">
        <f t="shared" ca="1" si="22"/>
        <v>6.1195971054006155E-2</v>
      </c>
    </row>
    <row r="82" spans="2:32" ht="16" customHeight="1" x14ac:dyDescent="0.2">
      <c r="B82" s="627" t="s">
        <v>611</v>
      </c>
      <c r="C82" s="628"/>
      <c r="D82" s="628"/>
      <c r="E82" s="709"/>
      <c r="F82" s="741">
        <f>'Assumptions and Sensis'!E168</f>
        <v>24.162174973177134</v>
      </c>
      <c r="G82" s="673">
        <f>+SUMPRODUCT(G80:G81,$F80:$F81)/$F82</f>
        <v>4.2214742718001193E-2</v>
      </c>
      <c r="H82" s="674">
        <f>+SUMPRODUCT(H80:H81,$F80:$F81)/SUM($F80:$F81)</f>
        <v>0.1</v>
      </c>
      <c r="L82" s="604" t="s">
        <v>80</v>
      </c>
      <c r="M82" s="577"/>
      <c r="N82" s="577"/>
      <c r="O82" s="644">
        <f t="shared" ca="1" si="19"/>
        <v>72034705.157360256</v>
      </c>
      <c r="P82" s="644">
        <f ca="1">'S&amp;U'!H33</f>
        <v>28165752.64513075</v>
      </c>
      <c r="Q82" s="645">
        <f t="shared" ca="1" si="20"/>
        <v>7.0474247625001138E-2</v>
      </c>
      <c r="R82" s="644">
        <f ca="1">'S&amp;U'!I33</f>
        <v>16056719.140378967</v>
      </c>
      <c r="S82" s="645">
        <f t="shared" ca="1" si="21"/>
        <v>7.2408338344920789E-2</v>
      </c>
      <c r="T82" s="644">
        <f ca="1">'S&amp;U'!J33</f>
        <v>27812233.228967939</v>
      </c>
      <c r="U82" s="646">
        <f t="shared" ca="1" si="22"/>
        <v>6.9968897750797621E-2</v>
      </c>
    </row>
    <row r="83" spans="2:32" ht="16" customHeight="1" x14ac:dyDescent="0.2">
      <c r="B83" s="602" t="s">
        <v>146</v>
      </c>
      <c r="C83" s="577"/>
      <c r="D83" s="577"/>
      <c r="E83" s="577"/>
      <c r="F83" s="740"/>
      <c r="G83" s="671"/>
      <c r="H83" s="672"/>
      <c r="L83" s="604" t="s">
        <v>83</v>
      </c>
      <c r="M83" s="577"/>
      <c r="N83" s="577"/>
      <c r="O83" s="644">
        <f t="shared" ca="1" si="19"/>
        <v>2000000.0039174061</v>
      </c>
      <c r="P83" s="644">
        <f ca="1">'S&amp;U'!H34</f>
        <v>764323.10105370777</v>
      </c>
      <c r="Q83" s="645">
        <f t="shared" ca="1" si="20"/>
        <v>1.9124323133782788E-3</v>
      </c>
      <c r="R83" s="644">
        <f ca="1">'S&amp;U'!I34</f>
        <v>444607.63224393112</v>
      </c>
      <c r="S83" s="645">
        <f t="shared" ca="1" si="21"/>
        <v>2.0049737175319902E-3</v>
      </c>
      <c r="T83" s="644">
        <f ca="1">'S&amp;U'!J34</f>
        <v>791069.26670236117</v>
      </c>
      <c r="U83" s="646">
        <f t="shared" ca="1" si="22"/>
        <v>1.990140244403161E-3</v>
      </c>
    </row>
    <row r="84" spans="2:32" ht="16" customHeight="1" x14ac:dyDescent="0.2">
      <c r="B84" s="604" t="str">
        <f>B36</f>
        <v>Conventional Office</v>
      </c>
      <c r="C84" s="577"/>
      <c r="D84" s="605"/>
      <c r="E84" s="596" t="s">
        <v>730</v>
      </c>
      <c r="F84" s="740">
        <f>'Assumptions and Sensis'!F191</f>
        <v>24</v>
      </c>
      <c r="G84" s="671">
        <f>'Assumptions and Sensis'!M92/'Assumptions and Sensis'!M93</f>
        <v>0.02</v>
      </c>
      <c r="H84" s="672">
        <f>'Assumptions and Sensis'!M79</f>
        <v>0.1</v>
      </c>
      <c r="L84" s="604" t="s">
        <v>60</v>
      </c>
      <c r="M84" s="577"/>
      <c r="N84" s="577"/>
      <c r="O84" s="644">
        <f t="shared" ca="1" si="19"/>
        <v>29186390.741388969</v>
      </c>
      <c r="P84" s="644">
        <f ca="1">'S&amp;U'!H35</f>
        <v>11439613.385352328</v>
      </c>
      <c r="Q84" s="645">
        <f t="shared" ca="1" si="20"/>
        <v>2.8623348241786532E-2</v>
      </c>
      <c r="R84" s="644">
        <f ca="1">'S&amp;U'!I35</f>
        <v>6434952.7060475629</v>
      </c>
      <c r="S84" s="645">
        <f t="shared" ca="1" si="21"/>
        <v>2.9018645010817475E-2</v>
      </c>
      <c r="T84" s="644">
        <f ca="1">'S&amp;U'!J35</f>
        <v>11311824.592347085</v>
      </c>
      <c r="U84" s="646">
        <f t="shared" ca="1" si="22"/>
        <v>2.8457833348403194E-2</v>
      </c>
    </row>
    <row r="85" spans="2:32" ht="16" customHeight="1" x14ac:dyDescent="0.2">
      <c r="B85" s="627" t="s">
        <v>611</v>
      </c>
      <c r="C85" s="628"/>
      <c r="D85" s="628"/>
      <c r="E85" s="709"/>
      <c r="F85" s="741">
        <f>'Assumptions and Sensis'!F203</f>
        <v>24</v>
      </c>
      <c r="G85" s="673">
        <f>G84</f>
        <v>0.02</v>
      </c>
      <c r="H85" s="675">
        <f>+H84</f>
        <v>0.1</v>
      </c>
      <c r="L85" s="735" t="s">
        <v>97</v>
      </c>
      <c r="M85" s="736"/>
      <c r="N85" s="736"/>
      <c r="O85" s="737">
        <f ca="1">SUM(P85:T85)</f>
        <v>1018906791.2491224</v>
      </c>
      <c r="P85" s="737">
        <f ca="1">'S&amp;U'!H36</f>
        <v>399660210.56376326</v>
      </c>
      <c r="Q85" s="738"/>
      <c r="R85" s="737">
        <f ca="1">'S&amp;U'!I36</f>
        <v>221752349.34810922</v>
      </c>
      <c r="S85" s="738"/>
      <c r="T85" s="737">
        <f ca="1">'S&amp;U'!J36</f>
        <v>397494231.33724993</v>
      </c>
      <c r="U85" s="739"/>
    </row>
    <row r="86" spans="2:32" ht="16" customHeight="1" x14ac:dyDescent="0.2">
      <c r="B86" s="602" t="s">
        <v>697</v>
      </c>
      <c r="C86" s="577"/>
      <c r="D86" s="577"/>
      <c r="E86" s="577"/>
      <c r="F86" s="740"/>
      <c r="G86" s="671"/>
      <c r="H86" s="672"/>
      <c r="L86" s="604"/>
      <c r="M86" s="563"/>
      <c r="N86" s="563"/>
      <c r="O86" s="644"/>
      <c r="P86" s="644"/>
      <c r="Q86" s="647"/>
      <c r="R86" s="644"/>
      <c r="S86" s="647"/>
      <c r="T86" s="644"/>
      <c r="U86" s="648"/>
    </row>
    <row r="87" spans="2:32" ht="16" customHeight="1" x14ac:dyDescent="0.2">
      <c r="B87" s="604" t="str">
        <f>B39</f>
        <v>Supply Unchained Logistics Center</v>
      </c>
      <c r="C87" s="577"/>
      <c r="D87" s="605"/>
      <c r="E87" s="596" t="s">
        <v>729</v>
      </c>
      <c r="F87" s="740">
        <f>'Assumptions and Sensis'!N234</f>
        <v>12</v>
      </c>
      <c r="G87" s="671">
        <f>'Assumptions and Sensis'!M94/'Assumptions and Sensis'!M95</f>
        <v>0.02</v>
      </c>
      <c r="H87" s="672">
        <f>'Assumptions and Sensis'!M80</f>
        <v>0.06</v>
      </c>
      <c r="L87" s="608" t="s">
        <v>662</v>
      </c>
      <c r="M87" s="577"/>
      <c r="N87" s="577"/>
      <c r="O87" s="644"/>
      <c r="P87" s="663"/>
      <c r="Q87" s="664"/>
      <c r="R87" s="663"/>
      <c r="S87" s="664"/>
      <c r="T87" s="663"/>
      <c r="U87" s="665"/>
    </row>
    <row r="88" spans="2:32" ht="16" customHeight="1" x14ac:dyDescent="0.2">
      <c r="B88" s="627" t="s">
        <v>611</v>
      </c>
      <c r="C88" s="628"/>
      <c r="D88" s="628"/>
      <c r="E88" s="630"/>
      <c r="F88" s="741">
        <f>F87</f>
        <v>12</v>
      </c>
      <c r="G88" s="673">
        <f>+G87</f>
        <v>0.02</v>
      </c>
      <c r="H88" s="675">
        <f>+H87</f>
        <v>0.06</v>
      </c>
      <c r="L88" s="643" t="s">
        <v>705</v>
      </c>
      <c r="M88" s="577"/>
      <c r="N88" s="577"/>
      <c r="O88" s="644"/>
      <c r="P88" s="649"/>
      <c r="Q88" s="650"/>
      <c r="R88" s="649"/>
      <c r="S88" s="650"/>
      <c r="T88" s="649"/>
      <c r="U88" s="651"/>
      <c r="W88" s="577"/>
      <c r="X88" s="577"/>
      <c r="Y88" s="577"/>
      <c r="Z88" s="644"/>
      <c r="AA88" s="644"/>
      <c r="AB88" s="645"/>
      <c r="AC88" s="644"/>
      <c r="AD88" s="645"/>
      <c r="AE88" s="644"/>
      <c r="AF88" s="646"/>
    </row>
    <row r="89" spans="2:32" ht="16" customHeight="1" x14ac:dyDescent="0.15">
      <c r="L89" s="604" t="s">
        <v>749</v>
      </c>
      <c r="M89" s="577"/>
      <c r="N89" s="577"/>
      <c r="O89" s="644">
        <f t="shared" ref="O89:O92" ca="1" si="23">SUM(P89:T89)</f>
        <v>570104494.75096941</v>
      </c>
      <c r="P89" s="644">
        <f ca="1">'S&amp;U'!R17</f>
        <v>213275542.18726224</v>
      </c>
      <c r="Q89" s="645">
        <f t="shared" ref="Q89:Q96" ca="1" si="24">P89/P$97</f>
        <v>0.5336421703987354</v>
      </c>
      <c r="R89" s="644">
        <f ca="1">'S&amp;U'!S17</f>
        <v>119131014.36018541</v>
      </c>
      <c r="S89" s="645">
        <f t="shared" ref="S89:S96" ca="1" si="25">R89/R$97</f>
        <v>0.53722548920179547</v>
      </c>
      <c r="T89" s="644">
        <f ca="1">'S&amp;U'!T17</f>
        <v>237697937.13265392</v>
      </c>
      <c r="U89" s="646">
        <f t="shared" ref="U89:U96" ca="1" si="26">T89/T$97</f>
        <v>0.59799091003909821</v>
      </c>
    </row>
    <row r="90" spans="2:32" ht="16" customHeight="1" x14ac:dyDescent="0.2">
      <c r="B90" s="676" t="s">
        <v>715</v>
      </c>
      <c r="C90" s="677"/>
      <c r="D90" s="677"/>
      <c r="E90" s="678"/>
      <c r="F90" s="1041" t="s">
        <v>242</v>
      </c>
      <c r="G90" s="1041"/>
      <c r="H90" s="1042"/>
      <c r="L90" s="604" t="s">
        <v>164</v>
      </c>
      <c r="M90" s="577"/>
      <c r="N90" s="577"/>
      <c r="O90" s="644">
        <f t="shared" ca="1" si="23"/>
        <v>106156329.0488033</v>
      </c>
      <c r="P90" s="644">
        <f ca="1">'S&amp;U'!R18</f>
        <v>61492153.068216205</v>
      </c>
      <c r="Q90" s="645">
        <f t="shared" ca="1" si="24"/>
        <v>0.15386108359767658</v>
      </c>
      <c r="R90" s="644">
        <f ca="1">'S&amp;U'!S18</f>
        <v>38593085.568527728</v>
      </c>
      <c r="S90" s="645">
        <f t="shared" ca="1" si="25"/>
        <v>0.17403687348513222</v>
      </c>
      <c r="T90" s="644">
        <f ca="1">'S&amp;U'!T18</f>
        <v>6071090.084161412</v>
      </c>
      <c r="U90" s="646">
        <f t="shared" ca="1" si="26"/>
        <v>1.5273404254791454E-2</v>
      </c>
    </row>
    <row r="91" spans="2:32" ht="16" customHeight="1" x14ac:dyDescent="0.2">
      <c r="B91" s="679"/>
      <c r="C91" s="680"/>
      <c r="D91" s="681"/>
      <c r="E91" s="682" t="s">
        <v>153</v>
      </c>
      <c r="F91" s="682" t="s">
        <v>202</v>
      </c>
      <c r="G91" s="682" t="s">
        <v>240</v>
      </c>
      <c r="H91" s="683" t="s">
        <v>241</v>
      </c>
      <c r="L91" s="604" t="s">
        <v>261</v>
      </c>
      <c r="M91" s="577"/>
      <c r="N91" s="577"/>
      <c r="O91" s="644">
        <f t="shared" ca="1" si="23"/>
        <v>39065366.330291457</v>
      </c>
      <c r="P91" s="644">
        <f ca="1">'S&amp;U'!R19</f>
        <v>1.5381818181818186E-4</v>
      </c>
      <c r="Q91" s="645">
        <f t="shared" ca="1" si="24"/>
        <v>3.8487239347946334E-13</v>
      </c>
      <c r="R91" s="644">
        <f ca="1">'S&amp;U'!S19</f>
        <v>1.6003243636363636E-4</v>
      </c>
      <c r="S91" s="645">
        <f t="shared" ca="1" si="25"/>
        <v>7.2167188683271048E-13</v>
      </c>
      <c r="T91" s="644">
        <f ca="1">'S&amp;U'!T19</f>
        <v>39065366.329977609</v>
      </c>
      <c r="U91" s="646">
        <f t="shared" ca="1" si="26"/>
        <v>9.8279077405863016E-2</v>
      </c>
    </row>
    <row r="92" spans="2:32" ht="16" customHeight="1" x14ac:dyDescent="0.15">
      <c r="B92" s="602" t="s">
        <v>26</v>
      </c>
      <c r="C92" s="577"/>
      <c r="D92" s="577"/>
      <c r="E92" s="577"/>
      <c r="F92" s="577"/>
      <c r="G92" s="577"/>
      <c r="H92" s="578"/>
      <c r="L92" s="604" t="s">
        <v>98</v>
      </c>
      <c r="M92" s="577"/>
      <c r="N92" s="577"/>
      <c r="O92" s="644">
        <f t="shared" ca="1" si="23"/>
        <v>182048916.86898297</v>
      </c>
      <c r="P92" s="644">
        <f ca="1">'S&amp;U'!R20</f>
        <v>74189767.741794825</v>
      </c>
      <c r="Q92" s="645">
        <f t="shared" ca="1" si="24"/>
        <v>0.18563210892858775</v>
      </c>
      <c r="R92" s="644">
        <f ca="1">'S&amp;U'!S20</f>
        <v>43584912.158747993</v>
      </c>
      <c r="S92" s="645">
        <f t="shared" ca="1" si="25"/>
        <v>0.19654769064172542</v>
      </c>
      <c r="T92" s="644">
        <f ca="1">'S&amp;U'!T20</f>
        <v>64274236.586260393</v>
      </c>
      <c r="U92" s="646">
        <f t="shared" ca="1" si="26"/>
        <v>0.16169853929710887</v>
      </c>
    </row>
    <row r="93" spans="2:32" ht="16" customHeight="1" x14ac:dyDescent="0.2">
      <c r="B93" s="604" t="s">
        <v>582</v>
      </c>
      <c r="C93" s="577"/>
      <c r="D93" s="577"/>
      <c r="E93" s="577"/>
      <c r="F93" s="685" t="s">
        <v>725</v>
      </c>
      <c r="G93" s="685" t="s">
        <v>726</v>
      </c>
      <c r="H93" s="686" t="s">
        <v>727</v>
      </c>
      <c r="L93" s="604" t="s">
        <v>615</v>
      </c>
      <c r="M93" s="577"/>
      <c r="N93" s="577"/>
      <c r="O93" s="644">
        <f ca="1">SUM(P93:T93)</f>
        <v>32172132.99590414</v>
      </c>
      <c r="P93" s="644">
        <f>'S&amp;U'!R22</f>
        <v>12714766.389964083</v>
      </c>
      <c r="Q93" s="645">
        <f t="shared" ca="1" si="24"/>
        <v>3.1813941077668335E-2</v>
      </c>
      <c r="R93" s="644">
        <f>'S&amp;U'!S22</f>
        <v>8832339.7304545473</v>
      </c>
      <c r="S93" s="645">
        <f t="shared" ca="1" si="25"/>
        <v>3.9829745914391403E-2</v>
      </c>
      <c r="T93" s="644">
        <f>'S&amp;U'!T22</f>
        <v>10625026.803841824</v>
      </c>
      <c r="U93" s="646">
        <f t="shared" ca="1" si="26"/>
        <v>2.673001509505462E-2</v>
      </c>
    </row>
    <row r="94" spans="2:32" ht="16" customHeight="1" x14ac:dyDescent="0.2">
      <c r="B94" s="604" t="s">
        <v>296</v>
      </c>
      <c r="C94" s="577"/>
      <c r="D94" s="577"/>
      <c r="E94" s="661">
        <f>'Assumptions and Sensis'!E125</f>
        <v>0.7</v>
      </c>
      <c r="F94" s="660">
        <f>'Assumptions and Sensis'!F126</f>
        <v>180</v>
      </c>
      <c r="G94" s="660">
        <f>'Assumptions and Sensis'!G126</f>
        <v>135</v>
      </c>
      <c r="H94" s="684">
        <f>'Assumptions and Sensis'!H126</f>
        <v>160</v>
      </c>
      <c r="L94" s="604" t="s">
        <v>621</v>
      </c>
      <c r="M94" s="577"/>
      <c r="N94" s="577"/>
      <c r="O94" s="644">
        <f ca="1">SUM(P94:T94)</f>
        <v>11076000.013919171</v>
      </c>
      <c r="P94" s="644">
        <f>'S&amp;U'!R23</f>
        <v>5538000</v>
      </c>
      <c r="Q94" s="645">
        <f t="shared" ca="1" si="24"/>
        <v>1.3856770960982234E-2</v>
      </c>
      <c r="R94" s="644">
        <f>'S&amp;U'!S23</f>
        <v>6.2400000000000012E-5</v>
      </c>
      <c r="S94" s="645">
        <f t="shared" ca="1" si="25"/>
        <v>2.8139498942599173E-13</v>
      </c>
      <c r="T94" s="644">
        <f>'S&amp;U'!T23</f>
        <v>5538000</v>
      </c>
      <c r="U94" s="646">
        <f t="shared" ca="1" si="26"/>
        <v>1.3932277661914898E-2</v>
      </c>
    </row>
    <row r="95" spans="2:32" ht="16" customHeight="1" x14ac:dyDescent="0.2">
      <c r="B95" s="695" t="str">
        <f>'Assumptions and Sensis'!B124</f>
        <v>RevPAR</v>
      </c>
      <c r="C95" s="636"/>
      <c r="D95" s="636"/>
      <c r="E95" s="687"/>
      <c r="F95" s="688">
        <f>'Assumptions and Sensis'!F124</f>
        <v>125.99999999999999</v>
      </c>
      <c r="G95" s="688">
        <f>'Assumptions and Sensis'!G124</f>
        <v>94.5</v>
      </c>
      <c r="H95" s="689">
        <f>'Assumptions and Sensis'!H124</f>
        <v>112</v>
      </c>
      <c r="L95" s="604" t="s">
        <v>614</v>
      </c>
      <c r="M95" s="577"/>
      <c r="N95" s="577"/>
      <c r="O95" s="644">
        <f ca="1">SUM(P95:T95)</f>
        <v>3256330.7756249844</v>
      </c>
      <c r="P95" s="644">
        <f ca="1">'S&amp;U'!R24</f>
        <v>3256330.7674772362</v>
      </c>
      <c r="Q95" s="645">
        <f t="shared" ca="1" si="24"/>
        <v>8.1477482156250558E-3</v>
      </c>
      <c r="R95" s="644">
        <f>'S&amp;U'!S24</f>
        <v>0</v>
      </c>
      <c r="S95" s="645">
        <f t="shared" ca="1" si="25"/>
        <v>0</v>
      </c>
      <c r="T95" s="644">
        <f>'S&amp;U'!T24</f>
        <v>0</v>
      </c>
      <c r="U95" s="646">
        <f t="shared" ca="1" si="26"/>
        <v>0</v>
      </c>
    </row>
    <row r="96" spans="2:32" ht="16" customHeight="1" x14ac:dyDescent="0.15">
      <c r="G96" s="733"/>
      <c r="H96" s="733"/>
      <c r="L96" s="604" t="s">
        <v>626</v>
      </c>
      <c r="M96" s="577"/>
      <c r="N96" s="577"/>
      <c r="O96" s="644">
        <f ca="1">SUM(P96:T96)</f>
        <v>75027222.464626998</v>
      </c>
      <c r="P96" s="644">
        <f ca="1">'S&amp;U'!R25</f>
        <v>29193650.408894837</v>
      </c>
      <c r="Q96" s="645">
        <f t="shared" ca="1" si="24"/>
        <v>7.3046176820339676E-2</v>
      </c>
      <c r="R96" s="644">
        <f ca="1">'S&amp;U'!S25</f>
        <v>11610997.529971093</v>
      </c>
      <c r="S96" s="645">
        <f t="shared" ca="1" si="25"/>
        <v>5.2360200755952421E-2</v>
      </c>
      <c r="T96" s="644">
        <f ca="1">'S&amp;U'!T25</f>
        <v>34222574.400354803</v>
      </c>
      <c r="U96" s="646">
        <f t="shared" ca="1" si="26"/>
        <v>8.6095776246168987E-2</v>
      </c>
    </row>
    <row r="97" spans="2:21" ht="16" customHeight="1" x14ac:dyDescent="0.2">
      <c r="B97" s="676" t="s">
        <v>716</v>
      </c>
      <c r="C97" s="677"/>
      <c r="D97" s="677"/>
      <c r="E97" s="707" t="s">
        <v>714</v>
      </c>
      <c r="F97" s="690" t="s">
        <v>717</v>
      </c>
      <c r="G97" s="690" t="s">
        <v>710</v>
      </c>
      <c r="H97" s="691" t="s">
        <v>116</v>
      </c>
      <c r="L97" s="735" t="s">
        <v>96</v>
      </c>
      <c r="M97" s="736"/>
      <c r="N97" s="736"/>
      <c r="O97" s="737">
        <f ca="1">SUM(P97:T97)</f>
        <v>1018906791.2491224</v>
      </c>
      <c r="P97" s="737">
        <f ca="1">'S&amp;U'!R26</f>
        <v>399660210.56376326</v>
      </c>
      <c r="Q97" s="738"/>
      <c r="R97" s="737">
        <f ca="1">'S&amp;U'!S26</f>
        <v>221752349.34810922</v>
      </c>
      <c r="S97" s="738"/>
      <c r="T97" s="737">
        <f ca="1">'S&amp;U'!T26</f>
        <v>397494231.33724993</v>
      </c>
      <c r="U97" s="739"/>
    </row>
    <row r="98" spans="2:21" ht="16" customHeight="1" x14ac:dyDescent="0.2">
      <c r="B98" s="679"/>
      <c r="C98" s="692"/>
      <c r="D98" s="693"/>
      <c r="E98" s="694"/>
      <c r="F98" s="694" t="s">
        <v>718</v>
      </c>
      <c r="G98" s="694" t="s">
        <v>711</v>
      </c>
      <c r="H98" s="683" t="s">
        <v>711</v>
      </c>
      <c r="L98" s="604"/>
      <c r="M98" s="563"/>
      <c r="N98" s="563"/>
      <c r="O98" s="644"/>
      <c r="P98" s="644"/>
      <c r="Q98" s="647"/>
      <c r="R98" s="644"/>
      <c r="S98" s="647"/>
      <c r="T98" s="644"/>
      <c r="U98" s="648"/>
    </row>
    <row r="99" spans="2:21" ht="16" customHeight="1" x14ac:dyDescent="0.15">
      <c r="B99" s="696" t="s">
        <v>703</v>
      </c>
      <c r="C99" s="697"/>
      <c r="D99" s="697"/>
      <c r="E99" s="698"/>
      <c r="F99" s="697"/>
      <c r="G99" s="697"/>
      <c r="H99" s="699"/>
      <c r="L99" s="643" t="s">
        <v>706</v>
      </c>
      <c r="M99" s="577"/>
      <c r="N99" s="577"/>
      <c r="O99" s="644"/>
      <c r="P99" s="649"/>
      <c r="Q99" s="650"/>
      <c r="R99" s="649"/>
      <c r="S99" s="650"/>
      <c r="T99" s="649"/>
      <c r="U99" s="651"/>
    </row>
    <row r="100" spans="2:21" ht="16" customHeight="1" x14ac:dyDescent="0.15">
      <c r="B100" s="659" t="s">
        <v>474</v>
      </c>
      <c r="C100" s="697"/>
      <c r="D100" s="700"/>
      <c r="E100" s="701" t="s">
        <v>731</v>
      </c>
      <c r="F100" s="743">
        <f>'Assumptions and Sensis'!F173</f>
        <v>0</v>
      </c>
      <c r="G100" s="702">
        <f>'Assumptions and Sensis'!$M$90/'Assumptions and Sensis'!$M$91</f>
        <v>0.01</v>
      </c>
      <c r="H100" s="703">
        <f>'Assumptions and Sensis'!$M$78</f>
        <v>0.05</v>
      </c>
      <c r="L100" s="604" t="s">
        <v>61</v>
      </c>
      <c r="M100" s="577"/>
      <c r="N100" s="577"/>
      <c r="O100" s="644">
        <f t="shared" ref="O100" ca="1" si="27">SUM(P100:T100)</f>
        <v>16840711.128101088</v>
      </c>
      <c r="P100" s="644">
        <f>'S&amp;U'!R29</f>
        <v>6900151</v>
      </c>
      <c r="Q100" s="645">
        <f t="shared" ref="Q100:Q106" ca="1" si="28">P100/P$107</f>
        <v>1.7265043698662427E-2</v>
      </c>
      <c r="R100" s="644">
        <f>'S&amp;U'!S29</f>
        <v>818973.10714285716</v>
      </c>
      <c r="S100" s="645">
        <f t="shared" ref="S100:S106" ca="1" si="29">R100/R$107</f>
        <v>3.6931879619332662E-3</v>
      </c>
      <c r="T100" s="644">
        <f>'S&amp;U'!T29</f>
        <v>9121587</v>
      </c>
      <c r="U100" s="646">
        <f t="shared" ref="U100:U106" ca="1" si="30">T100/T$107</f>
        <v>2.2947721704823641E-2</v>
      </c>
    </row>
    <row r="101" spans="2:21" ht="16" customHeight="1" x14ac:dyDescent="0.15">
      <c r="B101" s="659" t="s">
        <v>374</v>
      </c>
      <c r="C101" s="697"/>
      <c r="D101" s="700"/>
      <c r="E101" s="701" t="s">
        <v>730</v>
      </c>
      <c r="F101" s="743">
        <f>'Assumptions and Sensis'!H177</f>
        <v>10</v>
      </c>
      <c r="G101" s="702">
        <f>'Assumptions and Sensis'!$M$90/'Assumptions and Sensis'!$M$91</f>
        <v>0.01</v>
      </c>
      <c r="H101" s="703">
        <f>'Assumptions and Sensis'!$M$78</f>
        <v>0.05</v>
      </c>
      <c r="L101" s="604" t="s">
        <v>8</v>
      </c>
      <c r="M101" s="577"/>
      <c r="N101" s="577"/>
      <c r="O101" s="644">
        <f t="shared" ref="O101:O107" ca="1" si="31">SUM(P101:T101)</f>
        <v>74895536.257540107</v>
      </c>
      <c r="P101" s="644">
        <f>'S&amp;U'!R30</f>
        <v>31353547.897872344</v>
      </c>
      <c r="Q101" s="645">
        <f t="shared" ca="1" si="28"/>
        <v>7.8450511382268523E-2</v>
      </c>
      <c r="R101" s="644">
        <f>'S&amp;U'!S30</f>
        <v>10461100</v>
      </c>
      <c r="S101" s="645">
        <f t="shared" ca="1" si="29"/>
        <v>4.7174697498144895E-2</v>
      </c>
      <c r="T101" s="644">
        <f>'S&amp;U'!T30</f>
        <v>33080888.234042555</v>
      </c>
      <c r="U101" s="672">
        <f t="shared" ca="1" si="30"/>
        <v>8.3223568107521573E-2</v>
      </c>
    </row>
    <row r="102" spans="2:21" ht="16" customHeight="1" x14ac:dyDescent="0.15">
      <c r="B102" s="659" t="s">
        <v>475</v>
      </c>
      <c r="C102" s="697"/>
      <c r="D102" s="700"/>
      <c r="E102" s="701" t="s">
        <v>730</v>
      </c>
      <c r="F102" s="743">
        <f>'Assumptions and Sensis'!F181</f>
        <v>10</v>
      </c>
      <c r="G102" s="702">
        <f>'Assumptions and Sensis'!$M$90/'Assumptions and Sensis'!$M$91</f>
        <v>0.01</v>
      </c>
      <c r="H102" s="703">
        <f>'Assumptions and Sensis'!$M$78</f>
        <v>0.05</v>
      </c>
      <c r="L102" s="604" t="s">
        <v>57</v>
      </c>
      <c r="M102" s="577"/>
      <c r="N102" s="577"/>
      <c r="O102" s="644">
        <f t="shared" ca="1" si="31"/>
        <v>762870571.72369289</v>
      </c>
      <c r="P102" s="644">
        <f ca="1">'S&amp;U'!R31</f>
        <v>297663456.66999996</v>
      </c>
      <c r="Q102" s="645">
        <f t="shared" ca="1" si="28"/>
        <v>0.74479132223373945</v>
      </c>
      <c r="R102" s="644">
        <f ca="1">'S&amp;U'!S31</f>
        <v>174155529.98339999</v>
      </c>
      <c r="S102" s="645">
        <f t="shared" ca="1" si="29"/>
        <v>0.78536047304738477</v>
      </c>
      <c r="T102" s="644">
        <f ca="1">'S&amp;U'!T31</f>
        <v>291051583.54014122</v>
      </c>
      <c r="U102" s="672">
        <f t="shared" ca="1" si="30"/>
        <v>0.73221586779004466</v>
      </c>
    </row>
    <row r="103" spans="2:21" ht="16" customHeight="1" x14ac:dyDescent="0.15">
      <c r="B103" s="627" t="s">
        <v>611</v>
      </c>
      <c r="C103" s="628"/>
      <c r="D103" s="628"/>
      <c r="E103" s="629"/>
      <c r="F103" s="744">
        <f>'Assumptions and Sensis'!F185</f>
        <v>2.4170616113744074</v>
      </c>
      <c r="G103" s="704">
        <f>'Assumptions and Sensis'!$M$90/'Assumptions and Sensis'!$M$91</f>
        <v>0.01</v>
      </c>
      <c r="H103" s="705">
        <f>'Assumptions and Sensis'!$M$78</f>
        <v>0.05</v>
      </c>
      <c r="L103" s="604" t="s">
        <v>58</v>
      </c>
      <c r="M103" s="577"/>
      <c r="N103" s="577"/>
      <c r="O103" s="644">
        <f t="shared" ca="1" si="31"/>
        <v>61078878.237121671</v>
      </c>
      <c r="P103" s="644">
        <f ca="1">'S&amp;U'!R32</f>
        <v>23373365.864354212</v>
      </c>
      <c r="Q103" s="645">
        <f t="shared" ca="1" si="28"/>
        <v>5.848309450516375E-2</v>
      </c>
      <c r="R103" s="644">
        <f ca="1">'S&amp;U'!S32</f>
        <v>13380466.778895907</v>
      </c>
      <c r="S103" s="645">
        <f t="shared" ca="1" si="29"/>
        <v>6.0339684419266772E-2</v>
      </c>
      <c r="T103" s="644">
        <f ca="1">'S&amp;U'!T32</f>
        <v>24325045.475048773</v>
      </c>
      <c r="U103" s="672">
        <f t="shared" ca="1" si="30"/>
        <v>6.1195971054006155E-2</v>
      </c>
    </row>
    <row r="104" spans="2:21" ht="16" customHeight="1" x14ac:dyDescent="0.15">
      <c r="B104" s="696" t="s">
        <v>707</v>
      </c>
      <c r="C104" s="697"/>
      <c r="D104" s="697"/>
      <c r="E104" s="698"/>
      <c r="F104" s="745"/>
      <c r="G104" s="697"/>
      <c r="H104" s="699"/>
      <c r="L104" s="604" t="s">
        <v>80</v>
      </c>
      <c r="M104" s="577"/>
      <c r="N104" s="577"/>
      <c r="O104" s="644">
        <f t="shared" ca="1" si="31"/>
        <v>72034705.157360256</v>
      </c>
      <c r="P104" s="644">
        <f ca="1">'S&amp;U'!R33</f>
        <v>28165752.64513075</v>
      </c>
      <c r="Q104" s="645">
        <f t="shared" ca="1" si="28"/>
        <v>7.0474247625001138E-2</v>
      </c>
      <c r="R104" s="644">
        <f ca="1">'S&amp;U'!S33</f>
        <v>16056719.140378967</v>
      </c>
      <c r="S104" s="645">
        <f t="shared" ca="1" si="29"/>
        <v>7.2408338344920789E-2</v>
      </c>
      <c r="T104" s="644">
        <f ca="1">'S&amp;U'!T33</f>
        <v>27812233.228967939</v>
      </c>
      <c r="U104" s="672">
        <f t="shared" ca="1" si="30"/>
        <v>6.9968897750797621E-2</v>
      </c>
    </row>
    <row r="105" spans="2:21" ht="16" customHeight="1" x14ac:dyDescent="0.15">
      <c r="B105" s="659" t="s">
        <v>210</v>
      </c>
      <c r="C105" s="697"/>
      <c r="D105" s="700"/>
      <c r="E105" s="698"/>
      <c r="F105" s="743">
        <f>'Assumptions and Sensis'!F211</f>
        <v>135</v>
      </c>
      <c r="G105" s="702">
        <f>'Assumptions and Sensis'!$M$96</f>
        <v>0.02</v>
      </c>
      <c r="H105" s="703">
        <f>'Assumptions and Sensis'!$M$81</f>
        <v>0.1</v>
      </c>
      <c r="L105" s="604" t="s">
        <v>83</v>
      </c>
      <c r="M105" s="577"/>
      <c r="N105" s="577"/>
      <c r="O105" s="644">
        <f t="shared" ca="1" si="31"/>
        <v>2000000.0039174061</v>
      </c>
      <c r="P105" s="644">
        <f ca="1">'S&amp;U'!R34</f>
        <v>764323.10105370777</v>
      </c>
      <c r="Q105" s="645">
        <f t="shared" ca="1" si="28"/>
        <v>1.9124323133782788E-3</v>
      </c>
      <c r="R105" s="644">
        <f ca="1">'S&amp;U'!S34</f>
        <v>444607.63224393112</v>
      </c>
      <c r="S105" s="645">
        <f t="shared" ca="1" si="29"/>
        <v>2.0049737175319902E-3</v>
      </c>
      <c r="T105" s="644">
        <f ca="1">'S&amp;U'!T34</f>
        <v>791069.26670236117</v>
      </c>
      <c r="U105" s="672">
        <f t="shared" ca="1" si="30"/>
        <v>1.990140244403161E-3</v>
      </c>
    </row>
    <row r="106" spans="2:21" ht="16" customHeight="1" x14ac:dyDescent="0.15">
      <c r="B106" s="659" t="s">
        <v>28</v>
      </c>
      <c r="C106" s="697"/>
      <c r="D106" s="700"/>
      <c r="E106" s="698"/>
      <c r="F106" s="743">
        <f>'Assumptions and Sensis'!F224</f>
        <v>135</v>
      </c>
      <c r="G106" s="702">
        <f>'Assumptions and Sensis'!$M$96</f>
        <v>0.02</v>
      </c>
      <c r="H106" s="703">
        <f>'Assumptions and Sensis'!$M$81</f>
        <v>0.1</v>
      </c>
      <c r="L106" s="604" t="s">
        <v>60</v>
      </c>
      <c r="M106" s="577"/>
      <c r="N106" s="577"/>
      <c r="O106" s="644">
        <f t="shared" ca="1" si="31"/>
        <v>29186390.741388969</v>
      </c>
      <c r="P106" s="644">
        <f ca="1">'S&amp;U'!R35</f>
        <v>11439613.385352328</v>
      </c>
      <c r="Q106" s="645">
        <f t="shared" ca="1" si="28"/>
        <v>2.8623348241786532E-2</v>
      </c>
      <c r="R106" s="644">
        <f ca="1">'S&amp;U'!S35</f>
        <v>6434952.7060475629</v>
      </c>
      <c r="S106" s="645">
        <f t="shared" ca="1" si="29"/>
        <v>2.9018645010817475E-2</v>
      </c>
      <c r="T106" s="644">
        <f ca="1">'S&amp;U'!T35</f>
        <v>11311824.592347085</v>
      </c>
      <c r="U106" s="672">
        <f t="shared" ca="1" si="30"/>
        <v>2.8457833348403194E-2</v>
      </c>
    </row>
    <row r="107" spans="2:21" ht="16" customHeight="1" x14ac:dyDescent="0.15">
      <c r="B107" s="627" t="s">
        <v>611</v>
      </c>
      <c r="C107" s="628"/>
      <c r="D107" s="628"/>
      <c r="E107" s="629"/>
      <c r="F107" s="744">
        <f>+F106</f>
        <v>135</v>
      </c>
      <c r="G107" s="704">
        <f>+G106</f>
        <v>0.02</v>
      </c>
      <c r="H107" s="705">
        <f>+H106</f>
        <v>0.1</v>
      </c>
      <c r="L107" s="735" t="s">
        <v>97</v>
      </c>
      <c r="M107" s="736"/>
      <c r="N107" s="736"/>
      <c r="O107" s="737">
        <f t="shared" ca="1" si="31"/>
        <v>1018906791.2491224</v>
      </c>
      <c r="P107" s="737">
        <f ca="1">'S&amp;U'!R36</f>
        <v>399660210.56376326</v>
      </c>
      <c r="Q107" s="738"/>
      <c r="R107" s="737">
        <f ca="1">'S&amp;U'!S36</f>
        <v>221752349.34810922</v>
      </c>
      <c r="S107" s="738"/>
      <c r="T107" s="737">
        <f ca="1">'S&amp;U'!T36</f>
        <v>397494231.33724993</v>
      </c>
      <c r="U107" s="739"/>
    </row>
    <row r="108" spans="2:21" ht="16" customHeight="1" x14ac:dyDescent="0.15"/>
    <row r="109" spans="2:21" ht="16" customHeight="1" x14ac:dyDescent="0.2">
      <c r="B109" s="676" t="s">
        <v>937</v>
      </c>
      <c r="C109" s="677"/>
      <c r="D109" s="1044" t="s">
        <v>1010</v>
      </c>
      <c r="E109" s="1041"/>
      <c r="F109" s="1042"/>
      <c r="G109" s="1041" t="s">
        <v>709</v>
      </c>
      <c r="H109" s="1042"/>
      <c r="L109" s="561" t="s">
        <v>900</v>
      </c>
      <c r="M109" s="562"/>
      <c r="N109" s="562"/>
      <c r="O109" s="562"/>
      <c r="P109" s="1037" t="s">
        <v>901</v>
      </c>
      <c r="Q109" s="1037"/>
      <c r="R109" s="1037"/>
      <c r="S109" s="1037"/>
      <c r="T109" s="1037"/>
      <c r="U109" s="832"/>
    </row>
    <row r="110" spans="2:21" ht="16" customHeight="1" x14ac:dyDescent="0.2">
      <c r="B110" s="679"/>
      <c r="C110" s="680"/>
      <c r="D110" s="865" t="s">
        <v>1011</v>
      </c>
      <c r="E110" s="682" t="s">
        <v>939</v>
      </c>
      <c r="F110" s="683" t="s">
        <v>702</v>
      </c>
      <c r="G110" s="682" t="s">
        <v>1012</v>
      </c>
      <c r="H110" s="683" t="s">
        <v>939</v>
      </c>
      <c r="L110" s="639"/>
      <c r="M110" s="640"/>
      <c r="N110" s="640"/>
      <c r="O110" s="641" t="s">
        <v>17</v>
      </c>
      <c r="P110" s="641" t="s">
        <v>902</v>
      </c>
      <c r="Q110" s="641"/>
      <c r="R110" s="641"/>
      <c r="S110" s="641"/>
      <c r="T110" s="641" t="s">
        <v>903</v>
      </c>
      <c r="U110" s="642"/>
    </row>
    <row r="111" spans="2:21" ht="16" customHeight="1" x14ac:dyDescent="0.2">
      <c r="B111" s="659" t="s">
        <v>25</v>
      </c>
      <c r="C111" s="860"/>
      <c r="D111" s="866">
        <f>'Market Comps'!C5</f>
        <v>68709276</v>
      </c>
      <c r="E111" s="861">
        <f>'Market Comps'!G5</f>
        <v>423297</v>
      </c>
      <c r="F111" s="1086">
        <f>'Market Comps'!I5</f>
        <v>6.1606965557314272E-3</v>
      </c>
      <c r="G111" s="868">
        <f>'Market Comps'!E5</f>
        <v>25.857142857142858</v>
      </c>
      <c r="H111" s="869">
        <f>'Market Comps'!M5</f>
        <v>23</v>
      </c>
      <c r="L111" s="604" t="s">
        <v>906</v>
      </c>
      <c r="M111" s="563"/>
      <c r="N111" s="563"/>
      <c r="O111" s="644">
        <f>SUM(P111:T111)</f>
        <v>251007.50768665521</v>
      </c>
      <c r="P111" s="644">
        <f>+'Smart City HoldCo'!$G$32</f>
        <v>207859.00000000003</v>
      </c>
      <c r="Q111" s="645"/>
      <c r="R111" s="644"/>
      <c r="S111" s="645"/>
      <c r="T111" s="644">
        <f>+'Smart City HoldCo'!$G$52</f>
        <v>43148.507686655197</v>
      </c>
      <c r="U111" s="646"/>
    </row>
    <row r="112" spans="2:21" ht="16" customHeight="1" x14ac:dyDescent="0.2">
      <c r="B112" s="659" t="s">
        <v>146</v>
      </c>
      <c r="C112" s="860"/>
      <c r="D112" s="866">
        <f>'Market Comps'!C6</f>
        <v>33656170</v>
      </c>
      <c r="E112" s="861">
        <f>'Market Comps'!G6</f>
        <v>1133974.8999999999</v>
      </c>
      <c r="F112" s="1086">
        <f>'Market Comps'!I6</f>
        <v>3.3692927626643193E-2</v>
      </c>
      <c r="G112" s="868">
        <f>'Market Comps'!E6</f>
        <v>25.4</v>
      </c>
      <c r="H112" s="869">
        <f>'Market Comps'!M6</f>
        <v>24</v>
      </c>
      <c r="L112" s="604" t="s">
        <v>853</v>
      </c>
      <c r="M112" s="563"/>
      <c r="N112" s="563"/>
      <c r="O112" s="847">
        <f>+SUMPRODUCT(P112:T112,P111:T111)/O111</f>
        <v>8.3438025267397151</v>
      </c>
      <c r="P112" s="847">
        <f>+'Smart City HoldCo'!$R$3</f>
        <v>8</v>
      </c>
      <c r="Q112" s="848"/>
      <c r="R112" s="847"/>
      <c r="S112" s="848"/>
      <c r="T112" s="847">
        <f>+'Smart City HoldCo'!$R$11</f>
        <v>10</v>
      </c>
      <c r="U112" s="646"/>
    </row>
    <row r="113" spans="2:21" ht="16" customHeight="1" x14ac:dyDescent="0.2">
      <c r="B113" s="659" t="s">
        <v>235</v>
      </c>
      <c r="C113" s="860"/>
      <c r="D113" s="866">
        <f>'Market Comps'!C7</f>
        <v>81635626</v>
      </c>
      <c r="E113" s="861">
        <f>'Market Comps'!G7</f>
        <v>234630.00000199999</v>
      </c>
      <c r="F113" s="1086">
        <f>'Market Comps'!I7</f>
        <v>2.8741128291464315E-3</v>
      </c>
      <c r="G113" s="868">
        <f>'Market Comps'!E7</f>
        <v>12.059999999999999</v>
      </c>
      <c r="H113" s="869">
        <f>'Market Comps'!M7</f>
        <v>12</v>
      </c>
      <c r="L113" s="604" t="s">
        <v>393</v>
      </c>
      <c r="M113" s="579"/>
      <c r="N113" s="579"/>
      <c r="O113" s="849">
        <f>+'Smart City HoldCo'!F64</f>
        <v>0.12801137026914899</v>
      </c>
      <c r="P113" s="849">
        <f>+'Smart City HoldCo'!F39</f>
        <v>0.12010127027372763</v>
      </c>
      <c r="Q113" s="850"/>
      <c r="R113" s="849"/>
      <c r="S113" s="850"/>
      <c r="T113" s="849">
        <f>+'Smart City HoldCo'!F58</f>
        <v>0.17653719092704412</v>
      </c>
      <c r="U113" s="646"/>
    </row>
    <row r="114" spans="2:21" ht="16" customHeight="1" x14ac:dyDescent="0.2">
      <c r="B114" s="659" t="s">
        <v>1013</v>
      </c>
      <c r="C114" s="860"/>
      <c r="D114" s="867">
        <f>'Market Comps'!D8</f>
        <v>21670</v>
      </c>
      <c r="E114" s="861">
        <f>'Market Comps'!H8</f>
        <v>378.49568146188767</v>
      </c>
      <c r="F114" s="1086">
        <f>'Market Comps'!I8</f>
        <v>1.74663443221914E-2</v>
      </c>
      <c r="G114" s="868">
        <f>'Market Comps'!E8</f>
        <v>739.02104097452923</v>
      </c>
      <c r="H114" s="869">
        <f>'Market Comps'!M8</f>
        <v>739.02104097452923</v>
      </c>
      <c r="L114" s="604" t="s">
        <v>904</v>
      </c>
      <c r="M114" s="579"/>
      <c r="N114" s="579"/>
      <c r="O114" s="849">
        <f>+'Smart City HoldCo'!$R$17</f>
        <v>0.08</v>
      </c>
      <c r="P114" s="849" t="s">
        <v>491</v>
      </c>
      <c r="Q114" s="850"/>
      <c r="R114" s="849"/>
      <c r="S114" s="850"/>
      <c r="T114" s="849" t="s">
        <v>491</v>
      </c>
      <c r="U114" s="646"/>
    </row>
    <row r="115" spans="2:21" ht="16" customHeight="1" x14ac:dyDescent="0.2">
      <c r="B115" s="659" t="s">
        <v>1014</v>
      </c>
      <c r="C115" s="860"/>
      <c r="D115" s="867">
        <f>'Market Comps'!D9</f>
        <v>158941</v>
      </c>
      <c r="E115" s="861">
        <f>'Market Comps'!H9</f>
        <v>1513.9827258475507</v>
      </c>
      <c r="F115" s="1086">
        <f>'Market Comps'!I9</f>
        <v>9.5254385328364024E-3</v>
      </c>
      <c r="G115" s="868">
        <f>'Market Comps'!E9</f>
        <v>1679.0817275747504</v>
      </c>
      <c r="H115" s="869">
        <f>'Market Comps'!M9</f>
        <v>1756.4784053156145</v>
      </c>
      <c r="L115" s="604" t="s">
        <v>905</v>
      </c>
      <c r="M115" s="579"/>
      <c r="N115" s="579"/>
      <c r="O115" s="847">
        <f>+'Smart City HoldCo'!R15</f>
        <v>5</v>
      </c>
      <c r="P115" s="847" t="s">
        <v>491</v>
      </c>
      <c r="Q115" s="848"/>
      <c r="R115" s="847"/>
      <c r="S115" s="848"/>
      <c r="T115" s="847" t="s">
        <v>491</v>
      </c>
      <c r="U115" s="646"/>
    </row>
    <row r="116" spans="2:21" ht="16" customHeight="1" x14ac:dyDescent="0.2">
      <c r="B116" s="659" t="s">
        <v>1015</v>
      </c>
      <c r="C116" s="860"/>
      <c r="D116" s="867">
        <f>'Market Comps'!D10</f>
        <v>28000</v>
      </c>
      <c r="E116" s="861">
        <f>'Market Comps'!H10</f>
        <v>615.96735555555563</v>
      </c>
      <c r="F116" s="1086">
        <f>'Market Comps'!I10</f>
        <v>2.199883412698413E-2</v>
      </c>
      <c r="G116" s="868">
        <f>'Market Comps'!E10</f>
        <v>96.232560905660307</v>
      </c>
      <c r="H116" s="869">
        <f>'Market Comps'!M10</f>
        <v>91.95734490968033</v>
      </c>
      <c r="L116" s="735" t="s">
        <v>355</v>
      </c>
      <c r="M116" s="736"/>
      <c r="N116" s="736"/>
      <c r="O116" s="851">
        <f>+'Smart City HoldCo'!F76</f>
        <v>0.16421438444145742</v>
      </c>
      <c r="P116" s="851" t="s">
        <v>491</v>
      </c>
      <c r="Q116" s="738"/>
      <c r="R116" s="737"/>
      <c r="S116" s="738"/>
      <c r="T116" s="737" t="s">
        <v>491</v>
      </c>
      <c r="U116" s="739"/>
    </row>
    <row r="117" spans="2:21" ht="16" customHeight="1" x14ac:dyDescent="0.2">
      <c r="B117" s="659" t="s">
        <v>1016</v>
      </c>
      <c r="C117" s="860"/>
      <c r="D117" s="867">
        <f>'Market Comps'!D11</f>
        <v>772919.17999999993</v>
      </c>
      <c r="E117" s="861">
        <f>'Market Comps'!H11</f>
        <v>1172.7272727272727</v>
      </c>
      <c r="F117" s="1086">
        <f>'Market Comps'!I11</f>
        <v>1.5172702438659535E-3</v>
      </c>
      <c r="G117" s="868">
        <f>'Market Comps'!E11</f>
        <v>129</v>
      </c>
      <c r="H117" s="869">
        <f>'Market Comps'!M11</f>
        <v>135</v>
      </c>
    </row>
    <row r="118" spans="2:21" ht="16" customHeight="1" x14ac:dyDescent="0.15">
      <c r="B118" s="862" t="s">
        <v>145</v>
      </c>
      <c r="C118" s="863"/>
      <c r="D118" s="882">
        <f>'Market Comps'!D12</f>
        <v>0</v>
      </c>
      <c r="E118" s="870">
        <f>'Market Comps'!G12</f>
        <v>157335.0001</v>
      </c>
      <c r="F118" s="1087"/>
      <c r="G118" s="864"/>
      <c r="H118" s="997">
        <f>'Market Comps'!M12</f>
        <v>10</v>
      </c>
    </row>
    <row r="119" spans="2:21" ht="16" customHeight="1" x14ac:dyDescent="0.15">
      <c r="B119" s="564" t="s">
        <v>1017</v>
      </c>
    </row>
    <row r="120" spans="2:21" ht="16" customHeight="1" x14ac:dyDescent="0.15"/>
    <row r="121" spans="2:21" ht="16" customHeight="1" x14ac:dyDescent="0.15"/>
    <row r="122" spans="2:21" ht="16" customHeight="1" x14ac:dyDescent="0.15"/>
    <row r="123" spans="2:21" ht="16" customHeight="1" x14ac:dyDescent="0.15"/>
    <row r="124" spans="2:21" ht="16" customHeight="1" x14ac:dyDescent="0.15"/>
    <row r="125" spans="2:21" ht="16" customHeight="1" x14ac:dyDescent="0.15"/>
    <row r="126" spans="2:21" ht="16" customHeight="1" x14ac:dyDescent="0.15"/>
    <row r="127" spans="2:21" ht="16" customHeight="1" x14ac:dyDescent="0.15"/>
    <row r="128" spans="2:21" ht="16" customHeight="1" x14ac:dyDescent="0.15"/>
    <row r="129" ht="16" customHeight="1" x14ac:dyDescent="0.15"/>
    <row r="130" ht="16" customHeight="1" x14ac:dyDescent="0.15"/>
    <row r="131" ht="16" customHeight="1" x14ac:dyDescent="0.15"/>
    <row r="132" ht="16" customHeight="1" x14ac:dyDescent="0.15"/>
    <row r="133" ht="16" customHeight="1" x14ac:dyDescent="0.15"/>
    <row r="134" ht="16" customHeight="1" x14ac:dyDescent="0.15"/>
    <row r="135" ht="19" customHeight="1" x14ac:dyDescent="0.15"/>
    <row r="136" ht="19" customHeight="1" x14ac:dyDescent="0.15"/>
    <row r="137" ht="19" customHeight="1" x14ac:dyDescent="0.15"/>
  </sheetData>
  <mergeCells count="15">
    <mergeCell ref="P109:T109"/>
    <mergeCell ref="D42:D43"/>
    <mergeCell ref="F42:H42"/>
    <mergeCell ref="P50:T50"/>
    <mergeCell ref="E59:F59"/>
    <mergeCell ref="F90:H90"/>
    <mergeCell ref="B75:H75"/>
    <mergeCell ref="D109:F109"/>
    <mergeCell ref="G109:H109"/>
    <mergeCell ref="F29:H29"/>
    <mergeCell ref="F4:H4"/>
    <mergeCell ref="P4:T4"/>
    <mergeCell ref="D12:D13"/>
    <mergeCell ref="F12:H12"/>
    <mergeCell ref="P17:T17"/>
  </mergeCells>
  <phoneticPr fontId="62" type="noConversion"/>
  <pageMargins left="0.7" right="0.7" top="0.75" bottom="0.75" header="0.3" footer="0.3"/>
  <pageSetup paperSize="3" scale="4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E1BE1D"/>
  </sheetPr>
  <dimension ref="B2:AV76"/>
  <sheetViews>
    <sheetView showGridLines="0" topLeftCell="B1" zoomScale="37" zoomScaleNormal="90" workbookViewId="0">
      <selection activeCell="B39" sqref="B39"/>
    </sheetView>
  </sheetViews>
  <sheetFormatPr baseColWidth="10" defaultColWidth="16.6640625" defaultRowHeight="16" customHeight="1" x14ac:dyDescent="0.2"/>
  <cols>
    <col min="1" max="1" width="8.6640625" style="40" customWidth="1"/>
    <col min="2" max="16384" width="16.6640625" style="40"/>
  </cols>
  <sheetData>
    <row r="2" spans="2:18" ht="16" customHeight="1" x14ac:dyDescent="0.2">
      <c r="B2" s="1085" t="s">
        <v>829</v>
      </c>
      <c r="C2" s="1085"/>
      <c r="D2" s="1085"/>
      <c r="E2" s="1085"/>
      <c r="F2" s="1085"/>
      <c r="H2" s="1085" t="s">
        <v>831</v>
      </c>
      <c r="I2" s="1085"/>
      <c r="J2" s="1085"/>
      <c r="K2" s="1085"/>
      <c r="L2" s="1085"/>
      <c r="N2" s="1085" t="s">
        <v>852</v>
      </c>
      <c r="O2" s="1085"/>
      <c r="P2" s="1085"/>
      <c r="Q2" s="1085"/>
      <c r="R2" s="1085"/>
    </row>
    <row r="3" spans="2:18" ht="16" customHeight="1" x14ac:dyDescent="0.2">
      <c r="B3" s="40" t="s">
        <v>830</v>
      </c>
      <c r="F3" s="837">
        <v>9.6100000000000005E-2</v>
      </c>
      <c r="H3" s="40" t="s">
        <v>841</v>
      </c>
      <c r="L3" s="218">
        <v>2500</v>
      </c>
      <c r="N3" s="40" t="s">
        <v>853</v>
      </c>
      <c r="R3" s="843">
        <v>8</v>
      </c>
    </row>
    <row r="4" spans="2:18" ht="16" customHeight="1" x14ac:dyDescent="0.2">
      <c r="B4" s="40" t="s">
        <v>832</v>
      </c>
      <c r="F4" s="839">
        <v>1</v>
      </c>
      <c r="H4" s="40" t="s">
        <v>842</v>
      </c>
      <c r="L4" s="70">
        <f>+L3*F4*1000</f>
        <v>2500000</v>
      </c>
      <c r="N4" s="40" t="s">
        <v>854</v>
      </c>
      <c r="R4" s="56">
        <v>46387</v>
      </c>
    </row>
    <row r="5" spans="2:18" ht="16" customHeight="1" x14ac:dyDescent="0.2">
      <c r="B5" s="40" t="s">
        <v>833</v>
      </c>
      <c r="F5" s="838">
        <v>0.25</v>
      </c>
      <c r="L5" s="841"/>
      <c r="N5" s="40" t="s">
        <v>858</v>
      </c>
      <c r="R5" s="840">
        <v>0.3</v>
      </c>
    </row>
    <row r="6" spans="2:18" ht="16" customHeight="1" x14ac:dyDescent="0.2">
      <c r="B6" s="40" t="s">
        <v>835</v>
      </c>
      <c r="F6" s="65">
        <f>+F4*365*24*F5</f>
        <v>2190</v>
      </c>
    </row>
    <row r="7" spans="2:18" ht="16" customHeight="1" x14ac:dyDescent="0.2">
      <c r="B7" s="40" t="s">
        <v>836</v>
      </c>
      <c r="F7" s="70">
        <f>+F3*1000</f>
        <v>96.100000000000009</v>
      </c>
      <c r="H7" s="1085" t="s">
        <v>837</v>
      </c>
      <c r="I7" s="1085"/>
      <c r="J7" s="1085"/>
      <c r="K7" s="1085"/>
      <c r="L7" s="1085"/>
      <c r="N7" s="1085" t="s">
        <v>870</v>
      </c>
      <c r="O7" s="1085"/>
      <c r="P7" s="1085"/>
      <c r="Q7" s="1085"/>
      <c r="R7" s="1085"/>
    </row>
    <row r="8" spans="2:18" ht="16" customHeight="1" x14ac:dyDescent="0.2">
      <c r="B8" s="40" t="s">
        <v>834</v>
      </c>
      <c r="F8" s="70">
        <f>+F6*F7</f>
        <v>210459.00000000003</v>
      </c>
      <c r="H8" s="40" t="s">
        <v>838</v>
      </c>
      <c r="L8" s="100">
        <v>8.5</v>
      </c>
      <c r="N8" s="40" t="s">
        <v>872</v>
      </c>
      <c r="R8" s="838">
        <v>0.8</v>
      </c>
    </row>
    <row r="9" spans="2:18" ht="16" customHeight="1" x14ac:dyDescent="0.2">
      <c r="B9" s="40" t="s">
        <v>856</v>
      </c>
      <c r="F9" s="218">
        <v>10</v>
      </c>
      <c r="H9" s="40" t="s">
        <v>840</v>
      </c>
      <c r="L9" s="840">
        <v>4.0000000000000001E-3</v>
      </c>
      <c r="R9" s="840"/>
    </row>
    <row r="10" spans="2:18" ht="16" customHeight="1" x14ac:dyDescent="0.2">
      <c r="B10" s="40" t="s">
        <v>857</v>
      </c>
      <c r="F10" s="70">
        <f>+F9*F6</f>
        <v>21900</v>
      </c>
      <c r="H10" s="40" t="s">
        <v>839</v>
      </c>
      <c r="L10" s="100">
        <v>6</v>
      </c>
      <c r="N10" s="1085" t="s">
        <v>871</v>
      </c>
      <c r="O10" s="1085"/>
      <c r="P10" s="1085"/>
      <c r="Q10" s="1085"/>
      <c r="R10" s="1085"/>
    </row>
    <row r="11" spans="2:18" ht="16" customHeight="1" x14ac:dyDescent="0.2">
      <c r="B11" s="40" t="s">
        <v>846</v>
      </c>
      <c r="F11" s="838">
        <v>0.02</v>
      </c>
      <c r="N11" s="40" t="s">
        <v>853</v>
      </c>
      <c r="R11" s="843">
        <v>10</v>
      </c>
    </row>
    <row r="12" spans="2:18" ht="16" customHeight="1" x14ac:dyDescent="0.2">
      <c r="N12" s="40" t="s">
        <v>854</v>
      </c>
      <c r="R12" s="55">
        <f>+$R$4</f>
        <v>46387</v>
      </c>
    </row>
    <row r="13" spans="2:18" ht="16" customHeight="1" x14ac:dyDescent="0.2">
      <c r="B13" s="1085" t="s">
        <v>873</v>
      </c>
      <c r="C13" s="1085"/>
      <c r="D13" s="1085"/>
      <c r="E13" s="1085"/>
      <c r="F13" s="1085"/>
      <c r="H13" s="1085" t="s">
        <v>867</v>
      </c>
      <c r="I13" s="1085"/>
      <c r="J13" s="1085"/>
      <c r="K13" s="1085"/>
      <c r="L13" s="1085"/>
      <c r="R13" s="840"/>
    </row>
    <row r="14" spans="2:18" ht="16" customHeight="1" x14ac:dyDescent="0.2">
      <c r="B14" s="40" t="s">
        <v>863</v>
      </c>
      <c r="F14" s="844">
        <f>+SUM('Assumptions and Sensis'!M67:M68)</f>
        <v>1892.4784073094384</v>
      </c>
      <c r="H14" s="40" t="s">
        <v>888</v>
      </c>
      <c r="L14" s="61">
        <f>(150^2)*3.14</f>
        <v>70650</v>
      </c>
      <c r="N14" s="1085" t="s">
        <v>875</v>
      </c>
      <c r="O14" s="1085"/>
      <c r="P14" s="1085"/>
      <c r="Q14" s="1085"/>
      <c r="R14" s="1085"/>
    </row>
    <row r="15" spans="2:18" ht="16" customHeight="1" x14ac:dyDescent="0.2">
      <c r="B15" s="40" t="s">
        <v>864</v>
      </c>
      <c r="F15" s="218">
        <v>70</v>
      </c>
      <c r="H15" s="40" t="s">
        <v>887</v>
      </c>
      <c r="L15" s="61">
        <v>600000</v>
      </c>
      <c r="M15" s="61"/>
      <c r="N15" s="40" t="s">
        <v>936</v>
      </c>
      <c r="R15" s="843">
        <v>5</v>
      </c>
    </row>
    <row r="16" spans="2:18" ht="16" customHeight="1" x14ac:dyDescent="0.2">
      <c r="B16" s="40" t="s">
        <v>862</v>
      </c>
      <c r="F16" s="838">
        <v>0.3</v>
      </c>
      <c r="H16" s="40" t="s">
        <v>868</v>
      </c>
      <c r="L16" s="845">
        <f>+ROUNDUP(L15/L14,0)</f>
        <v>9</v>
      </c>
      <c r="N16" s="40" t="s">
        <v>876</v>
      </c>
      <c r="R16" s="68">
        <v>6</v>
      </c>
    </row>
    <row r="17" spans="2:48" ht="16" customHeight="1" x14ac:dyDescent="0.2">
      <c r="B17" s="40" t="s">
        <v>865</v>
      </c>
      <c r="F17" s="218">
        <v>50</v>
      </c>
      <c r="H17" s="40" t="s">
        <v>869</v>
      </c>
      <c r="L17" s="218">
        <v>35000</v>
      </c>
      <c r="N17" s="40" t="s">
        <v>877</v>
      </c>
      <c r="R17" s="840">
        <v>0.08</v>
      </c>
    </row>
    <row r="18" spans="2:48" ht="16" customHeight="1" x14ac:dyDescent="0.2">
      <c r="B18" s="40" t="s">
        <v>866</v>
      </c>
      <c r="F18" s="838">
        <v>0.15</v>
      </c>
      <c r="H18" s="40" t="s">
        <v>842</v>
      </c>
      <c r="L18" s="70">
        <f>+L17*L16</f>
        <v>315000</v>
      </c>
      <c r="N18" s="40" t="s">
        <v>162</v>
      </c>
      <c r="R18" s="328" t="s">
        <v>167</v>
      </c>
    </row>
    <row r="19" spans="2:48" ht="16" customHeight="1" x14ac:dyDescent="0.2">
      <c r="N19" s="40" t="s">
        <v>156</v>
      </c>
      <c r="R19" s="840">
        <v>0.01</v>
      </c>
    </row>
    <row r="21" spans="2:48" ht="16" customHeight="1" x14ac:dyDescent="0.2">
      <c r="B21" s="147" t="s">
        <v>828</v>
      </c>
      <c r="E21" s="149"/>
      <c r="F21" s="149">
        <f>+'Public Benefits'!G3</f>
        <v>44196</v>
      </c>
      <c r="G21" s="149">
        <f>+'Public Benefits'!H3</f>
        <v>44561</v>
      </c>
      <c r="H21" s="149">
        <f>+'Public Benefits'!I3</f>
        <v>44926</v>
      </c>
      <c r="I21" s="149">
        <f>+'Public Benefits'!J3</f>
        <v>45291</v>
      </c>
      <c r="J21" s="149">
        <f>+'Public Benefits'!K3</f>
        <v>45657</v>
      </c>
      <c r="K21" s="149">
        <f>+'Public Benefits'!L3</f>
        <v>46022</v>
      </c>
      <c r="L21" s="149">
        <f>+'Public Benefits'!M3</f>
        <v>46387</v>
      </c>
      <c r="M21" s="149">
        <f>+'Public Benefits'!N3</f>
        <v>46752</v>
      </c>
      <c r="N21" s="149">
        <f>+'Public Benefits'!O3</f>
        <v>47118</v>
      </c>
      <c r="O21" s="149">
        <f>+'Public Benefits'!P3</f>
        <v>47483</v>
      </c>
      <c r="P21" s="149">
        <f>+'Public Benefits'!Q3</f>
        <v>47848</v>
      </c>
      <c r="Q21" s="149">
        <f>+'Public Benefits'!R3</f>
        <v>48213</v>
      </c>
      <c r="R21" s="149">
        <f>+'Public Benefits'!S3</f>
        <v>48579</v>
      </c>
      <c r="S21" s="149">
        <f>+'Public Benefits'!T3</f>
        <v>48944</v>
      </c>
      <c r="T21" s="149">
        <f>+'Public Benefits'!U3</f>
        <v>49309</v>
      </c>
      <c r="U21" s="149">
        <f>+'Public Benefits'!V3</f>
        <v>49674</v>
      </c>
      <c r="V21" s="149">
        <f>+'Public Benefits'!W3</f>
        <v>50040</v>
      </c>
      <c r="W21" s="149">
        <f>+'Public Benefits'!X3</f>
        <v>50405</v>
      </c>
      <c r="X21" s="149">
        <f>+'Public Benefits'!Y3</f>
        <v>50770</v>
      </c>
      <c r="Y21" s="149">
        <f>+'Public Benefits'!Z3</f>
        <v>51135</v>
      </c>
      <c r="Z21" s="149">
        <f>+'Public Benefits'!AA3</f>
        <v>51501</v>
      </c>
      <c r="AA21" s="149">
        <f>+'Public Benefits'!AB3</f>
        <v>51866</v>
      </c>
      <c r="AB21" s="149">
        <f>+'Public Benefits'!AC3</f>
        <v>52231</v>
      </c>
      <c r="AC21" s="149">
        <f>+'Public Benefits'!AD3</f>
        <v>52596</v>
      </c>
      <c r="AD21" s="149">
        <f>+'Public Benefits'!AE3</f>
        <v>52962</v>
      </c>
      <c r="AE21" s="149">
        <f>+'Public Benefits'!AF3</f>
        <v>53327</v>
      </c>
      <c r="AF21" s="149">
        <f>+'Public Benefits'!AG3</f>
        <v>53692</v>
      </c>
      <c r="AG21" s="149">
        <f>+'Public Benefits'!AH3</f>
        <v>54057</v>
      </c>
      <c r="AH21" s="149">
        <f>+'Public Benefits'!AI3</f>
        <v>54423</v>
      </c>
      <c r="AI21" s="149">
        <f>+'Public Benefits'!AJ3</f>
        <v>54788</v>
      </c>
      <c r="AJ21" s="149">
        <f>+'Public Benefits'!AK3</f>
        <v>55153</v>
      </c>
      <c r="AK21" s="149">
        <f>+'Public Benefits'!AL3</f>
        <v>55518</v>
      </c>
      <c r="AL21" s="149">
        <f>+'Public Benefits'!AM3</f>
        <v>55884</v>
      </c>
      <c r="AM21" s="149">
        <f>+'Public Benefits'!AN3</f>
        <v>56249</v>
      </c>
      <c r="AN21" s="149">
        <f>+'Public Benefits'!AO3</f>
        <v>56614</v>
      </c>
      <c r="AO21" s="149">
        <f>+'Public Benefits'!AP3</f>
        <v>56979</v>
      </c>
      <c r="AP21" s="149">
        <f>+'Public Benefits'!AQ3</f>
        <v>57345</v>
      </c>
      <c r="AQ21" s="149">
        <f>+'Public Benefits'!AR3</f>
        <v>57710</v>
      </c>
      <c r="AR21" s="149">
        <f>+'Public Benefits'!AS3</f>
        <v>58075</v>
      </c>
      <c r="AS21" s="149">
        <f>+'Public Benefits'!AT3</f>
        <v>58440</v>
      </c>
      <c r="AT21" s="149">
        <f>+'Public Benefits'!AU3</f>
        <v>58806</v>
      </c>
      <c r="AU21" s="149">
        <f>+'Public Benefits'!AV3</f>
        <v>0</v>
      </c>
    </row>
    <row r="22" spans="2:48" ht="16" customHeight="1" x14ac:dyDescent="0.2">
      <c r="B22" s="32" t="s">
        <v>843</v>
      </c>
      <c r="D22" s="47"/>
      <c r="F22" s="33"/>
      <c r="G22" s="33">
        <f>+F8</f>
        <v>210459.00000000003</v>
      </c>
      <c r="H22" s="33">
        <f>+G22*(1+$F$11)</f>
        <v>214668.18000000002</v>
      </c>
      <c r="I22" s="33">
        <f t="shared" ref="I22:AV22" si="0">+H22*(1+$F$11)</f>
        <v>218961.54360000003</v>
      </c>
      <c r="J22" s="33">
        <f t="shared" si="0"/>
        <v>223340.77447200005</v>
      </c>
      <c r="K22" s="33">
        <f t="shared" si="0"/>
        <v>227807.58996144004</v>
      </c>
      <c r="L22" s="33">
        <f t="shared" si="0"/>
        <v>232363.74176066884</v>
      </c>
      <c r="M22" s="33">
        <f t="shared" si="0"/>
        <v>237011.01659588222</v>
      </c>
      <c r="N22" s="33">
        <f t="shared" si="0"/>
        <v>241751.23692779988</v>
      </c>
      <c r="O22" s="33">
        <f t="shared" si="0"/>
        <v>246586.26166635589</v>
      </c>
      <c r="P22" s="33">
        <f t="shared" si="0"/>
        <v>251517.98689968302</v>
      </c>
      <c r="Q22" s="33">
        <f t="shared" si="0"/>
        <v>256548.34663767667</v>
      </c>
      <c r="R22" s="33">
        <f t="shared" si="0"/>
        <v>261679.31357043021</v>
      </c>
      <c r="S22" s="33">
        <f t="shared" si="0"/>
        <v>266912.89984183881</v>
      </c>
      <c r="T22" s="33">
        <f t="shared" si="0"/>
        <v>272251.1578386756</v>
      </c>
      <c r="U22" s="33">
        <f t="shared" si="0"/>
        <v>277696.18099544913</v>
      </c>
      <c r="V22" s="33">
        <f t="shared" si="0"/>
        <v>283250.10461535811</v>
      </c>
      <c r="W22" s="33">
        <f t="shared" si="0"/>
        <v>288915.10670766525</v>
      </c>
      <c r="X22" s="33">
        <f t="shared" si="0"/>
        <v>294693.40884181857</v>
      </c>
      <c r="Y22" s="33">
        <f t="shared" si="0"/>
        <v>300587.27701865498</v>
      </c>
      <c r="Z22" s="33">
        <f t="shared" si="0"/>
        <v>306599.02255902806</v>
      </c>
      <c r="AA22" s="33">
        <f t="shared" si="0"/>
        <v>312731.0030102086</v>
      </c>
      <c r="AB22" s="33">
        <f t="shared" si="0"/>
        <v>318985.62307041278</v>
      </c>
      <c r="AC22" s="33">
        <f t="shared" si="0"/>
        <v>325365.33553182107</v>
      </c>
      <c r="AD22" s="33">
        <f t="shared" si="0"/>
        <v>331872.64224245748</v>
      </c>
      <c r="AE22" s="33">
        <f t="shared" si="0"/>
        <v>338510.09508730663</v>
      </c>
      <c r="AF22" s="33">
        <f t="shared" si="0"/>
        <v>345280.29698905279</v>
      </c>
      <c r="AG22" s="33">
        <f t="shared" si="0"/>
        <v>352185.90292883385</v>
      </c>
      <c r="AH22" s="33">
        <f t="shared" si="0"/>
        <v>359229.62098741054</v>
      </c>
      <c r="AI22" s="33">
        <f t="shared" si="0"/>
        <v>366414.21340715874</v>
      </c>
      <c r="AJ22" s="33">
        <f t="shared" si="0"/>
        <v>373742.49767530191</v>
      </c>
      <c r="AK22" s="33">
        <f t="shared" si="0"/>
        <v>381217.34762880794</v>
      </c>
      <c r="AL22" s="33">
        <f t="shared" si="0"/>
        <v>388841.69458138413</v>
      </c>
      <c r="AM22" s="33">
        <f t="shared" si="0"/>
        <v>396618.5284730118</v>
      </c>
      <c r="AN22" s="33">
        <f t="shared" si="0"/>
        <v>404550.89904247207</v>
      </c>
      <c r="AO22" s="33">
        <f t="shared" si="0"/>
        <v>412641.9170233215</v>
      </c>
      <c r="AP22" s="33">
        <f t="shared" si="0"/>
        <v>420894.75536378793</v>
      </c>
      <c r="AQ22" s="33">
        <f t="shared" si="0"/>
        <v>429312.65047106368</v>
      </c>
      <c r="AR22" s="33">
        <f t="shared" si="0"/>
        <v>437898.90348048497</v>
      </c>
      <c r="AS22" s="33">
        <f t="shared" si="0"/>
        <v>446656.88155009469</v>
      </c>
      <c r="AT22" s="33">
        <f t="shared" si="0"/>
        <v>455590.01918109658</v>
      </c>
      <c r="AU22" s="33">
        <f t="shared" si="0"/>
        <v>464701.81956471852</v>
      </c>
      <c r="AV22" s="33">
        <f t="shared" si="0"/>
        <v>473995.85595601291</v>
      </c>
    </row>
    <row r="23" spans="2:48" ht="16" customHeight="1" x14ac:dyDescent="0.2">
      <c r="B23" s="32" t="s">
        <v>844</v>
      </c>
      <c r="D23" s="24"/>
      <c r="F23" s="41"/>
      <c r="G23" s="41">
        <f>+F10</f>
        <v>21900</v>
      </c>
      <c r="H23" s="41">
        <f>+G23*(1+$F$11)</f>
        <v>22338</v>
      </c>
      <c r="I23" s="41">
        <f t="shared" ref="I23:AV23" si="1">+H23*(1+$F$11)</f>
        <v>22784.760000000002</v>
      </c>
      <c r="J23" s="41">
        <f t="shared" si="1"/>
        <v>23240.455200000004</v>
      </c>
      <c r="K23" s="41">
        <f t="shared" si="1"/>
        <v>23705.264304000004</v>
      </c>
      <c r="L23" s="41">
        <f t="shared" si="1"/>
        <v>24179.369590080005</v>
      </c>
      <c r="M23" s="41">
        <f t="shared" si="1"/>
        <v>24662.956981881605</v>
      </c>
      <c r="N23" s="41">
        <f t="shared" si="1"/>
        <v>25156.216121519239</v>
      </c>
      <c r="O23" s="41">
        <f t="shared" si="1"/>
        <v>25659.340443949623</v>
      </c>
      <c r="P23" s="41">
        <f t="shared" si="1"/>
        <v>26172.527252828615</v>
      </c>
      <c r="Q23" s="41">
        <f t="shared" si="1"/>
        <v>26695.977797885189</v>
      </c>
      <c r="R23" s="41">
        <f t="shared" si="1"/>
        <v>27229.897353842895</v>
      </c>
      <c r="S23" s="41">
        <f t="shared" si="1"/>
        <v>27774.495300919752</v>
      </c>
      <c r="T23" s="41">
        <f t="shared" si="1"/>
        <v>28329.985206938149</v>
      </c>
      <c r="U23" s="41">
        <f t="shared" si="1"/>
        <v>28896.584911076912</v>
      </c>
      <c r="V23" s="41">
        <f t="shared" si="1"/>
        <v>29474.516609298451</v>
      </c>
      <c r="W23" s="41">
        <f t="shared" si="1"/>
        <v>30064.006941484422</v>
      </c>
      <c r="X23" s="41">
        <f t="shared" si="1"/>
        <v>30665.287080314112</v>
      </c>
      <c r="Y23" s="41">
        <f t="shared" si="1"/>
        <v>31278.592821920396</v>
      </c>
      <c r="Z23" s="41">
        <f t="shared" si="1"/>
        <v>31904.164678358804</v>
      </c>
      <c r="AA23" s="41">
        <f t="shared" si="1"/>
        <v>32542.247971925979</v>
      </c>
      <c r="AB23" s="41">
        <f t="shared" si="1"/>
        <v>33193.092931364496</v>
      </c>
      <c r="AC23" s="41">
        <f t="shared" si="1"/>
        <v>33856.954789991789</v>
      </c>
      <c r="AD23" s="41">
        <f t="shared" si="1"/>
        <v>34534.093885791626</v>
      </c>
      <c r="AE23" s="41">
        <f t="shared" si="1"/>
        <v>35224.775763507459</v>
      </c>
      <c r="AF23" s="41">
        <f t="shared" si="1"/>
        <v>35929.271278777611</v>
      </c>
      <c r="AG23" s="41">
        <f t="shared" si="1"/>
        <v>36647.856704353166</v>
      </c>
      <c r="AH23" s="41">
        <f t="shared" si="1"/>
        <v>37380.813838440226</v>
      </c>
      <c r="AI23" s="41">
        <f t="shared" si="1"/>
        <v>38128.430115209034</v>
      </c>
      <c r="AJ23" s="41">
        <f t="shared" si="1"/>
        <v>38890.998717513212</v>
      </c>
      <c r="AK23" s="41">
        <f t="shared" si="1"/>
        <v>39668.818691863475</v>
      </c>
      <c r="AL23" s="41">
        <f t="shared" si="1"/>
        <v>40462.195065700747</v>
      </c>
      <c r="AM23" s="41">
        <f t="shared" si="1"/>
        <v>41271.438967014765</v>
      </c>
      <c r="AN23" s="41">
        <f t="shared" si="1"/>
        <v>42096.867746355063</v>
      </c>
      <c r="AO23" s="41">
        <f t="shared" si="1"/>
        <v>42938.805101282167</v>
      </c>
      <c r="AP23" s="41">
        <f t="shared" si="1"/>
        <v>43797.581203307811</v>
      </c>
      <c r="AQ23" s="41">
        <f t="shared" si="1"/>
        <v>44673.532827373965</v>
      </c>
      <c r="AR23" s="41">
        <f t="shared" si="1"/>
        <v>45567.003483921442</v>
      </c>
      <c r="AS23" s="41">
        <f t="shared" si="1"/>
        <v>46478.343553599872</v>
      </c>
      <c r="AT23" s="41">
        <f t="shared" si="1"/>
        <v>47407.910424671871</v>
      </c>
      <c r="AU23" s="41">
        <f t="shared" si="1"/>
        <v>48356.068633165312</v>
      </c>
      <c r="AV23" s="41">
        <f t="shared" si="1"/>
        <v>49323.190005828619</v>
      </c>
    </row>
    <row r="24" spans="2:48" ht="16" customHeight="1" x14ac:dyDescent="0.2">
      <c r="B24" s="136" t="s">
        <v>845</v>
      </c>
      <c r="C24" s="136"/>
      <c r="D24" s="136"/>
      <c r="E24" s="136"/>
      <c r="F24" s="128"/>
      <c r="G24" s="128">
        <f>+SUM(G22:G23)</f>
        <v>232359.00000000003</v>
      </c>
      <c r="H24" s="128">
        <f t="shared" ref="H24:AV24" si="2">+SUM(H22:H23)</f>
        <v>237006.18000000002</v>
      </c>
      <c r="I24" s="128">
        <f t="shared" si="2"/>
        <v>241746.30360000004</v>
      </c>
      <c r="J24" s="128">
        <f t="shared" si="2"/>
        <v>246581.22967200004</v>
      </c>
      <c r="K24" s="128">
        <f t="shared" si="2"/>
        <v>251512.85426544005</v>
      </c>
      <c r="L24" s="128">
        <f t="shared" si="2"/>
        <v>256543.11135074883</v>
      </c>
      <c r="M24" s="128">
        <f t="shared" si="2"/>
        <v>261673.97357776383</v>
      </c>
      <c r="N24" s="128">
        <f t="shared" si="2"/>
        <v>266907.4530493191</v>
      </c>
      <c r="O24" s="128">
        <f t="shared" si="2"/>
        <v>272245.60211030551</v>
      </c>
      <c r="P24" s="128">
        <f t="shared" si="2"/>
        <v>277690.51415251161</v>
      </c>
      <c r="Q24" s="128">
        <f t="shared" si="2"/>
        <v>283244.32443556184</v>
      </c>
      <c r="R24" s="128">
        <f t="shared" si="2"/>
        <v>288909.21092427312</v>
      </c>
      <c r="S24" s="128">
        <f t="shared" si="2"/>
        <v>294687.39514275856</v>
      </c>
      <c r="T24" s="128">
        <f t="shared" si="2"/>
        <v>300581.14304561378</v>
      </c>
      <c r="U24" s="128">
        <f t="shared" si="2"/>
        <v>306592.76590652607</v>
      </c>
      <c r="V24" s="128">
        <f t="shared" si="2"/>
        <v>312724.62122465658</v>
      </c>
      <c r="W24" s="128">
        <f t="shared" si="2"/>
        <v>318979.11364914966</v>
      </c>
      <c r="X24" s="128">
        <f t="shared" si="2"/>
        <v>325358.6959221327</v>
      </c>
      <c r="Y24" s="128">
        <f t="shared" si="2"/>
        <v>331865.86984057538</v>
      </c>
      <c r="Z24" s="128">
        <f t="shared" si="2"/>
        <v>338503.18723738688</v>
      </c>
      <c r="AA24" s="128">
        <f t="shared" si="2"/>
        <v>345273.2509821346</v>
      </c>
      <c r="AB24" s="128">
        <f t="shared" si="2"/>
        <v>352178.71600177727</v>
      </c>
      <c r="AC24" s="128">
        <f t="shared" si="2"/>
        <v>359222.29032181285</v>
      </c>
      <c r="AD24" s="128">
        <f t="shared" si="2"/>
        <v>366406.73612824909</v>
      </c>
      <c r="AE24" s="128">
        <f t="shared" si="2"/>
        <v>373734.8708508141</v>
      </c>
      <c r="AF24" s="128">
        <f t="shared" si="2"/>
        <v>381209.56826783041</v>
      </c>
      <c r="AG24" s="128">
        <f t="shared" si="2"/>
        <v>388833.75963318703</v>
      </c>
      <c r="AH24" s="128">
        <f t="shared" si="2"/>
        <v>396610.43482585077</v>
      </c>
      <c r="AI24" s="128">
        <f t="shared" si="2"/>
        <v>404542.64352236775</v>
      </c>
      <c r="AJ24" s="128">
        <f t="shared" si="2"/>
        <v>412633.49639281514</v>
      </c>
      <c r="AK24" s="128">
        <f t="shared" si="2"/>
        <v>420886.16632067144</v>
      </c>
      <c r="AL24" s="128">
        <f t="shared" si="2"/>
        <v>429303.88964708487</v>
      </c>
      <c r="AM24" s="128">
        <f t="shared" si="2"/>
        <v>437889.96744002658</v>
      </c>
      <c r="AN24" s="128">
        <f t="shared" si="2"/>
        <v>446647.76678882714</v>
      </c>
      <c r="AO24" s="128">
        <f t="shared" si="2"/>
        <v>455580.72212460369</v>
      </c>
      <c r="AP24" s="128">
        <f t="shared" si="2"/>
        <v>464692.33656709571</v>
      </c>
      <c r="AQ24" s="128">
        <f t="shared" si="2"/>
        <v>473986.18329843762</v>
      </c>
      <c r="AR24" s="128">
        <f t="shared" si="2"/>
        <v>483465.90696440643</v>
      </c>
      <c r="AS24" s="128">
        <f t="shared" si="2"/>
        <v>493135.2251036946</v>
      </c>
      <c r="AT24" s="128">
        <f t="shared" si="2"/>
        <v>502997.92960576847</v>
      </c>
      <c r="AU24" s="128">
        <f t="shared" si="2"/>
        <v>513057.88819788385</v>
      </c>
      <c r="AV24" s="128">
        <f t="shared" si="2"/>
        <v>523319.04596184153</v>
      </c>
    </row>
    <row r="26" spans="2:48" ht="16" customHeight="1" x14ac:dyDescent="0.2">
      <c r="B26" s="147" t="s">
        <v>847</v>
      </c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</row>
    <row r="27" spans="2:48" ht="16" customHeight="1" x14ac:dyDescent="0.2">
      <c r="B27" s="32" t="s">
        <v>849</v>
      </c>
      <c r="D27" s="47"/>
      <c r="F27" s="33"/>
      <c r="G27" s="33">
        <f>+$L$8*$F$4*1000</f>
        <v>8500</v>
      </c>
      <c r="H27" s="33">
        <f>+G27*(1+$F$11)</f>
        <v>8670</v>
      </c>
      <c r="I27" s="33">
        <f t="shared" ref="I27:AV27" si="3">+H27*(1+$F$11)</f>
        <v>8843.4</v>
      </c>
      <c r="J27" s="33">
        <f t="shared" si="3"/>
        <v>9020.268</v>
      </c>
      <c r="K27" s="33">
        <f t="shared" si="3"/>
        <v>9200.6733600000007</v>
      </c>
      <c r="L27" s="33">
        <f t="shared" si="3"/>
        <v>9384.6868272000011</v>
      </c>
      <c r="M27" s="33">
        <f t="shared" si="3"/>
        <v>9572.3805637440018</v>
      </c>
      <c r="N27" s="33">
        <f t="shared" si="3"/>
        <v>9763.8281750188817</v>
      </c>
      <c r="O27" s="33">
        <f t="shared" si="3"/>
        <v>9959.1047385192596</v>
      </c>
      <c r="P27" s="33">
        <f t="shared" si="3"/>
        <v>10158.286833289645</v>
      </c>
      <c r="Q27" s="33">
        <f t="shared" si="3"/>
        <v>10361.452569955438</v>
      </c>
      <c r="R27" s="33">
        <f t="shared" si="3"/>
        <v>10568.681621354546</v>
      </c>
      <c r="S27" s="33">
        <f t="shared" si="3"/>
        <v>10780.055253781637</v>
      </c>
      <c r="T27" s="33">
        <f t="shared" si="3"/>
        <v>10995.65635885727</v>
      </c>
      <c r="U27" s="33">
        <f t="shared" si="3"/>
        <v>11215.569486034416</v>
      </c>
      <c r="V27" s="33">
        <f t="shared" si="3"/>
        <v>11439.880875755103</v>
      </c>
      <c r="W27" s="33">
        <f t="shared" si="3"/>
        <v>11668.678493270205</v>
      </c>
      <c r="X27" s="33">
        <f t="shared" si="3"/>
        <v>11902.052063135608</v>
      </c>
      <c r="Y27" s="33">
        <f t="shared" si="3"/>
        <v>12140.09310439832</v>
      </c>
      <c r="Z27" s="33">
        <f t="shared" si="3"/>
        <v>12382.894966486287</v>
      </c>
      <c r="AA27" s="33">
        <f t="shared" si="3"/>
        <v>12630.552865816013</v>
      </c>
      <c r="AB27" s="33">
        <f t="shared" si="3"/>
        <v>12883.163923132333</v>
      </c>
      <c r="AC27" s="33">
        <f t="shared" si="3"/>
        <v>13140.827201594981</v>
      </c>
      <c r="AD27" s="33">
        <f t="shared" si="3"/>
        <v>13403.64374562688</v>
      </c>
      <c r="AE27" s="33">
        <f t="shared" si="3"/>
        <v>13671.716620539417</v>
      </c>
      <c r="AF27" s="33">
        <f t="shared" si="3"/>
        <v>13945.150952950205</v>
      </c>
      <c r="AG27" s="33">
        <f t="shared" si="3"/>
        <v>14224.053972009209</v>
      </c>
      <c r="AH27" s="33">
        <f t="shared" si="3"/>
        <v>14508.535051449393</v>
      </c>
      <c r="AI27" s="33">
        <f t="shared" si="3"/>
        <v>14798.705752478381</v>
      </c>
      <c r="AJ27" s="33">
        <f t="shared" si="3"/>
        <v>15094.67986752795</v>
      </c>
      <c r="AK27" s="33">
        <f t="shared" si="3"/>
        <v>15396.573464878509</v>
      </c>
      <c r="AL27" s="33">
        <f t="shared" si="3"/>
        <v>15704.50493417608</v>
      </c>
      <c r="AM27" s="33">
        <f t="shared" si="3"/>
        <v>16018.595032859603</v>
      </c>
      <c r="AN27" s="33">
        <f t="shared" si="3"/>
        <v>16338.966933516795</v>
      </c>
      <c r="AO27" s="33">
        <f t="shared" si="3"/>
        <v>16665.746272187131</v>
      </c>
      <c r="AP27" s="33">
        <f t="shared" si="3"/>
        <v>16999.061197630872</v>
      </c>
      <c r="AQ27" s="33">
        <f t="shared" si="3"/>
        <v>17339.04242158349</v>
      </c>
      <c r="AR27" s="33">
        <f t="shared" si="3"/>
        <v>17685.82327001516</v>
      </c>
      <c r="AS27" s="33">
        <f t="shared" si="3"/>
        <v>18039.539735415463</v>
      </c>
      <c r="AT27" s="33">
        <f t="shared" si="3"/>
        <v>18400.330530123774</v>
      </c>
      <c r="AU27" s="33">
        <f t="shared" si="3"/>
        <v>18768.337140726249</v>
      </c>
      <c r="AV27" s="33">
        <f t="shared" si="3"/>
        <v>19143.703883540773</v>
      </c>
    </row>
    <row r="28" spans="2:48" ht="16" customHeight="1" x14ac:dyDescent="0.2">
      <c r="B28" s="32" t="s">
        <v>59</v>
      </c>
      <c r="D28" s="47"/>
      <c r="F28" s="41"/>
      <c r="G28" s="41">
        <f>+L9*$L$4</f>
        <v>10000</v>
      </c>
      <c r="H28" s="41">
        <f>+G28*(1+$F$11)</f>
        <v>10200</v>
      </c>
      <c r="I28" s="41">
        <f t="shared" ref="I28:AV28" si="4">+H28*(1+$F$11)</f>
        <v>10404</v>
      </c>
      <c r="J28" s="41">
        <f t="shared" si="4"/>
        <v>10612.08</v>
      </c>
      <c r="K28" s="41">
        <f t="shared" si="4"/>
        <v>10824.321599999999</v>
      </c>
      <c r="L28" s="41">
        <f t="shared" si="4"/>
        <v>11040.808031999999</v>
      </c>
      <c r="M28" s="41">
        <f t="shared" si="4"/>
        <v>11261.62419264</v>
      </c>
      <c r="N28" s="41">
        <f t="shared" si="4"/>
        <v>11486.8566764928</v>
      </c>
      <c r="O28" s="41">
        <f t="shared" si="4"/>
        <v>11716.593810022656</v>
      </c>
      <c r="P28" s="41">
        <f t="shared" si="4"/>
        <v>11950.925686223109</v>
      </c>
      <c r="Q28" s="41">
        <f t="shared" si="4"/>
        <v>12189.944199947571</v>
      </c>
      <c r="R28" s="41">
        <f t="shared" si="4"/>
        <v>12433.743083946523</v>
      </c>
      <c r="S28" s="41">
        <f t="shared" si="4"/>
        <v>12682.417945625453</v>
      </c>
      <c r="T28" s="41">
        <f t="shared" si="4"/>
        <v>12936.066304537962</v>
      </c>
      <c r="U28" s="41">
        <f t="shared" si="4"/>
        <v>13194.787630628722</v>
      </c>
      <c r="V28" s="41">
        <f t="shared" si="4"/>
        <v>13458.683383241296</v>
      </c>
      <c r="W28" s="41">
        <f t="shared" si="4"/>
        <v>13727.857050906123</v>
      </c>
      <c r="X28" s="41">
        <f t="shared" si="4"/>
        <v>14002.414191924245</v>
      </c>
      <c r="Y28" s="41">
        <f t="shared" si="4"/>
        <v>14282.46247576273</v>
      </c>
      <c r="Z28" s="41">
        <f t="shared" si="4"/>
        <v>14568.111725277984</v>
      </c>
      <c r="AA28" s="41">
        <f t="shared" si="4"/>
        <v>14859.473959783543</v>
      </c>
      <c r="AB28" s="41">
        <f t="shared" si="4"/>
        <v>15156.663438979214</v>
      </c>
      <c r="AC28" s="41">
        <f t="shared" si="4"/>
        <v>15459.796707758798</v>
      </c>
      <c r="AD28" s="41">
        <f t="shared" si="4"/>
        <v>15768.992641913974</v>
      </c>
      <c r="AE28" s="41">
        <f t="shared" si="4"/>
        <v>16084.372494752253</v>
      </c>
      <c r="AF28" s="41">
        <f t="shared" si="4"/>
        <v>16406.059944647299</v>
      </c>
      <c r="AG28" s="41">
        <f t="shared" si="4"/>
        <v>16734.181143540245</v>
      </c>
      <c r="AH28" s="41">
        <f t="shared" si="4"/>
        <v>17068.86476641105</v>
      </c>
      <c r="AI28" s="41">
        <f t="shared" si="4"/>
        <v>17410.242061739271</v>
      </c>
      <c r="AJ28" s="41">
        <f t="shared" si="4"/>
        <v>17758.446902974058</v>
      </c>
      <c r="AK28" s="41">
        <f t="shared" si="4"/>
        <v>18113.615841033537</v>
      </c>
      <c r="AL28" s="41">
        <f t="shared" si="4"/>
        <v>18475.88815785421</v>
      </c>
      <c r="AM28" s="41">
        <f t="shared" si="4"/>
        <v>18845.405921011294</v>
      </c>
      <c r="AN28" s="41">
        <f t="shared" si="4"/>
        <v>19222.31403943152</v>
      </c>
      <c r="AO28" s="41">
        <f t="shared" si="4"/>
        <v>19606.76032022015</v>
      </c>
      <c r="AP28" s="41">
        <f t="shared" si="4"/>
        <v>19998.895526624554</v>
      </c>
      <c r="AQ28" s="41">
        <f t="shared" si="4"/>
        <v>20398.873437157046</v>
      </c>
      <c r="AR28" s="41">
        <f t="shared" si="4"/>
        <v>20806.850905900188</v>
      </c>
      <c r="AS28" s="41">
        <f t="shared" si="4"/>
        <v>21222.987924018191</v>
      </c>
      <c r="AT28" s="41">
        <f t="shared" si="4"/>
        <v>21647.447682498554</v>
      </c>
      <c r="AU28" s="41">
        <f t="shared" si="4"/>
        <v>22080.396636148525</v>
      </c>
      <c r="AV28" s="41">
        <f t="shared" si="4"/>
        <v>22522.004568871496</v>
      </c>
    </row>
    <row r="29" spans="2:48" ht="16" customHeight="1" x14ac:dyDescent="0.2">
      <c r="B29" s="32" t="s">
        <v>850</v>
      </c>
      <c r="D29" s="24"/>
      <c r="F29" s="41"/>
      <c r="G29" s="41">
        <f>+$L$10*$F$4*1000</f>
        <v>6000</v>
      </c>
      <c r="H29" s="41">
        <f>+G29*(1+$F$11)</f>
        <v>6120</v>
      </c>
      <c r="I29" s="41">
        <f t="shared" ref="I29:AV29" si="5">+H29*(1+$F$11)</f>
        <v>6242.4000000000005</v>
      </c>
      <c r="J29" s="41">
        <f t="shared" si="5"/>
        <v>6367.2480000000005</v>
      </c>
      <c r="K29" s="41">
        <f t="shared" si="5"/>
        <v>6494.5929600000009</v>
      </c>
      <c r="L29" s="41">
        <f t="shared" si="5"/>
        <v>6624.4848192000009</v>
      </c>
      <c r="M29" s="41">
        <f t="shared" si="5"/>
        <v>6756.974515584001</v>
      </c>
      <c r="N29" s="41">
        <f t="shared" si="5"/>
        <v>6892.1140058956807</v>
      </c>
      <c r="O29" s="41">
        <f t="shared" si="5"/>
        <v>7029.9562860135948</v>
      </c>
      <c r="P29" s="41">
        <f t="shared" si="5"/>
        <v>7170.555411733867</v>
      </c>
      <c r="Q29" s="41">
        <f t="shared" si="5"/>
        <v>7313.9665199685442</v>
      </c>
      <c r="R29" s="41">
        <f t="shared" si="5"/>
        <v>7460.2458503679154</v>
      </c>
      <c r="S29" s="41">
        <f t="shared" si="5"/>
        <v>7609.4507673752742</v>
      </c>
      <c r="T29" s="41">
        <f t="shared" si="5"/>
        <v>7761.6397827227802</v>
      </c>
      <c r="U29" s="41">
        <f t="shared" si="5"/>
        <v>7916.8725783772361</v>
      </c>
      <c r="V29" s="41">
        <f t="shared" si="5"/>
        <v>8075.2100299447811</v>
      </c>
      <c r="W29" s="41">
        <f t="shared" si="5"/>
        <v>8236.7142305436773</v>
      </c>
      <c r="X29" s="41">
        <f t="shared" si="5"/>
        <v>8401.4485151545505</v>
      </c>
      <c r="Y29" s="41">
        <f t="shared" si="5"/>
        <v>8569.4774854576408</v>
      </c>
      <c r="Z29" s="41">
        <f t="shared" si="5"/>
        <v>8740.8670351667934</v>
      </c>
      <c r="AA29" s="41">
        <f t="shared" si="5"/>
        <v>8915.6843758701289</v>
      </c>
      <c r="AB29" s="41">
        <f t="shared" si="5"/>
        <v>9093.9980633875311</v>
      </c>
      <c r="AC29" s="41">
        <f t="shared" si="5"/>
        <v>9275.8780246552815</v>
      </c>
      <c r="AD29" s="41">
        <f t="shared" si="5"/>
        <v>9461.3955851483879</v>
      </c>
      <c r="AE29" s="41">
        <f t="shared" si="5"/>
        <v>9650.6234968513563</v>
      </c>
      <c r="AF29" s="41">
        <f t="shared" si="5"/>
        <v>9843.6359667883844</v>
      </c>
      <c r="AG29" s="41">
        <f t="shared" si="5"/>
        <v>10040.508686124153</v>
      </c>
      <c r="AH29" s="41">
        <f t="shared" si="5"/>
        <v>10241.318859846635</v>
      </c>
      <c r="AI29" s="41">
        <f t="shared" si="5"/>
        <v>10446.145237043567</v>
      </c>
      <c r="AJ29" s="41">
        <f t="shared" si="5"/>
        <v>10655.068141784439</v>
      </c>
      <c r="AK29" s="41">
        <f t="shared" si="5"/>
        <v>10868.169504620128</v>
      </c>
      <c r="AL29" s="41">
        <f t="shared" si="5"/>
        <v>11085.532894712531</v>
      </c>
      <c r="AM29" s="41">
        <f t="shared" si="5"/>
        <v>11307.243552606782</v>
      </c>
      <c r="AN29" s="41">
        <f t="shared" si="5"/>
        <v>11533.388423658918</v>
      </c>
      <c r="AO29" s="41">
        <f t="shared" si="5"/>
        <v>11764.056192132097</v>
      </c>
      <c r="AP29" s="41">
        <f t="shared" si="5"/>
        <v>11999.337315974739</v>
      </c>
      <c r="AQ29" s="41">
        <f t="shared" si="5"/>
        <v>12239.324062294234</v>
      </c>
      <c r="AR29" s="41">
        <f t="shared" si="5"/>
        <v>12484.110543540119</v>
      </c>
      <c r="AS29" s="41">
        <f t="shared" si="5"/>
        <v>12733.792754410921</v>
      </c>
      <c r="AT29" s="41">
        <f t="shared" si="5"/>
        <v>12988.468609499139</v>
      </c>
      <c r="AU29" s="41">
        <f t="shared" si="5"/>
        <v>13248.237981689123</v>
      </c>
      <c r="AV29" s="41">
        <f t="shared" si="5"/>
        <v>13513.202741322904</v>
      </c>
    </row>
    <row r="30" spans="2:48" ht="16" customHeight="1" x14ac:dyDescent="0.2">
      <c r="B30" s="136" t="s">
        <v>848</v>
      </c>
      <c r="C30" s="136"/>
      <c r="D30" s="136"/>
      <c r="E30" s="136"/>
      <c r="F30" s="128"/>
      <c r="G30" s="128">
        <f>+SUM(G27:G29)</f>
        <v>24500</v>
      </c>
      <c r="H30" s="128">
        <f t="shared" ref="H30" si="6">+SUM(H27:H29)</f>
        <v>24990</v>
      </c>
      <c r="I30" s="128">
        <f t="shared" ref="I30" si="7">+SUM(I27:I29)</f>
        <v>25489.800000000003</v>
      </c>
      <c r="J30" s="128">
        <f t="shared" ref="J30" si="8">+SUM(J27:J29)</f>
        <v>25999.595999999998</v>
      </c>
      <c r="K30" s="128">
        <f t="shared" ref="K30" si="9">+SUM(K27:K29)</f>
        <v>26519.587920000002</v>
      </c>
      <c r="L30" s="128">
        <f t="shared" ref="L30" si="10">+SUM(L27:L29)</f>
        <v>27049.979678399999</v>
      </c>
      <c r="M30" s="128">
        <f t="shared" ref="M30" si="11">+SUM(M27:M29)</f>
        <v>27590.979271968004</v>
      </c>
      <c r="N30" s="128">
        <f t="shared" ref="N30" si="12">+SUM(N27:N29)</f>
        <v>28142.798857407361</v>
      </c>
      <c r="O30" s="128">
        <f t="shared" ref="O30" si="13">+SUM(O27:O29)</f>
        <v>28705.654834555509</v>
      </c>
      <c r="P30" s="128">
        <f t="shared" ref="P30" si="14">+SUM(P27:P29)</f>
        <v>29279.767931246621</v>
      </c>
      <c r="Q30" s="128">
        <f t="shared" ref="Q30" si="15">+SUM(Q27:Q29)</f>
        <v>29865.363289871555</v>
      </c>
      <c r="R30" s="128">
        <f t="shared" ref="R30" si="16">+SUM(R27:R29)</f>
        <v>30462.670555668985</v>
      </c>
      <c r="S30" s="128">
        <f t="shared" ref="S30" si="17">+SUM(S27:S29)</f>
        <v>31071.923966782364</v>
      </c>
      <c r="T30" s="128">
        <f t="shared" ref="T30" si="18">+SUM(T27:T29)</f>
        <v>31693.362446118012</v>
      </c>
      <c r="U30" s="128">
        <f t="shared" ref="U30" si="19">+SUM(U27:U29)</f>
        <v>32327.229695040372</v>
      </c>
      <c r="V30" s="128">
        <f t="shared" ref="V30" si="20">+SUM(V27:V29)</f>
        <v>32973.774288941175</v>
      </c>
      <c r="W30" s="128">
        <f t="shared" ref="W30" si="21">+SUM(W27:W29)</f>
        <v>33633.249774720003</v>
      </c>
      <c r="X30" s="128">
        <f t="shared" ref="X30" si="22">+SUM(X27:X29)</f>
        <v>34305.914770214404</v>
      </c>
      <c r="Y30" s="128">
        <f t="shared" ref="Y30" si="23">+SUM(Y27:Y29)</f>
        <v>34992.033065618692</v>
      </c>
      <c r="Z30" s="128">
        <f t="shared" ref="Z30" si="24">+SUM(Z27:Z29)</f>
        <v>35691.873726931066</v>
      </c>
      <c r="AA30" s="128">
        <f t="shared" ref="AA30" si="25">+SUM(AA27:AA29)</f>
        <v>36405.711201469683</v>
      </c>
      <c r="AB30" s="128">
        <f t="shared" ref="AB30" si="26">+SUM(AB27:AB29)</f>
        <v>37133.825425499075</v>
      </c>
      <c r="AC30" s="128">
        <f t="shared" ref="AC30" si="27">+SUM(AC27:AC29)</f>
        <v>37876.501934009066</v>
      </c>
      <c r="AD30" s="128">
        <f t="shared" ref="AD30" si="28">+SUM(AD27:AD29)</f>
        <v>38634.031972689241</v>
      </c>
      <c r="AE30" s="128">
        <f t="shared" ref="AE30" si="29">+SUM(AE27:AE29)</f>
        <v>39406.712612143026</v>
      </c>
      <c r="AF30" s="128">
        <f t="shared" ref="AF30" si="30">+SUM(AF27:AF29)</f>
        <v>40194.846864385894</v>
      </c>
      <c r="AG30" s="128">
        <f t="shared" ref="AG30" si="31">+SUM(AG27:AG29)</f>
        <v>40998.743801673605</v>
      </c>
      <c r="AH30" s="128">
        <f t="shared" ref="AH30" si="32">+SUM(AH27:AH29)</f>
        <v>41818.718677707082</v>
      </c>
      <c r="AI30" s="128">
        <f t="shared" ref="AI30" si="33">+SUM(AI27:AI29)</f>
        <v>42655.093051261218</v>
      </c>
      <c r="AJ30" s="128">
        <f t="shared" ref="AJ30" si="34">+SUM(AJ27:AJ29)</f>
        <v>43508.194912286446</v>
      </c>
      <c r="AK30" s="128">
        <f t="shared" ref="AK30" si="35">+SUM(AK27:AK29)</f>
        <v>44378.358810532176</v>
      </c>
      <c r="AL30" s="128">
        <f t="shared" ref="AL30" si="36">+SUM(AL27:AL29)</f>
        <v>45265.925986742819</v>
      </c>
      <c r="AM30" s="128">
        <f t="shared" ref="AM30" si="37">+SUM(AM27:AM29)</f>
        <v>46171.244506477684</v>
      </c>
      <c r="AN30" s="128">
        <f t="shared" ref="AN30" si="38">+SUM(AN27:AN29)</f>
        <v>47094.669396607234</v>
      </c>
      <c r="AO30" s="128">
        <f t="shared" ref="AO30" si="39">+SUM(AO27:AO29)</f>
        <v>48036.562784539383</v>
      </c>
      <c r="AP30" s="128">
        <f t="shared" ref="AP30" si="40">+SUM(AP27:AP29)</f>
        <v>48997.294040230161</v>
      </c>
      <c r="AQ30" s="128">
        <f t="shared" ref="AQ30" si="41">+SUM(AQ27:AQ29)</f>
        <v>49977.239921034772</v>
      </c>
      <c r="AR30" s="128">
        <f t="shared" ref="AR30" si="42">+SUM(AR27:AR29)</f>
        <v>50976.784719455471</v>
      </c>
      <c r="AS30" s="128">
        <f t="shared" ref="AS30" si="43">+SUM(AS27:AS29)</f>
        <v>51996.320413844573</v>
      </c>
      <c r="AT30" s="128">
        <f t="shared" ref="AT30" si="44">+SUM(AT27:AT29)</f>
        <v>53036.246822121473</v>
      </c>
      <c r="AU30" s="128">
        <f t="shared" ref="AU30" si="45">+SUM(AU27:AU29)</f>
        <v>54096.971758563901</v>
      </c>
      <c r="AV30" s="128">
        <f t="shared" ref="AV30" si="46">+SUM(AV27:AV29)</f>
        <v>55178.91119373517</v>
      </c>
    </row>
    <row r="32" spans="2:48" ht="16" customHeight="1" x14ac:dyDescent="0.2">
      <c r="B32" s="165" t="s">
        <v>851</v>
      </c>
      <c r="C32" s="165"/>
      <c r="D32" s="165"/>
      <c r="E32" s="165"/>
      <c r="F32" s="166"/>
      <c r="G32" s="166">
        <f>+G24-G30</f>
        <v>207859.00000000003</v>
      </c>
      <c r="H32" s="166">
        <f t="shared" ref="H32:AV32" si="47">+H24-H30</f>
        <v>212016.18000000002</v>
      </c>
      <c r="I32" s="166">
        <f t="shared" si="47"/>
        <v>216256.50360000005</v>
      </c>
      <c r="J32" s="166">
        <f t="shared" si="47"/>
        <v>220581.63367200005</v>
      </c>
      <c r="K32" s="166">
        <f t="shared" si="47"/>
        <v>224993.26634544006</v>
      </c>
      <c r="L32" s="166">
        <f t="shared" si="47"/>
        <v>229493.13167234883</v>
      </c>
      <c r="M32" s="166">
        <f t="shared" si="47"/>
        <v>234082.99430579582</v>
      </c>
      <c r="N32" s="166">
        <f t="shared" si="47"/>
        <v>238764.65419191174</v>
      </c>
      <c r="O32" s="166">
        <f t="shared" si="47"/>
        <v>243539.94727574999</v>
      </c>
      <c r="P32" s="166">
        <f t="shared" si="47"/>
        <v>248410.746221265</v>
      </c>
      <c r="Q32" s="166">
        <f t="shared" si="47"/>
        <v>253378.96114569029</v>
      </c>
      <c r="R32" s="166">
        <f t="shared" si="47"/>
        <v>258446.54036860412</v>
      </c>
      <c r="S32" s="166">
        <f t="shared" si="47"/>
        <v>263615.47117597621</v>
      </c>
      <c r="T32" s="166">
        <f t="shared" si="47"/>
        <v>268887.78059949575</v>
      </c>
      <c r="U32" s="166">
        <f t="shared" si="47"/>
        <v>274265.53621148568</v>
      </c>
      <c r="V32" s="166">
        <f t="shared" si="47"/>
        <v>279750.84693571541</v>
      </c>
      <c r="W32" s="166">
        <f t="shared" si="47"/>
        <v>285345.86387442966</v>
      </c>
      <c r="X32" s="166">
        <f t="shared" si="47"/>
        <v>291052.78115191829</v>
      </c>
      <c r="Y32" s="166">
        <f t="shared" si="47"/>
        <v>296873.83677495667</v>
      </c>
      <c r="Z32" s="166">
        <f t="shared" si="47"/>
        <v>302811.31351045583</v>
      </c>
      <c r="AA32" s="166">
        <f t="shared" si="47"/>
        <v>308867.5397806649</v>
      </c>
      <c r="AB32" s="166">
        <f t="shared" si="47"/>
        <v>315044.89057627821</v>
      </c>
      <c r="AC32" s="166">
        <f t="shared" si="47"/>
        <v>321345.78838780377</v>
      </c>
      <c r="AD32" s="166">
        <f t="shared" si="47"/>
        <v>327772.70415555983</v>
      </c>
      <c r="AE32" s="166">
        <f t="shared" si="47"/>
        <v>334328.15823867108</v>
      </c>
      <c r="AF32" s="166">
        <f t="shared" si="47"/>
        <v>341014.72140344454</v>
      </c>
      <c r="AG32" s="166">
        <f t="shared" si="47"/>
        <v>347835.01583151345</v>
      </c>
      <c r="AH32" s="166">
        <f t="shared" si="47"/>
        <v>354791.71614814369</v>
      </c>
      <c r="AI32" s="166">
        <f t="shared" si="47"/>
        <v>361887.55047110654</v>
      </c>
      <c r="AJ32" s="166">
        <f t="shared" si="47"/>
        <v>369125.30148052867</v>
      </c>
      <c r="AK32" s="166">
        <f t="shared" si="47"/>
        <v>376507.80751013925</v>
      </c>
      <c r="AL32" s="166">
        <f t="shared" si="47"/>
        <v>384037.96366034204</v>
      </c>
      <c r="AM32" s="166">
        <f t="shared" si="47"/>
        <v>391718.72293354891</v>
      </c>
      <c r="AN32" s="166">
        <f t="shared" si="47"/>
        <v>399553.09739221993</v>
      </c>
      <c r="AO32" s="166">
        <f t="shared" si="47"/>
        <v>407544.15934006433</v>
      </c>
      <c r="AP32" s="166">
        <f t="shared" si="47"/>
        <v>415695.04252686555</v>
      </c>
      <c r="AQ32" s="166">
        <f t="shared" si="47"/>
        <v>424008.94337740284</v>
      </c>
      <c r="AR32" s="166">
        <f t="shared" si="47"/>
        <v>432489.12224495097</v>
      </c>
      <c r="AS32" s="166">
        <f t="shared" si="47"/>
        <v>441138.90468985005</v>
      </c>
      <c r="AT32" s="166">
        <f t="shared" si="47"/>
        <v>449961.68278364697</v>
      </c>
      <c r="AU32" s="166">
        <f t="shared" si="47"/>
        <v>458960.91643931996</v>
      </c>
      <c r="AV32" s="166">
        <f t="shared" si="47"/>
        <v>468140.13476810639</v>
      </c>
    </row>
    <row r="33" spans="2:48" ht="16" customHeight="1" x14ac:dyDescent="0.2">
      <c r="B33" s="842" t="s">
        <v>855</v>
      </c>
      <c r="C33" s="140"/>
      <c r="D33" s="140"/>
      <c r="E33" s="140"/>
      <c r="F33" s="215"/>
      <c r="G33" s="215">
        <f>+G32*$R$3</f>
        <v>1662872.0000000002</v>
      </c>
      <c r="H33" s="215">
        <f t="shared" ref="H33:AV33" si="48">+H32*$R$3</f>
        <v>1696129.4400000002</v>
      </c>
      <c r="I33" s="215">
        <f t="shared" si="48"/>
        <v>1730052.0288000004</v>
      </c>
      <c r="J33" s="215">
        <f t="shared" si="48"/>
        <v>1764653.0693760004</v>
      </c>
      <c r="K33" s="215">
        <f t="shared" si="48"/>
        <v>1799946.1307635205</v>
      </c>
      <c r="L33" s="215">
        <f t="shared" si="48"/>
        <v>1835945.0533787906</v>
      </c>
      <c r="M33" s="215">
        <f t="shared" si="48"/>
        <v>1872663.9544463665</v>
      </c>
      <c r="N33" s="215">
        <f t="shared" si="48"/>
        <v>1910117.233535294</v>
      </c>
      <c r="O33" s="215">
        <f t="shared" si="48"/>
        <v>1948319.5782059999</v>
      </c>
      <c r="P33" s="215">
        <f t="shared" si="48"/>
        <v>1987285.96977012</v>
      </c>
      <c r="Q33" s="215">
        <f t="shared" si="48"/>
        <v>2027031.6891655223</v>
      </c>
      <c r="R33" s="215">
        <f t="shared" si="48"/>
        <v>2067572.322948833</v>
      </c>
      <c r="S33" s="215">
        <f t="shared" si="48"/>
        <v>2108923.7694078097</v>
      </c>
      <c r="T33" s="215">
        <f t="shared" si="48"/>
        <v>2151102.244795966</v>
      </c>
      <c r="U33" s="215">
        <f t="shared" si="48"/>
        <v>2194124.2896918855</v>
      </c>
      <c r="V33" s="215">
        <f t="shared" si="48"/>
        <v>2238006.7754857233</v>
      </c>
      <c r="W33" s="215">
        <f t="shared" si="48"/>
        <v>2282766.9109954373</v>
      </c>
      <c r="X33" s="215">
        <f t="shared" si="48"/>
        <v>2328422.2492153463</v>
      </c>
      <c r="Y33" s="215">
        <f t="shared" si="48"/>
        <v>2374990.6941996533</v>
      </c>
      <c r="Z33" s="215">
        <f t="shared" si="48"/>
        <v>2422490.5080836467</v>
      </c>
      <c r="AA33" s="215">
        <f t="shared" si="48"/>
        <v>2470940.3182453192</v>
      </c>
      <c r="AB33" s="215">
        <f t="shared" si="48"/>
        <v>2520359.1246102257</v>
      </c>
      <c r="AC33" s="215">
        <f t="shared" si="48"/>
        <v>2570766.3071024301</v>
      </c>
      <c r="AD33" s="215">
        <f t="shared" si="48"/>
        <v>2622181.6332444786</v>
      </c>
      <c r="AE33" s="215">
        <f t="shared" si="48"/>
        <v>2674625.2659093686</v>
      </c>
      <c r="AF33" s="215">
        <f t="shared" si="48"/>
        <v>2728117.7712275563</v>
      </c>
      <c r="AG33" s="215">
        <f t="shared" si="48"/>
        <v>2782680.1266521076</v>
      </c>
      <c r="AH33" s="215">
        <f t="shared" si="48"/>
        <v>2838333.7291851495</v>
      </c>
      <c r="AI33" s="215">
        <f t="shared" si="48"/>
        <v>2895100.4037688524</v>
      </c>
      <c r="AJ33" s="215">
        <f t="shared" si="48"/>
        <v>2953002.4118442293</v>
      </c>
      <c r="AK33" s="215">
        <f t="shared" si="48"/>
        <v>3012062.460081114</v>
      </c>
      <c r="AL33" s="215">
        <f t="shared" si="48"/>
        <v>3072303.7092827363</v>
      </c>
      <c r="AM33" s="215">
        <f t="shared" si="48"/>
        <v>3133749.7834683913</v>
      </c>
      <c r="AN33" s="215">
        <f t="shared" si="48"/>
        <v>3196424.7791377595</v>
      </c>
      <c r="AO33" s="215">
        <f t="shared" si="48"/>
        <v>3260353.2747205147</v>
      </c>
      <c r="AP33" s="215">
        <f t="shared" si="48"/>
        <v>3325560.3402149244</v>
      </c>
      <c r="AQ33" s="215">
        <f t="shared" si="48"/>
        <v>3392071.5470192228</v>
      </c>
      <c r="AR33" s="215">
        <f t="shared" si="48"/>
        <v>3459912.9779596077</v>
      </c>
      <c r="AS33" s="215">
        <f t="shared" si="48"/>
        <v>3529111.2375188004</v>
      </c>
      <c r="AT33" s="215">
        <f t="shared" si="48"/>
        <v>3599693.4622691758</v>
      </c>
      <c r="AU33" s="215">
        <f t="shared" si="48"/>
        <v>3671687.3315145597</v>
      </c>
      <c r="AV33" s="215">
        <f t="shared" si="48"/>
        <v>3745121.0781448511</v>
      </c>
    </row>
    <row r="35" spans="2:48" ht="16" customHeight="1" x14ac:dyDescent="0.2">
      <c r="B35" s="147" t="s">
        <v>859</v>
      </c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</row>
    <row r="36" spans="2:48" ht="17" customHeight="1" x14ac:dyDescent="0.2">
      <c r="B36" s="40" t="s">
        <v>861</v>
      </c>
      <c r="F36" s="33">
        <f>-$L$4</f>
        <v>-2500000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</row>
    <row r="37" spans="2:48" ht="17" customHeight="1" x14ac:dyDescent="0.2">
      <c r="B37" s="32" t="s">
        <v>860</v>
      </c>
      <c r="D37" s="47"/>
      <c r="F37" s="33"/>
      <c r="G37" s="41">
        <f>+$R$5*$L$4</f>
        <v>750000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0</v>
      </c>
      <c r="W37" s="41">
        <v>0</v>
      </c>
      <c r="X37" s="41">
        <v>0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41">
        <v>0</v>
      </c>
      <c r="AE37" s="41">
        <v>0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</row>
    <row r="38" spans="2:48" ht="16" customHeight="1" x14ac:dyDescent="0.2">
      <c r="B38" s="165" t="s">
        <v>878</v>
      </c>
      <c r="C38" s="165"/>
      <c r="D38" s="165"/>
      <c r="E38" s="165"/>
      <c r="F38" s="166">
        <f>+IF(F21&lt;=$R$4,F32+F36+F37,0)+IF(F21=$R$4,F33,0)</f>
        <v>-2500000</v>
      </c>
      <c r="G38" s="166">
        <f t="shared" ref="G38:AV38" si="49">+IF(G21&lt;=$R$4,G32+G36+G37,0)+IF(G21=$R$4,G33,0)</f>
        <v>957859</v>
      </c>
      <c r="H38" s="166">
        <f t="shared" si="49"/>
        <v>212016.18000000002</v>
      </c>
      <c r="I38" s="166">
        <f t="shared" si="49"/>
        <v>216256.50360000005</v>
      </c>
      <c r="J38" s="166">
        <f t="shared" si="49"/>
        <v>220581.63367200005</v>
      </c>
      <c r="K38" s="166">
        <f t="shared" si="49"/>
        <v>224993.26634544006</v>
      </c>
      <c r="L38" s="166">
        <f t="shared" si="49"/>
        <v>2065438.1850511394</v>
      </c>
      <c r="M38" s="166">
        <f t="shared" si="49"/>
        <v>0</v>
      </c>
      <c r="N38" s="166">
        <f t="shared" si="49"/>
        <v>0</v>
      </c>
      <c r="O38" s="166">
        <f t="shared" si="49"/>
        <v>0</v>
      </c>
      <c r="P38" s="166">
        <f t="shared" si="49"/>
        <v>0</v>
      </c>
      <c r="Q38" s="166">
        <f t="shared" si="49"/>
        <v>0</v>
      </c>
      <c r="R38" s="166">
        <f t="shared" si="49"/>
        <v>0</v>
      </c>
      <c r="S38" s="166">
        <f t="shared" si="49"/>
        <v>0</v>
      </c>
      <c r="T38" s="166">
        <f t="shared" si="49"/>
        <v>0</v>
      </c>
      <c r="U38" s="166">
        <f t="shared" si="49"/>
        <v>0</v>
      </c>
      <c r="V38" s="166">
        <f t="shared" si="49"/>
        <v>0</v>
      </c>
      <c r="W38" s="166">
        <f t="shared" si="49"/>
        <v>0</v>
      </c>
      <c r="X38" s="166">
        <f t="shared" si="49"/>
        <v>0</v>
      </c>
      <c r="Y38" s="166">
        <f t="shared" si="49"/>
        <v>0</v>
      </c>
      <c r="Z38" s="166">
        <f t="shared" si="49"/>
        <v>0</v>
      </c>
      <c r="AA38" s="166">
        <f t="shared" si="49"/>
        <v>0</v>
      </c>
      <c r="AB38" s="166">
        <f t="shared" si="49"/>
        <v>0</v>
      </c>
      <c r="AC38" s="166">
        <f t="shared" si="49"/>
        <v>0</v>
      </c>
      <c r="AD38" s="166">
        <f t="shared" si="49"/>
        <v>0</v>
      </c>
      <c r="AE38" s="166">
        <f t="shared" si="49"/>
        <v>0</v>
      </c>
      <c r="AF38" s="166">
        <f t="shared" si="49"/>
        <v>0</v>
      </c>
      <c r="AG38" s="166">
        <f t="shared" si="49"/>
        <v>0</v>
      </c>
      <c r="AH38" s="166">
        <f t="shared" si="49"/>
        <v>0</v>
      </c>
      <c r="AI38" s="166">
        <f t="shared" si="49"/>
        <v>0</v>
      </c>
      <c r="AJ38" s="166">
        <f t="shared" si="49"/>
        <v>0</v>
      </c>
      <c r="AK38" s="166">
        <f t="shared" si="49"/>
        <v>0</v>
      </c>
      <c r="AL38" s="166">
        <f t="shared" si="49"/>
        <v>0</v>
      </c>
      <c r="AM38" s="166">
        <f t="shared" si="49"/>
        <v>0</v>
      </c>
      <c r="AN38" s="166">
        <f t="shared" si="49"/>
        <v>0</v>
      </c>
      <c r="AO38" s="166">
        <f t="shared" si="49"/>
        <v>0</v>
      </c>
      <c r="AP38" s="166">
        <f t="shared" si="49"/>
        <v>0</v>
      </c>
      <c r="AQ38" s="166">
        <f t="shared" si="49"/>
        <v>0</v>
      </c>
      <c r="AR38" s="166">
        <f t="shared" si="49"/>
        <v>0</v>
      </c>
      <c r="AS38" s="166">
        <f t="shared" si="49"/>
        <v>0</v>
      </c>
      <c r="AT38" s="166">
        <f t="shared" si="49"/>
        <v>0</v>
      </c>
      <c r="AU38" s="166">
        <f t="shared" si="49"/>
        <v>458960.91643931996</v>
      </c>
      <c r="AV38" s="166">
        <f t="shared" si="49"/>
        <v>468140.13476810639</v>
      </c>
    </row>
    <row r="39" spans="2:48" ht="16" customHeight="1" x14ac:dyDescent="0.2">
      <c r="B39" s="118" t="s">
        <v>874</v>
      </c>
      <c r="F39" s="846">
        <f>+IRR(F38:AV38)</f>
        <v>0.12010127027372763</v>
      </c>
    </row>
    <row r="41" spans="2:48" ht="16" customHeight="1" x14ac:dyDescent="0.2">
      <c r="B41" s="147" t="s">
        <v>879</v>
      </c>
      <c r="E41" s="149"/>
      <c r="F41" s="149">
        <f>+F21</f>
        <v>44196</v>
      </c>
      <c r="G41" s="149">
        <f t="shared" ref="G41:AU41" si="50">+G21</f>
        <v>44561</v>
      </c>
      <c r="H41" s="149">
        <f t="shared" si="50"/>
        <v>44926</v>
      </c>
      <c r="I41" s="149">
        <f t="shared" si="50"/>
        <v>45291</v>
      </c>
      <c r="J41" s="149">
        <f t="shared" si="50"/>
        <v>45657</v>
      </c>
      <c r="K41" s="149">
        <f t="shared" si="50"/>
        <v>46022</v>
      </c>
      <c r="L41" s="149">
        <f t="shared" si="50"/>
        <v>46387</v>
      </c>
      <c r="M41" s="149">
        <f t="shared" si="50"/>
        <v>46752</v>
      </c>
      <c r="N41" s="149">
        <f t="shared" si="50"/>
        <v>47118</v>
      </c>
      <c r="O41" s="149">
        <f t="shared" si="50"/>
        <v>47483</v>
      </c>
      <c r="P41" s="149">
        <f t="shared" si="50"/>
        <v>47848</v>
      </c>
      <c r="Q41" s="149">
        <f t="shared" si="50"/>
        <v>48213</v>
      </c>
      <c r="R41" s="149">
        <f t="shared" si="50"/>
        <v>48579</v>
      </c>
      <c r="S41" s="149">
        <f t="shared" si="50"/>
        <v>48944</v>
      </c>
      <c r="T41" s="149">
        <f t="shared" si="50"/>
        <v>49309</v>
      </c>
      <c r="U41" s="149">
        <f t="shared" si="50"/>
        <v>49674</v>
      </c>
      <c r="V41" s="149">
        <f t="shared" si="50"/>
        <v>50040</v>
      </c>
      <c r="W41" s="149">
        <f t="shared" si="50"/>
        <v>50405</v>
      </c>
      <c r="X41" s="149">
        <f t="shared" si="50"/>
        <v>50770</v>
      </c>
      <c r="Y41" s="149">
        <f t="shared" si="50"/>
        <v>51135</v>
      </c>
      <c r="Z41" s="149">
        <f t="shared" si="50"/>
        <v>51501</v>
      </c>
      <c r="AA41" s="149">
        <f t="shared" si="50"/>
        <v>51866</v>
      </c>
      <c r="AB41" s="149">
        <f t="shared" si="50"/>
        <v>52231</v>
      </c>
      <c r="AC41" s="149">
        <f t="shared" si="50"/>
        <v>52596</v>
      </c>
      <c r="AD41" s="149">
        <f t="shared" si="50"/>
        <v>52962</v>
      </c>
      <c r="AE41" s="149">
        <f t="shared" si="50"/>
        <v>53327</v>
      </c>
      <c r="AF41" s="149">
        <f t="shared" si="50"/>
        <v>53692</v>
      </c>
      <c r="AG41" s="149">
        <f t="shared" si="50"/>
        <v>54057</v>
      </c>
      <c r="AH41" s="149">
        <f t="shared" si="50"/>
        <v>54423</v>
      </c>
      <c r="AI41" s="149">
        <f t="shared" si="50"/>
        <v>54788</v>
      </c>
      <c r="AJ41" s="149">
        <f t="shared" si="50"/>
        <v>55153</v>
      </c>
      <c r="AK41" s="149">
        <f t="shared" si="50"/>
        <v>55518</v>
      </c>
      <c r="AL41" s="149">
        <f t="shared" si="50"/>
        <v>55884</v>
      </c>
      <c r="AM41" s="149">
        <f t="shared" si="50"/>
        <v>56249</v>
      </c>
      <c r="AN41" s="149">
        <f t="shared" si="50"/>
        <v>56614</v>
      </c>
      <c r="AO41" s="149">
        <f t="shared" si="50"/>
        <v>56979</v>
      </c>
      <c r="AP41" s="149">
        <f t="shared" si="50"/>
        <v>57345</v>
      </c>
      <c r="AQ41" s="149">
        <f t="shared" si="50"/>
        <v>57710</v>
      </c>
      <c r="AR41" s="149">
        <f t="shared" si="50"/>
        <v>58075</v>
      </c>
      <c r="AS41" s="149">
        <f t="shared" si="50"/>
        <v>58440</v>
      </c>
      <c r="AT41" s="149">
        <f t="shared" si="50"/>
        <v>58806</v>
      </c>
      <c r="AU41" s="149">
        <f t="shared" si="50"/>
        <v>0</v>
      </c>
    </row>
    <row r="42" spans="2:48" ht="16" customHeight="1" x14ac:dyDescent="0.2">
      <c r="B42" s="32" t="s">
        <v>880</v>
      </c>
      <c r="D42" s="24"/>
      <c r="F42" s="41"/>
      <c r="G42" s="41">
        <f>+$F$14*$F$16</f>
        <v>567.74352219283151</v>
      </c>
      <c r="H42" s="41">
        <f t="shared" ref="H42:AU42" si="51">+$F$14*$F$16</f>
        <v>567.74352219283151</v>
      </c>
      <c r="I42" s="41">
        <f t="shared" si="51"/>
        <v>567.74352219283151</v>
      </c>
      <c r="J42" s="41">
        <f t="shared" si="51"/>
        <v>567.74352219283151</v>
      </c>
      <c r="K42" s="41">
        <f t="shared" si="51"/>
        <v>567.74352219283151</v>
      </c>
      <c r="L42" s="41">
        <f t="shared" si="51"/>
        <v>567.74352219283151</v>
      </c>
      <c r="M42" s="41">
        <f t="shared" si="51"/>
        <v>567.74352219283151</v>
      </c>
      <c r="N42" s="41">
        <f t="shared" si="51"/>
        <v>567.74352219283151</v>
      </c>
      <c r="O42" s="41">
        <f t="shared" si="51"/>
        <v>567.74352219283151</v>
      </c>
      <c r="P42" s="41">
        <f t="shared" si="51"/>
        <v>567.74352219283151</v>
      </c>
      <c r="Q42" s="41">
        <f t="shared" si="51"/>
        <v>567.74352219283151</v>
      </c>
      <c r="R42" s="41">
        <f t="shared" si="51"/>
        <v>567.74352219283151</v>
      </c>
      <c r="S42" s="41">
        <f t="shared" si="51"/>
        <v>567.74352219283151</v>
      </c>
      <c r="T42" s="41">
        <f t="shared" si="51"/>
        <v>567.74352219283151</v>
      </c>
      <c r="U42" s="41">
        <f t="shared" si="51"/>
        <v>567.74352219283151</v>
      </c>
      <c r="V42" s="41">
        <f t="shared" si="51"/>
        <v>567.74352219283151</v>
      </c>
      <c r="W42" s="41">
        <f t="shared" si="51"/>
        <v>567.74352219283151</v>
      </c>
      <c r="X42" s="41">
        <f t="shared" si="51"/>
        <v>567.74352219283151</v>
      </c>
      <c r="Y42" s="41">
        <f t="shared" si="51"/>
        <v>567.74352219283151</v>
      </c>
      <c r="Z42" s="41">
        <f t="shared" si="51"/>
        <v>567.74352219283151</v>
      </c>
      <c r="AA42" s="41">
        <f t="shared" si="51"/>
        <v>567.74352219283151</v>
      </c>
      <c r="AB42" s="41">
        <f t="shared" si="51"/>
        <v>567.74352219283151</v>
      </c>
      <c r="AC42" s="41">
        <f t="shared" si="51"/>
        <v>567.74352219283151</v>
      </c>
      <c r="AD42" s="41">
        <f t="shared" si="51"/>
        <v>567.74352219283151</v>
      </c>
      <c r="AE42" s="41">
        <f t="shared" si="51"/>
        <v>567.74352219283151</v>
      </c>
      <c r="AF42" s="41">
        <f t="shared" si="51"/>
        <v>567.74352219283151</v>
      </c>
      <c r="AG42" s="41">
        <f t="shared" si="51"/>
        <v>567.74352219283151</v>
      </c>
      <c r="AH42" s="41">
        <f t="shared" si="51"/>
        <v>567.74352219283151</v>
      </c>
      <c r="AI42" s="41">
        <f t="shared" si="51"/>
        <v>567.74352219283151</v>
      </c>
      <c r="AJ42" s="41">
        <f t="shared" si="51"/>
        <v>567.74352219283151</v>
      </c>
      <c r="AK42" s="41">
        <f t="shared" si="51"/>
        <v>567.74352219283151</v>
      </c>
      <c r="AL42" s="41">
        <f t="shared" si="51"/>
        <v>567.74352219283151</v>
      </c>
      <c r="AM42" s="41">
        <f t="shared" si="51"/>
        <v>567.74352219283151</v>
      </c>
      <c r="AN42" s="41">
        <f t="shared" si="51"/>
        <v>567.74352219283151</v>
      </c>
      <c r="AO42" s="41">
        <f t="shared" si="51"/>
        <v>567.74352219283151</v>
      </c>
      <c r="AP42" s="41">
        <f t="shared" si="51"/>
        <v>567.74352219283151</v>
      </c>
      <c r="AQ42" s="41">
        <f t="shared" si="51"/>
        <v>567.74352219283151</v>
      </c>
      <c r="AR42" s="41">
        <f t="shared" si="51"/>
        <v>567.74352219283151</v>
      </c>
      <c r="AS42" s="41">
        <f t="shared" si="51"/>
        <v>567.74352219283151</v>
      </c>
      <c r="AT42" s="41">
        <f t="shared" si="51"/>
        <v>567.74352219283151</v>
      </c>
      <c r="AU42" s="41">
        <f t="shared" si="51"/>
        <v>567.74352219283151</v>
      </c>
    </row>
    <row r="43" spans="2:48" ht="16" customHeight="1" x14ac:dyDescent="0.2">
      <c r="B43" s="32" t="s">
        <v>881</v>
      </c>
      <c r="D43" s="24"/>
      <c r="F43" s="41"/>
      <c r="G43" s="41">
        <f>+$F$14*$F$18</f>
        <v>283.87176109641575</v>
      </c>
      <c r="H43" s="41">
        <f t="shared" ref="H43:AU43" si="52">+$F$14*$F$18</f>
        <v>283.87176109641575</v>
      </c>
      <c r="I43" s="41">
        <f t="shared" si="52"/>
        <v>283.87176109641575</v>
      </c>
      <c r="J43" s="41">
        <f t="shared" si="52"/>
        <v>283.87176109641575</v>
      </c>
      <c r="K43" s="41">
        <f t="shared" si="52"/>
        <v>283.87176109641575</v>
      </c>
      <c r="L43" s="41">
        <f t="shared" si="52"/>
        <v>283.87176109641575</v>
      </c>
      <c r="M43" s="41">
        <f t="shared" si="52"/>
        <v>283.87176109641575</v>
      </c>
      <c r="N43" s="41">
        <f t="shared" si="52"/>
        <v>283.87176109641575</v>
      </c>
      <c r="O43" s="41">
        <f t="shared" si="52"/>
        <v>283.87176109641575</v>
      </c>
      <c r="P43" s="41">
        <f t="shared" si="52"/>
        <v>283.87176109641575</v>
      </c>
      <c r="Q43" s="41">
        <f t="shared" si="52"/>
        <v>283.87176109641575</v>
      </c>
      <c r="R43" s="41">
        <f t="shared" si="52"/>
        <v>283.87176109641575</v>
      </c>
      <c r="S43" s="41">
        <f t="shared" si="52"/>
        <v>283.87176109641575</v>
      </c>
      <c r="T43" s="41">
        <f t="shared" si="52"/>
        <v>283.87176109641575</v>
      </c>
      <c r="U43" s="41">
        <f t="shared" si="52"/>
        <v>283.87176109641575</v>
      </c>
      <c r="V43" s="41">
        <f t="shared" si="52"/>
        <v>283.87176109641575</v>
      </c>
      <c r="W43" s="41">
        <f t="shared" si="52"/>
        <v>283.87176109641575</v>
      </c>
      <c r="X43" s="41">
        <f t="shared" si="52"/>
        <v>283.87176109641575</v>
      </c>
      <c r="Y43" s="41">
        <f t="shared" si="52"/>
        <v>283.87176109641575</v>
      </c>
      <c r="Z43" s="41">
        <f t="shared" si="52"/>
        <v>283.87176109641575</v>
      </c>
      <c r="AA43" s="41">
        <f t="shared" si="52"/>
        <v>283.87176109641575</v>
      </c>
      <c r="AB43" s="41">
        <f t="shared" si="52"/>
        <v>283.87176109641575</v>
      </c>
      <c r="AC43" s="41">
        <f t="shared" si="52"/>
        <v>283.87176109641575</v>
      </c>
      <c r="AD43" s="41">
        <f t="shared" si="52"/>
        <v>283.87176109641575</v>
      </c>
      <c r="AE43" s="41">
        <f t="shared" si="52"/>
        <v>283.87176109641575</v>
      </c>
      <c r="AF43" s="41">
        <f t="shared" si="52"/>
        <v>283.87176109641575</v>
      </c>
      <c r="AG43" s="41">
        <f t="shared" si="52"/>
        <v>283.87176109641575</v>
      </c>
      <c r="AH43" s="41">
        <f t="shared" si="52"/>
        <v>283.87176109641575</v>
      </c>
      <c r="AI43" s="41">
        <f t="shared" si="52"/>
        <v>283.87176109641575</v>
      </c>
      <c r="AJ43" s="41">
        <f t="shared" si="52"/>
        <v>283.87176109641575</v>
      </c>
      <c r="AK43" s="41">
        <f t="shared" si="52"/>
        <v>283.87176109641575</v>
      </c>
      <c r="AL43" s="41">
        <f t="shared" si="52"/>
        <v>283.87176109641575</v>
      </c>
      <c r="AM43" s="41">
        <f t="shared" si="52"/>
        <v>283.87176109641575</v>
      </c>
      <c r="AN43" s="41">
        <f t="shared" si="52"/>
        <v>283.87176109641575</v>
      </c>
      <c r="AO43" s="41">
        <f t="shared" si="52"/>
        <v>283.87176109641575</v>
      </c>
      <c r="AP43" s="41">
        <f t="shared" si="52"/>
        <v>283.87176109641575</v>
      </c>
      <c r="AQ43" s="41">
        <f t="shared" si="52"/>
        <v>283.87176109641575</v>
      </c>
      <c r="AR43" s="41">
        <f t="shared" si="52"/>
        <v>283.87176109641575</v>
      </c>
      <c r="AS43" s="41">
        <f t="shared" si="52"/>
        <v>283.87176109641575</v>
      </c>
      <c r="AT43" s="41">
        <f t="shared" si="52"/>
        <v>283.87176109641575</v>
      </c>
      <c r="AU43" s="41">
        <f t="shared" si="52"/>
        <v>283.87176109641575</v>
      </c>
    </row>
    <row r="44" spans="2:48" ht="16" customHeight="1" x14ac:dyDescent="0.2">
      <c r="B44" s="147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</row>
    <row r="45" spans="2:48" ht="16" customHeight="1" x14ac:dyDescent="0.2">
      <c r="B45" s="32" t="s">
        <v>882</v>
      </c>
      <c r="D45" s="47"/>
      <c r="F45" s="33"/>
      <c r="G45" s="33">
        <f>+G42*$F$15</f>
        <v>39742.046553498207</v>
      </c>
      <c r="H45" s="33">
        <f t="shared" ref="H45:AU45" si="53">+H42*$F$15</f>
        <v>39742.046553498207</v>
      </c>
      <c r="I45" s="33">
        <f t="shared" si="53"/>
        <v>39742.046553498207</v>
      </c>
      <c r="J45" s="33">
        <f t="shared" si="53"/>
        <v>39742.046553498207</v>
      </c>
      <c r="K45" s="33">
        <f t="shared" si="53"/>
        <v>39742.046553498207</v>
      </c>
      <c r="L45" s="33">
        <f t="shared" si="53"/>
        <v>39742.046553498207</v>
      </c>
      <c r="M45" s="33">
        <f t="shared" si="53"/>
        <v>39742.046553498207</v>
      </c>
      <c r="N45" s="33">
        <f t="shared" si="53"/>
        <v>39742.046553498207</v>
      </c>
      <c r="O45" s="33">
        <f t="shared" si="53"/>
        <v>39742.046553498207</v>
      </c>
      <c r="P45" s="33">
        <f t="shared" si="53"/>
        <v>39742.046553498207</v>
      </c>
      <c r="Q45" s="33">
        <f t="shared" si="53"/>
        <v>39742.046553498207</v>
      </c>
      <c r="R45" s="33">
        <f t="shared" si="53"/>
        <v>39742.046553498207</v>
      </c>
      <c r="S45" s="33">
        <f t="shared" si="53"/>
        <v>39742.046553498207</v>
      </c>
      <c r="T45" s="33">
        <f t="shared" si="53"/>
        <v>39742.046553498207</v>
      </c>
      <c r="U45" s="33">
        <f t="shared" si="53"/>
        <v>39742.046553498207</v>
      </c>
      <c r="V45" s="33">
        <f t="shared" si="53"/>
        <v>39742.046553498207</v>
      </c>
      <c r="W45" s="33">
        <f t="shared" si="53"/>
        <v>39742.046553498207</v>
      </c>
      <c r="X45" s="33">
        <f t="shared" si="53"/>
        <v>39742.046553498207</v>
      </c>
      <c r="Y45" s="33">
        <f t="shared" si="53"/>
        <v>39742.046553498207</v>
      </c>
      <c r="Z45" s="33">
        <f t="shared" si="53"/>
        <v>39742.046553498207</v>
      </c>
      <c r="AA45" s="33">
        <f t="shared" si="53"/>
        <v>39742.046553498207</v>
      </c>
      <c r="AB45" s="33">
        <f t="shared" si="53"/>
        <v>39742.046553498207</v>
      </c>
      <c r="AC45" s="33">
        <f t="shared" si="53"/>
        <v>39742.046553498207</v>
      </c>
      <c r="AD45" s="33">
        <f t="shared" si="53"/>
        <v>39742.046553498207</v>
      </c>
      <c r="AE45" s="33">
        <f t="shared" si="53"/>
        <v>39742.046553498207</v>
      </c>
      <c r="AF45" s="33">
        <f t="shared" si="53"/>
        <v>39742.046553498207</v>
      </c>
      <c r="AG45" s="33">
        <f t="shared" si="53"/>
        <v>39742.046553498207</v>
      </c>
      <c r="AH45" s="33">
        <f t="shared" si="53"/>
        <v>39742.046553498207</v>
      </c>
      <c r="AI45" s="33">
        <f t="shared" si="53"/>
        <v>39742.046553498207</v>
      </c>
      <c r="AJ45" s="33">
        <f t="shared" si="53"/>
        <v>39742.046553498207</v>
      </c>
      <c r="AK45" s="33">
        <f t="shared" si="53"/>
        <v>39742.046553498207</v>
      </c>
      <c r="AL45" s="33">
        <f t="shared" si="53"/>
        <v>39742.046553498207</v>
      </c>
      <c r="AM45" s="33">
        <f t="shared" si="53"/>
        <v>39742.046553498207</v>
      </c>
      <c r="AN45" s="33">
        <f t="shared" si="53"/>
        <v>39742.046553498207</v>
      </c>
      <c r="AO45" s="33">
        <f t="shared" si="53"/>
        <v>39742.046553498207</v>
      </c>
      <c r="AP45" s="33">
        <f t="shared" si="53"/>
        <v>39742.046553498207</v>
      </c>
      <c r="AQ45" s="33">
        <f t="shared" si="53"/>
        <v>39742.046553498207</v>
      </c>
      <c r="AR45" s="33">
        <f t="shared" si="53"/>
        <v>39742.046553498207</v>
      </c>
      <c r="AS45" s="33">
        <f t="shared" si="53"/>
        <v>39742.046553498207</v>
      </c>
      <c r="AT45" s="33">
        <f t="shared" si="53"/>
        <v>39742.046553498207</v>
      </c>
      <c r="AU45" s="33">
        <f t="shared" si="53"/>
        <v>39742.046553498207</v>
      </c>
    </row>
    <row r="46" spans="2:48" ht="16" customHeight="1" x14ac:dyDescent="0.2">
      <c r="B46" s="32" t="s">
        <v>883</v>
      </c>
      <c r="D46" s="24"/>
      <c r="F46" s="41"/>
      <c r="G46" s="41">
        <f>+G43*$F$17</f>
        <v>14193.588054820788</v>
      </c>
      <c r="H46" s="41">
        <f t="shared" ref="H46:AU46" si="54">+H43*$F$17</f>
        <v>14193.588054820788</v>
      </c>
      <c r="I46" s="41">
        <f t="shared" si="54"/>
        <v>14193.588054820788</v>
      </c>
      <c r="J46" s="41">
        <f t="shared" si="54"/>
        <v>14193.588054820788</v>
      </c>
      <c r="K46" s="41">
        <f t="shared" si="54"/>
        <v>14193.588054820788</v>
      </c>
      <c r="L46" s="41">
        <f t="shared" si="54"/>
        <v>14193.588054820788</v>
      </c>
      <c r="M46" s="41">
        <f t="shared" si="54"/>
        <v>14193.588054820788</v>
      </c>
      <c r="N46" s="41">
        <f t="shared" si="54"/>
        <v>14193.588054820788</v>
      </c>
      <c r="O46" s="41">
        <f t="shared" si="54"/>
        <v>14193.588054820788</v>
      </c>
      <c r="P46" s="41">
        <f t="shared" si="54"/>
        <v>14193.588054820788</v>
      </c>
      <c r="Q46" s="41">
        <f t="shared" si="54"/>
        <v>14193.588054820788</v>
      </c>
      <c r="R46" s="41">
        <f t="shared" si="54"/>
        <v>14193.588054820788</v>
      </c>
      <c r="S46" s="41">
        <f t="shared" si="54"/>
        <v>14193.588054820788</v>
      </c>
      <c r="T46" s="41">
        <f t="shared" si="54"/>
        <v>14193.588054820788</v>
      </c>
      <c r="U46" s="41">
        <f t="shared" si="54"/>
        <v>14193.588054820788</v>
      </c>
      <c r="V46" s="41">
        <f t="shared" si="54"/>
        <v>14193.588054820788</v>
      </c>
      <c r="W46" s="41">
        <f t="shared" si="54"/>
        <v>14193.588054820788</v>
      </c>
      <c r="X46" s="41">
        <f t="shared" si="54"/>
        <v>14193.588054820788</v>
      </c>
      <c r="Y46" s="41">
        <f t="shared" si="54"/>
        <v>14193.588054820788</v>
      </c>
      <c r="Z46" s="41">
        <f t="shared" si="54"/>
        <v>14193.588054820788</v>
      </c>
      <c r="AA46" s="41">
        <f t="shared" si="54"/>
        <v>14193.588054820788</v>
      </c>
      <c r="AB46" s="41">
        <f t="shared" si="54"/>
        <v>14193.588054820788</v>
      </c>
      <c r="AC46" s="41">
        <f t="shared" si="54"/>
        <v>14193.588054820788</v>
      </c>
      <c r="AD46" s="41">
        <f t="shared" si="54"/>
        <v>14193.588054820788</v>
      </c>
      <c r="AE46" s="41">
        <f t="shared" si="54"/>
        <v>14193.588054820788</v>
      </c>
      <c r="AF46" s="41">
        <f t="shared" si="54"/>
        <v>14193.588054820788</v>
      </c>
      <c r="AG46" s="41">
        <f t="shared" si="54"/>
        <v>14193.588054820788</v>
      </c>
      <c r="AH46" s="41">
        <f t="shared" si="54"/>
        <v>14193.588054820788</v>
      </c>
      <c r="AI46" s="41">
        <f t="shared" si="54"/>
        <v>14193.588054820788</v>
      </c>
      <c r="AJ46" s="41">
        <f t="shared" si="54"/>
        <v>14193.588054820788</v>
      </c>
      <c r="AK46" s="41">
        <f t="shared" si="54"/>
        <v>14193.588054820788</v>
      </c>
      <c r="AL46" s="41">
        <f t="shared" si="54"/>
        <v>14193.588054820788</v>
      </c>
      <c r="AM46" s="41">
        <f t="shared" si="54"/>
        <v>14193.588054820788</v>
      </c>
      <c r="AN46" s="41">
        <f t="shared" si="54"/>
        <v>14193.588054820788</v>
      </c>
      <c r="AO46" s="41">
        <f t="shared" si="54"/>
        <v>14193.588054820788</v>
      </c>
      <c r="AP46" s="41">
        <f t="shared" si="54"/>
        <v>14193.588054820788</v>
      </c>
      <c r="AQ46" s="41">
        <f t="shared" si="54"/>
        <v>14193.588054820788</v>
      </c>
      <c r="AR46" s="41">
        <f t="shared" si="54"/>
        <v>14193.588054820788</v>
      </c>
      <c r="AS46" s="41">
        <f t="shared" si="54"/>
        <v>14193.588054820788</v>
      </c>
      <c r="AT46" s="41">
        <f t="shared" si="54"/>
        <v>14193.588054820788</v>
      </c>
      <c r="AU46" s="41">
        <f t="shared" si="54"/>
        <v>14193.588054820788</v>
      </c>
    </row>
    <row r="47" spans="2:48" ht="16" customHeight="1" x14ac:dyDescent="0.2">
      <c r="B47" s="136" t="s">
        <v>891</v>
      </c>
      <c r="C47" s="136"/>
      <c r="D47" s="136"/>
      <c r="E47" s="136"/>
      <c r="F47" s="128"/>
      <c r="G47" s="128">
        <f>+SUM(G45:G46)</f>
        <v>53935.634608318993</v>
      </c>
      <c r="H47" s="128">
        <f t="shared" ref="H47" si="55">+SUM(H45:H46)</f>
        <v>53935.634608318993</v>
      </c>
      <c r="I47" s="128">
        <f t="shared" ref="I47" si="56">+SUM(I45:I46)</f>
        <v>53935.634608318993</v>
      </c>
      <c r="J47" s="128">
        <f t="shared" ref="J47" si="57">+SUM(J45:J46)</f>
        <v>53935.634608318993</v>
      </c>
      <c r="K47" s="128">
        <f t="shared" ref="K47" si="58">+SUM(K45:K46)</f>
        <v>53935.634608318993</v>
      </c>
      <c r="L47" s="128">
        <f t="shared" ref="L47" si="59">+SUM(L45:L46)</f>
        <v>53935.634608318993</v>
      </c>
      <c r="M47" s="128">
        <f t="shared" ref="M47" si="60">+SUM(M45:M46)</f>
        <v>53935.634608318993</v>
      </c>
      <c r="N47" s="128">
        <f t="shared" ref="N47" si="61">+SUM(N45:N46)</f>
        <v>53935.634608318993</v>
      </c>
      <c r="O47" s="128">
        <f t="shared" ref="O47" si="62">+SUM(O45:O46)</f>
        <v>53935.634608318993</v>
      </c>
      <c r="P47" s="128">
        <f t="shared" ref="P47" si="63">+SUM(P45:P46)</f>
        <v>53935.634608318993</v>
      </c>
      <c r="Q47" s="128">
        <f t="shared" ref="Q47" si="64">+SUM(Q45:Q46)</f>
        <v>53935.634608318993</v>
      </c>
      <c r="R47" s="128">
        <f t="shared" ref="R47" si="65">+SUM(R45:R46)</f>
        <v>53935.634608318993</v>
      </c>
      <c r="S47" s="128">
        <f t="shared" ref="S47" si="66">+SUM(S45:S46)</f>
        <v>53935.634608318993</v>
      </c>
      <c r="T47" s="128">
        <f t="shared" ref="T47" si="67">+SUM(T45:T46)</f>
        <v>53935.634608318993</v>
      </c>
      <c r="U47" s="128">
        <f t="shared" ref="U47" si="68">+SUM(U45:U46)</f>
        <v>53935.634608318993</v>
      </c>
      <c r="V47" s="128">
        <f t="shared" ref="V47" si="69">+SUM(V45:V46)</f>
        <v>53935.634608318993</v>
      </c>
      <c r="W47" s="128">
        <f t="shared" ref="W47" si="70">+SUM(W45:W46)</f>
        <v>53935.634608318993</v>
      </c>
      <c r="X47" s="128">
        <f t="shared" ref="X47" si="71">+SUM(X45:X46)</f>
        <v>53935.634608318993</v>
      </c>
      <c r="Y47" s="128">
        <f t="shared" ref="Y47" si="72">+SUM(Y45:Y46)</f>
        <v>53935.634608318993</v>
      </c>
      <c r="Z47" s="128">
        <f t="shared" ref="Z47" si="73">+SUM(Z45:Z46)</f>
        <v>53935.634608318993</v>
      </c>
      <c r="AA47" s="128">
        <f t="shared" ref="AA47" si="74">+SUM(AA45:AA46)</f>
        <v>53935.634608318993</v>
      </c>
      <c r="AB47" s="128">
        <f t="shared" ref="AB47" si="75">+SUM(AB45:AB46)</f>
        <v>53935.634608318993</v>
      </c>
      <c r="AC47" s="128">
        <f t="shared" ref="AC47" si="76">+SUM(AC45:AC46)</f>
        <v>53935.634608318993</v>
      </c>
      <c r="AD47" s="128">
        <f t="shared" ref="AD47" si="77">+SUM(AD45:AD46)</f>
        <v>53935.634608318993</v>
      </c>
      <c r="AE47" s="128">
        <f t="shared" ref="AE47" si="78">+SUM(AE45:AE46)</f>
        <v>53935.634608318993</v>
      </c>
      <c r="AF47" s="128">
        <f t="shared" ref="AF47" si="79">+SUM(AF45:AF46)</f>
        <v>53935.634608318993</v>
      </c>
      <c r="AG47" s="128">
        <f t="shared" ref="AG47" si="80">+SUM(AG45:AG46)</f>
        <v>53935.634608318993</v>
      </c>
      <c r="AH47" s="128">
        <f t="shared" ref="AH47" si="81">+SUM(AH45:AH46)</f>
        <v>53935.634608318993</v>
      </c>
      <c r="AI47" s="128">
        <f t="shared" ref="AI47" si="82">+SUM(AI45:AI46)</f>
        <v>53935.634608318993</v>
      </c>
      <c r="AJ47" s="128">
        <f t="shared" ref="AJ47" si="83">+SUM(AJ45:AJ46)</f>
        <v>53935.634608318993</v>
      </c>
      <c r="AK47" s="128">
        <f t="shared" ref="AK47" si="84">+SUM(AK45:AK46)</f>
        <v>53935.634608318993</v>
      </c>
      <c r="AL47" s="128">
        <f t="shared" ref="AL47" si="85">+SUM(AL45:AL46)</f>
        <v>53935.634608318993</v>
      </c>
      <c r="AM47" s="128">
        <f t="shared" ref="AM47" si="86">+SUM(AM45:AM46)</f>
        <v>53935.634608318993</v>
      </c>
      <c r="AN47" s="128">
        <f t="shared" ref="AN47" si="87">+SUM(AN45:AN46)</f>
        <v>53935.634608318993</v>
      </c>
      <c r="AO47" s="128">
        <f t="shared" ref="AO47" si="88">+SUM(AO45:AO46)</f>
        <v>53935.634608318993</v>
      </c>
      <c r="AP47" s="128">
        <f t="shared" ref="AP47" si="89">+SUM(AP45:AP46)</f>
        <v>53935.634608318993</v>
      </c>
      <c r="AQ47" s="128">
        <f t="shared" ref="AQ47" si="90">+SUM(AQ45:AQ46)</f>
        <v>53935.634608318993</v>
      </c>
      <c r="AR47" s="128">
        <f t="shared" ref="AR47" si="91">+SUM(AR45:AR46)</f>
        <v>53935.634608318993</v>
      </c>
      <c r="AS47" s="128">
        <f t="shared" ref="AS47" si="92">+SUM(AS45:AS46)</f>
        <v>53935.634608318993</v>
      </c>
      <c r="AT47" s="128">
        <f t="shared" ref="AT47" si="93">+SUM(AT45:AT46)</f>
        <v>53935.634608318993</v>
      </c>
      <c r="AU47" s="128">
        <f t="shared" ref="AU47" si="94">+SUM(AU45:AU46)</f>
        <v>53935.634608318993</v>
      </c>
    </row>
    <row r="49" spans="2:47" ht="16" customHeight="1" x14ac:dyDescent="0.2">
      <c r="B49" s="147" t="s">
        <v>884</v>
      </c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</row>
    <row r="50" spans="2:47" ht="16" customHeight="1" x14ac:dyDescent="0.2">
      <c r="B50" s="32" t="s">
        <v>885</v>
      </c>
      <c r="D50" s="47"/>
      <c r="F50" s="33"/>
      <c r="G50" s="33">
        <f>+G47*(1-$R$8)</f>
        <v>10787.126921663796</v>
      </c>
      <c r="H50" s="33">
        <f t="shared" ref="H50:AU50" si="95">+H47*(1-$R$8)</f>
        <v>10787.126921663796</v>
      </c>
      <c r="I50" s="33">
        <f t="shared" si="95"/>
        <v>10787.126921663796</v>
      </c>
      <c r="J50" s="33">
        <f t="shared" si="95"/>
        <v>10787.126921663796</v>
      </c>
      <c r="K50" s="33">
        <f t="shared" si="95"/>
        <v>10787.126921663796</v>
      </c>
      <c r="L50" s="33">
        <f t="shared" si="95"/>
        <v>10787.126921663796</v>
      </c>
      <c r="M50" s="33">
        <f t="shared" si="95"/>
        <v>10787.126921663796</v>
      </c>
      <c r="N50" s="33">
        <f t="shared" si="95"/>
        <v>10787.126921663796</v>
      </c>
      <c r="O50" s="33">
        <f t="shared" si="95"/>
        <v>10787.126921663796</v>
      </c>
      <c r="P50" s="33">
        <f t="shared" si="95"/>
        <v>10787.126921663796</v>
      </c>
      <c r="Q50" s="33">
        <f t="shared" si="95"/>
        <v>10787.126921663796</v>
      </c>
      <c r="R50" s="33">
        <f t="shared" si="95"/>
        <v>10787.126921663796</v>
      </c>
      <c r="S50" s="33">
        <f t="shared" si="95"/>
        <v>10787.126921663796</v>
      </c>
      <c r="T50" s="33">
        <f t="shared" si="95"/>
        <v>10787.126921663796</v>
      </c>
      <c r="U50" s="33">
        <f t="shared" si="95"/>
        <v>10787.126921663796</v>
      </c>
      <c r="V50" s="33">
        <f t="shared" si="95"/>
        <v>10787.126921663796</v>
      </c>
      <c r="W50" s="33">
        <f t="shared" si="95"/>
        <v>10787.126921663796</v>
      </c>
      <c r="X50" s="33">
        <f t="shared" si="95"/>
        <v>10787.126921663796</v>
      </c>
      <c r="Y50" s="33">
        <f t="shared" si="95"/>
        <v>10787.126921663796</v>
      </c>
      <c r="Z50" s="33">
        <f t="shared" si="95"/>
        <v>10787.126921663796</v>
      </c>
      <c r="AA50" s="33">
        <f t="shared" si="95"/>
        <v>10787.126921663796</v>
      </c>
      <c r="AB50" s="33">
        <f t="shared" si="95"/>
        <v>10787.126921663796</v>
      </c>
      <c r="AC50" s="33">
        <f t="shared" si="95"/>
        <v>10787.126921663796</v>
      </c>
      <c r="AD50" s="33">
        <f t="shared" si="95"/>
        <v>10787.126921663796</v>
      </c>
      <c r="AE50" s="33">
        <f t="shared" si="95"/>
        <v>10787.126921663796</v>
      </c>
      <c r="AF50" s="33">
        <f t="shared" si="95"/>
        <v>10787.126921663796</v>
      </c>
      <c r="AG50" s="33">
        <f t="shared" si="95"/>
        <v>10787.126921663796</v>
      </c>
      <c r="AH50" s="33">
        <f t="shared" si="95"/>
        <v>10787.126921663796</v>
      </c>
      <c r="AI50" s="33">
        <f t="shared" si="95"/>
        <v>10787.126921663796</v>
      </c>
      <c r="AJ50" s="33">
        <f t="shared" si="95"/>
        <v>10787.126921663796</v>
      </c>
      <c r="AK50" s="33">
        <f t="shared" si="95"/>
        <v>10787.126921663796</v>
      </c>
      <c r="AL50" s="33">
        <f t="shared" si="95"/>
        <v>10787.126921663796</v>
      </c>
      <c r="AM50" s="33">
        <f t="shared" si="95"/>
        <v>10787.126921663796</v>
      </c>
      <c r="AN50" s="33">
        <f t="shared" si="95"/>
        <v>10787.126921663796</v>
      </c>
      <c r="AO50" s="33">
        <f t="shared" si="95"/>
        <v>10787.126921663796</v>
      </c>
      <c r="AP50" s="33">
        <f t="shared" si="95"/>
        <v>10787.126921663796</v>
      </c>
      <c r="AQ50" s="33">
        <f t="shared" si="95"/>
        <v>10787.126921663796</v>
      </c>
      <c r="AR50" s="33">
        <f t="shared" si="95"/>
        <v>10787.126921663796</v>
      </c>
      <c r="AS50" s="33">
        <f t="shared" si="95"/>
        <v>10787.126921663796</v>
      </c>
      <c r="AT50" s="33">
        <f t="shared" si="95"/>
        <v>10787.126921663796</v>
      </c>
      <c r="AU50" s="33">
        <f t="shared" si="95"/>
        <v>10787.126921663796</v>
      </c>
    </row>
    <row r="52" spans="2:47" ht="16" customHeight="1" x14ac:dyDescent="0.2">
      <c r="B52" s="165" t="s">
        <v>886</v>
      </c>
      <c r="C52" s="165"/>
      <c r="D52" s="165"/>
      <c r="E52" s="165"/>
      <c r="F52" s="166"/>
      <c r="G52" s="166">
        <f>+G47-G50</f>
        <v>43148.507686655197</v>
      </c>
      <c r="H52" s="166">
        <f t="shared" ref="H52:AU52" si="96">+H47-H50</f>
        <v>43148.507686655197</v>
      </c>
      <c r="I52" s="166">
        <f t="shared" si="96"/>
        <v>43148.507686655197</v>
      </c>
      <c r="J52" s="166">
        <f t="shared" si="96"/>
        <v>43148.507686655197</v>
      </c>
      <c r="K52" s="166">
        <f t="shared" si="96"/>
        <v>43148.507686655197</v>
      </c>
      <c r="L52" s="166">
        <f t="shared" si="96"/>
        <v>43148.507686655197</v>
      </c>
      <c r="M52" s="166">
        <f t="shared" si="96"/>
        <v>43148.507686655197</v>
      </c>
      <c r="N52" s="166">
        <f t="shared" si="96"/>
        <v>43148.507686655197</v>
      </c>
      <c r="O52" s="166">
        <f t="shared" si="96"/>
        <v>43148.507686655197</v>
      </c>
      <c r="P52" s="166">
        <f t="shared" si="96"/>
        <v>43148.507686655197</v>
      </c>
      <c r="Q52" s="166">
        <f t="shared" si="96"/>
        <v>43148.507686655197</v>
      </c>
      <c r="R52" s="166">
        <f t="shared" si="96"/>
        <v>43148.507686655197</v>
      </c>
      <c r="S52" s="166">
        <f t="shared" si="96"/>
        <v>43148.507686655197</v>
      </c>
      <c r="T52" s="166">
        <f t="shared" si="96"/>
        <v>43148.507686655197</v>
      </c>
      <c r="U52" s="166">
        <f t="shared" si="96"/>
        <v>43148.507686655197</v>
      </c>
      <c r="V52" s="166">
        <f t="shared" si="96"/>
        <v>43148.507686655197</v>
      </c>
      <c r="W52" s="166">
        <f t="shared" si="96"/>
        <v>43148.507686655197</v>
      </c>
      <c r="X52" s="166">
        <f t="shared" si="96"/>
        <v>43148.507686655197</v>
      </c>
      <c r="Y52" s="166">
        <f t="shared" si="96"/>
        <v>43148.507686655197</v>
      </c>
      <c r="Z52" s="166">
        <f t="shared" si="96"/>
        <v>43148.507686655197</v>
      </c>
      <c r="AA52" s="166">
        <f t="shared" si="96"/>
        <v>43148.507686655197</v>
      </c>
      <c r="AB52" s="166">
        <f t="shared" si="96"/>
        <v>43148.507686655197</v>
      </c>
      <c r="AC52" s="166">
        <f t="shared" si="96"/>
        <v>43148.507686655197</v>
      </c>
      <c r="AD52" s="166">
        <f t="shared" si="96"/>
        <v>43148.507686655197</v>
      </c>
      <c r="AE52" s="166">
        <f t="shared" si="96"/>
        <v>43148.507686655197</v>
      </c>
      <c r="AF52" s="166">
        <f t="shared" si="96"/>
        <v>43148.507686655197</v>
      </c>
      <c r="AG52" s="166">
        <f t="shared" si="96"/>
        <v>43148.507686655197</v>
      </c>
      <c r="AH52" s="166">
        <f t="shared" si="96"/>
        <v>43148.507686655197</v>
      </c>
      <c r="AI52" s="166">
        <f t="shared" si="96"/>
        <v>43148.507686655197</v>
      </c>
      <c r="AJ52" s="166">
        <f t="shared" si="96"/>
        <v>43148.507686655197</v>
      </c>
      <c r="AK52" s="166">
        <f t="shared" si="96"/>
        <v>43148.507686655197</v>
      </c>
      <c r="AL52" s="166">
        <f t="shared" si="96"/>
        <v>43148.507686655197</v>
      </c>
      <c r="AM52" s="166">
        <f t="shared" si="96"/>
        <v>43148.507686655197</v>
      </c>
      <c r="AN52" s="166">
        <f t="shared" si="96"/>
        <v>43148.507686655197</v>
      </c>
      <c r="AO52" s="166">
        <f t="shared" si="96"/>
        <v>43148.507686655197</v>
      </c>
      <c r="AP52" s="166">
        <f t="shared" si="96"/>
        <v>43148.507686655197</v>
      </c>
      <c r="AQ52" s="166">
        <f t="shared" si="96"/>
        <v>43148.507686655197</v>
      </c>
      <c r="AR52" s="166">
        <f t="shared" si="96"/>
        <v>43148.507686655197</v>
      </c>
      <c r="AS52" s="166">
        <f t="shared" si="96"/>
        <v>43148.507686655197</v>
      </c>
      <c r="AT52" s="166">
        <f t="shared" si="96"/>
        <v>43148.507686655197</v>
      </c>
      <c r="AU52" s="166">
        <f t="shared" si="96"/>
        <v>43148.507686655197</v>
      </c>
    </row>
    <row r="53" spans="2:47" ht="16" customHeight="1" x14ac:dyDescent="0.2">
      <c r="B53" s="842" t="s">
        <v>855</v>
      </c>
      <c r="C53" s="140"/>
      <c r="D53" s="140"/>
      <c r="E53" s="140"/>
      <c r="F53" s="215"/>
      <c r="G53" s="215">
        <f>+G52*$R$11</f>
        <v>431485.076866552</v>
      </c>
      <c r="H53" s="215">
        <f t="shared" ref="H53:AU53" si="97">+H52*$R$11</f>
        <v>431485.076866552</v>
      </c>
      <c r="I53" s="215">
        <f t="shared" si="97"/>
        <v>431485.076866552</v>
      </c>
      <c r="J53" s="215">
        <f t="shared" si="97"/>
        <v>431485.076866552</v>
      </c>
      <c r="K53" s="215">
        <f t="shared" si="97"/>
        <v>431485.076866552</v>
      </c>
      <c r="L53" s="215">
        <f t="shared" si="97"/>
        <v>431485.076866552</v>
      </c>
      <c r="M53" s="215">
        <f t="shared" si="97"/>
        <v>431485.076866552</v>
      </c>
      <c r="N53" s="215">
        <f t="shared" si="97"/>
        <v>431485.076866552</v>
      </c>
      <c r="O53" s="215">
        <f t="shared" si="97"/>
        <v>431485.076866552</v>
      </c>
      <c r="P53" s="215">
        <f t="shared" si="97"/>
        <v>431485.076866552</v>
      </c>
      <c r="Q53" s="215">
        <f t="shared" si="97"/>
        <v>431485.076866552</v>
      </c>
      <c r="R53" s="215">
        <f t="shared" si="97"/>
        <v>431485.076866552</v>
      </c>
      <c r="S53" s="215">
        <f t="shared" si="97"/>
        <v>431485.076866552</v>
      </c>
      <c r="T53" s="215">
        <f t="shared" si="97"/>
        <v>431485.076866552</v>
      </c>
      <c r="U53" s="215">
        <f t="shared" si="97"/>
        <v>431485.076866552</v>
      </c>
      <c r="V53" s="215">
        <f t="shared" si="97"/>
        <v>431485.076866552</v>
      </c>
      <c r="W53" s="215">
        <f t="shared" si="97"/>
        <v>431485.076866552</v>
      </c>
      <c r="X53" s="215">
        <f t="shared" si="97"/>
        <v>431485.076866552</v>
      </c>
      <c r="Y53" s="215">
        <f t="shared" si="97"/>
        <v>431485.076866552</v>
      </c>
      <c r="Z53" s="215">
        <f t="shared" si="97"/>
        <v>431485.076866552</v>
      </c>
      <c r="AA53" s="215">
        <f t="shared" si="97"/>
        <v>431485.076866552</v>
      </c>
      <c r="AB53" s="215">
        <f t="shared" si="97"/>
        <v>431485.076866552</v>
      </c>
      <c r="AC53" s="215">
        <f t="shared" si="97"/>
        <v>431485.076866552</v>
      </c>
      <c r="AD53" s="215">
        <f t="shared" si="97"/>
        <v>431485.076866552</v>
      </c>
      <c r="AE53" s="215">
        <f t="shared" si="97"/>
        <v>431485.076866552</v>
      </c>
      <c r="AF53" s="215">
        <f t="shared" si="97"/>
        <v>431485.076866552</v>
      </c>
      <c r="AG53" s="215">
        <f t="shared" si="97"/>
        <v>431485.076866552</v>
      </c>
      <c r="AH53" s="215">
        <f t="shared" si="97"/>
        <v>431485.076866552</v>
      </c>
      <c r="AI53" s="215">
        <f t="shared" si="97"/>
        <v>431485.076866552</v>
      </c>
      <c r="AJ53" s="215">
        <f t="shared" si="97"/>
        <v>431485.076866552</v>
      </c>
      <c r="AK53" s="215">
        <f t="shared" si="97"/>
        <v>431485.076866552</v>
      </c>
      <c r="AL53" s="215">
        <f t="shared" si="97"/>
        <v>431485.076866552</v>
      </c>
      <c r="AM53" s="215">
        <f t="shared" si="97"/>
        <v>431485.076866552</v>
      </c>
      <c r="AN53" s="215">
        <f t="shared" si="97"/>
        <v>431485.076866552</v>
      </c>
      <c r="AO53" s="215">
        <f t="shared" si="97"/>
        <v>431485.076866552</v>
      </c>
      <c r="AP53" s="215">
        <f t="shared" si="97"/>
        <v>431485.076866552</v>
      </c>
      <c r="AQ53" s="215">
        <f t="shared" si="97"/>
        <v>431485.076866552</v>
      </c>
      <c r="AR53" s="215">
        <f t="shared" si="97"/>
        <v>431485.076866552</v>
      </c>
      <c r="AS53" s="215">
        <f t="shared" si="97"/>
        <v>431485.076866552</v>
      </c>
      <c r="AT53" s="215">
        <f t="shared" si="97"/>
        <v>431485.076866552</v>
      </c>
      <c r="AU53" s="215">
        <f t="shared" si="97"/>
        <v>431485.076866552</v>
      </c>
    </row>
    <row r="55" spans="2:47" ht="16" customHeight="1" x14ac:dyDescent="0.2">
      <c r="B55" s="147" t="s">
        <v>859</v>
      </c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</row>
    <row r="56" spans="2:47" ht="16" customHeight="1" x14ac:dyDescent="0.2">
      <c r="B56" s="40" t="s">
        <v>861</v>
      </c>
      <c r="F56" s="33">
        <f>-$L$18</f>
        <v>-315000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</row>
    <row r="57" spans="2:47" ht="16" customHeight="1" x14ac:dyDescent="0.2">
      <c r="B57" s="165" t="s">
        <v>890</v>
      </c>
      <c r="C57" s="165"/>
      <c r="D57" s="165"/>
      <c r="E57" s="165"/>
      <c r="F57" s="166">
        <f>+IF(F41&lt;=$R$4,F52+F56,0)+IF(F41=$R$4,F53,0)</f>
        <v>-315000</v>
      </c>
      <c r="G57" s="166">
        <f t="shared" ref="G57:AU57" si="98">+IF(G41&lt;=$R$4,G52+G56,0)+IF(G41=$R$4,G53,0)</f>
        <v>43148.507686655197</v>
      </c>
      <c r="H57" s="166">
        <f t="shared" si="98"/>
        <v>43148.507686655197</v>
      </c>
      <c r="I57" s="166">
        <f t="shared" si="98"/>
        <v>43148.507686655197</v>
      </c>
      <c r="J57" s="166">
        <f t="shared" si="98"/>
        <v>43148.507686655197</v>
      </c>
      <c r="K57" s="166">
        <f t="shared" si="98"/>
        <v>43148.507686655197</v>
      </c>
      <c r="L57" s="166">
        <f t="shared" si="98"/>
        <v>474633.58455320721</v>
      </c>
      <c r="M57" s="166">
        <f t="shared" si="98"/>
        <v>0</v>
      </c>
      <c r="N57" s="166">
        <f t="shared" si="98"/>
        <v>0</v>
      </c>
      <c r="O57" s="166">
        <f t="shared" si="98"/>
        <v>0</v>
      </c>
      <c r="P57" s="166">
        <f t="shared" si="98"/>
        <v>0</v>
      </c>
      <c r="Q57" s="166">
        <f t="shared" si="98"/>
        <v>0</v>
      </c>
      <c r="R57" s="166">
        <f t="shared" si="98"/>
        <v>0</v>
      </c>
      <c r="S57" s="166">
        <f t="shared" si="98"/>
        <v>0</v>
      </c>
      <c r="T57" s="166">
        <f t="shared" si="98"/>
        <v>0</v>
      </c>
      <c r="U57" s="166">
        <f t="shared" si="98"/>
        <v>0</v>
      </c>
      <c r="V57" s="166">
        <f t="shared" si="98"/>
        <v>0</v>
      </c>
      <c r="W57" s="166">
        <f t="shared" si="98"/>
        <v>0</v>
      </c>
      <c r="X57" s="166">
        <f t="shared" si="98"/>
        <v>0</v>
      </c>
      <c r="Y57" s="166">
        <f t="shared" si="98"/>
        <v>0</v>
      </c>
      <c r="Z57" s="166">
        <f t="shared" si="98"/>
        <v>0</v>
      </c>
      <c r="AA57" s="166">
        <f t="shared" si="98"/>
        <v>0</v>
      </c>
      <c r="AB57" s="166">
        <f t="shared" si="98"/>
        <v>0</v>
      </c>
      <c r="AC57" s="166">
        <f t="shared" si="98"/>
        <v>0</v>
      </c>
      <c r="AD57" s="166">
        <f t="shared" si="98"/>
        <v>0</v>
      </c>
      <c r="AE57" s="166">
        <f t="shared" si="98"/>
        <v>0</v>
      </c>
      <c r="AF57" s="166">
        <f t="shared" si="98"/>
        <v>0</v>
      </c>
      <c r="AG57" s="166">
        <f t="shared" si="98"/>
        <v>0</v>
      </c>
      <c r="AH57" s="166">
        <f t="shared" si="98"/>
        <v>0</v>
      </c>
      <c r="AI57" s="166">
        <f t="shared" si="98"/>
        <v>0</v>
      </c>
      <c r="AJ57" s="166">
        <f t="shared" si="98"/>
        <v>0</v>
      </c>
      <c r="AK57" s="166">
        <f t="shared" si="98"/>
        <v>0</v>
      </c>
      <c r="AL57" s="166">
        <f t="shared" si="98"/>
        <v>0</v>
      </c>
      <c r="AM57" s="166">
        <f t="shared" si="98"/>
        <v>0</v>
      </c>
      <c r="AN57" s="166">
        <f t="shared" si="98"/>
        <v>0</v>
      </c>
      <c r="AO57" s="166">
        <f t="shared" si="98"/>
        <v>0</v>
      </c>
      <c r="AP57" s="166">
        <f t="shared" si="98"/>
        <v>0</v>
      </c>
      <c r="AQ57" s="166">
        <f t="shared" si="98"/>
        <v>0</v>
      </c>
      <c r="AR57" s="166">
        <f t="shared" si="98"/>
        <v>0</v>
      </c>
      <c r="AS57" s="166">
        <f t="shared" si="98"/>
        <v>0</v>
      </c>
      <c r="AT57" s="166">
        <f t="shared" si="98"/>
        <v>0</v>
      </c>
      <c r="AU57" s="166">
        <f t="shared" si="98"/>
        <v>43148.507686655197</v>
      </c>
    </row>
    <row r="58" spans="2:47" ht="16" customHeight="1" x14ac:dyDescent="0.2">
      <c r="B58" s="118" t="s">
        <v>889</v>
      </c>
      <c r="F58" s="846">
        <f>+IRR(F57:AV57)</f>
        <v>0.17653719092704412</v>
      </c>
    </row>
    <row r="60" spans="2:47" ht="16" customHeight="1" x14ac:dyDescent="0.2">
      <c r="B60" s="147" t="s">
        <v>892</v>
      </c>
      <c r="E60" s="149"/>
      <c r="F60" s="149">
        <f>+F41</f>
        <v>44196</v>
      </c>
      <c r="G60" s="149">
        <f t="shared" ref="G60:AU60" si="99">+G41</f>
        <v>44561</v>
      </c>
      <c r="H60" s="149">
        <f t="shared" si="99"/>
        <v>44926</v>
      </c>
      <c r="I60" s="149">
        <f t="shared" si="99"/>
        <v>45291</v>
      </c>
      <c r="J60" s="149">
        <f t="shared" si="99"/>
        <v>45657</v>
      </c>
      <c r="K60" s="149">
        <f t="shared" si="99"/>
        <v>46022</v>
      </c>
      <c r="L60" s="149">
        <f t="shared" si="99"/>
        <v>46387</v>
      </c>
      <c r="M60" s="149">
        <f t="shared" si="99"/>
        <v>46752</v>
      </c>
      <c r="N60" s="149">
        <f t="shared" si="99"/>
        <v>47118</v>
      </c>
      <c r="O60" s="149">
        <f t="shared" si="99"/>
        <v>47483</v>
      </c>
      <c r="P60" s="149">
        <f t="shared" si="99"/>
        <v>47848</v>
      </c>
      <c r="Q60" s="149">
        <f t="shared" si="99"/>
        <v>48213</v>
      </c>
      <c r="R60" s="149">
        <f t="shared" si="99"/>
        <v>48579</v>
      </c>
      <c r="S60" s="149">
        <f t="shared" si="99"/>
        <v>48944</v>
      </c>
      <c r="T60" s="149">
        <f t="shared" si="99"/>
        <v>49309</v>
      </c>
      <c r="U60" s="149">
        <f t="shared" si="99"/>
        <v>49674</v>
      </c>
      <c r="V60" s="149">
        <f t="shared" si="99"/>
        <v>50040</v>
      </c>
      <c r="W60" s="149">
        <f t="shared" si="99"/>
        <v>50405</v>
      </c>
      <c r="X60" s="149">
        <f t="shared" si="99"/>
        <v>50770</v>
      </c>
      <c r="Y60" s="149">
        <f t="shared" si="99"/>
        <v>51135</v>
      </c>
      <c r="Z60" s="149">
        <f t="shared" si="99"/>
        <v>51501</v>
      </c>
      <c r="AA60" s="149">
        <f t="shared" si="99"/>
        <v>51866</v>
      </c>
      <c r="AB60" s="149">
        <f t="shared" si="99"/>
        <v>52231</v>
      </c>
      <c r="AC60" s="149">
        <f t="shared" si="99"/>
        <v>52596</v>
      </c>
      <c r="AD60" s="149">
        <f t="shared" si="99"/>
        <v>52962</v>
      </c>
      <c r="AE60" s="149">
        <f t="shared" si="99"/>
        <v>53327</v>
      </c>
      <c r="AF60" s="149">
        <f t="shared" si="99"/>
        <v>53692</v>
      </c>
      <c r="AG60" s="149">
        <f t="shared" si="99"/>
        <v>54057</v>
      </c>
      <c r="AH60" s="149">
        <f t="shared" si="99"/>
        <v>54423</v>
      </c>
      <c r="AI60" s="149">
        <f t="shared" si="99"/>
        <v>54788</v>
      </c>
      <c r="AJ60" s="149">
        <f t="shared" si="99"/>
        <v>55153</v>
      </c>
      <c r="AK60" s="149">
        <f t="shared" si="99"/>
        <v>55518</v>
      </c>
      <c r="AL60" s="149">
        <f t="shared" si="99"/>
        <v>55884</v>
      </c>
      <c r="AM60" s="149">
        <f t="shared" si="99"/>
        <v>56249</v>
      </c>
      <c r="AN60" s="149">
        <f t="shared" si="99"/>
        <v>56614</v>
      </c>
      <c r="AO60" s="149">
        <f t="shared" si="99"/>
        <v>56979</v>
      </c>
      <c r="AP60" s="149">
        <f t="shared" si="99"/>
        <v>57345</v>
      </c>
      <c r="AQ60" s="149">
        <f t="shared" si="99"/>
        <v>57710</v>
      </c>
      <c r="AR60" s="149">
        <f t="shared" si="99"/>
        <v>58075</v>
      </c>
      <c r="AS60" s="149">
        <f t="shared" si="99"/>
        <v>58440</v>
      </c>
      <c r="AT60" s="149">
        <f t="shared" si="99"/>
        <v>58806</v>
      </c>
      <c r="AU60" s="149">
        <f t="shared" si="99"/>
        <v>0</v>
      </c>
    </row>
    <row r="61" spans="2:47" ht="16" customHeight="1" x14ac:dyDescent="0.2">
      <c r="B61" s="40" t="s">
        <v>893</v>
      </c>
      <c r="F61" s="33">
        <f>+F56+F36</f>
        <v>-2815000</v>
      </c>
      <c r="G61" s="33">
        <f t="shared" ref="G61:AU61" si="100">+G56+G36</f>
        <v>0</v>
      </c>
      <c r="H61" s="33">
        <f t="shared" si="100"/>
        <v>0</v>
      </c>
      <c r="I61" s="33">
        <f t="shared" si="100"/>
        <v>0</v>
      </c>
      <c r="J61" s="33">
        <f t="shared" si="100"/>
        <v>0</v>
      </c>
      <c r="K61" s="33">
        <f t="shared" si="100"/>
        <v>0</v>
      </c>
      <c r="L61" s="33">
        <f t="shared" si="100"/>
        <v>0</v>
      </c>
      <c r="M61" s="33">
        <f t="shared" si="100"/>
        <v>0</v>
      </c>
      <c r="N61" s="33">
        <f t="shared" si="100"/>
        <v>0</v>
      </c>
      <c r="O61" s="33">
        <f t="shared" si="100"/>
        <v>0</v>
      </c>
      <c r="P61" s="33">
        <f t="shared" si="100"/>
        <v>0</v>
      </c>
      <c r="Q61" s="33">
        <f t="shared" si="100"/>
        <v>0</v>
      </c>
      <c r="R61" s="33">
        <f t="shared" si="100"/>
        <v>0</v>
      </c>
      <c r="S61" s="33">
        <f t="shared" si="100"/>
        <v>0</v>
      </c>
      <c r="T61" s="33">
        <f t="shared" si="100"/>
        <v>0</v>
      </c>
      <c r="U61" s="33">
        <f t="shared" si="100"/>
        <v>0</v>
      </c>
      <c r="V61" s="33">
        <f t="shared" si="100"/>
        <v>0</v>
      </c>
      <c r="W61" s="33">
        <f t="shared" si="100"/>
        <v>0</v>
      </c>
      <c r="X61" s="33">
        <f t="shared" si="100"/>
        <v>0</v>
      </c>
      <c r="Y61" s="33">
        <f t="shared" si="100"/>
        <v>0</v>
      </c>
      <c r="Z61" s="33">
        <f t="shared" si="100"/>
        <v>0</v>
      </c>
      <c r="AA61" s="33">
        <f t="shared" si="100"/>
        <v>0</v>
      </c>
      <c r="AB61" s="33">
        <f t="shared" si="100"/>
        <v>0</v>
      </c>
      <c r="AC61" s="33">
        <f t="shared" si="100"/>
        <v>0</v>
      </c>
      <c r="AD61" s="33">
        <f t="shared" si="100"/>
        <v>0</v>
      </c>
      <c r="AE61" s="33">
        <f t="shared" si="100"/>
        <v>0</v>
      </c>
      <c r="AF61" s="33">
        <f t="shared" si="100"/>
        <v>0</v>
      </c>
      <c r="AG61" s="33">
        <f t="shared" si="100"/>
        <v>0</v>
      </c>
      <c r="AH61" s="33">
        <f t="shared" si="100"/>
        <v>0</v>
      </c>
      <c r="AI61" s="33">
        <f t="shared" si="100"/>
        <v>0</v>
      </c>
      <c r="AJ61" s="33">
        <f t="shared" si="100"/>
        <v>0</v>
      </c>
      <c r="AK61" s="33">
        <f t="shared" si="100"/>
        <v>0</v>
      </c>
      <c r="AL61" s="33">
        <f t="shared" si="100"/>
        <v>0</v>
      </c>
      <c r="AM61" s="33">
        <f t="shared" si="100"/>
        <v>0</v>
      </c>
      <c r="AN61" s="33">
        <f t="shared" si="100"/>
        <v>0</v>
      </c>
      <c r="AO61" s="33">
        <f t="shared" si="100"/>
        <v>0</v>
      </c>
      <c r="AP61" s="33">
        <f t="shared" si="100"/>
        <v>0</v>
      </c>
      <c r="AQ61" s="33">
        <f t="shared" si="100"/>
        <v>0</v>
      </c>
      <c r="AR61" s="33">
        <f t="shared" si="100"/>
        <v>0</v>
      </c>
      <c r="AS61" s="33">
        <f t="shared" si="100"/>
        <v>0</v>
      </c>
      <c r="AT61" s="33">
        <f t="shared" si="100"/>
        <v>0</v>
      </c>
      <c r="AU61" s="33">
        <f t="shared" si="100"/>
        <v>0</v>
      </c>
    </row>
    <row r="62" spans="2:47" ht="16" customHeight="1" x14ac:dyDescent="0.2">
      <c r="B62" s="40" t="s">
        <v>401</v>
      </c>
      <c r="F62" s="41">
        <f>+F57+F38-F61</f>
        <v>0</v>
      </c>
      <c r="G62" s="41">
        <f t="shared" ref="G62:AU62" si="101">+G57+G38-G61</f>
        <v>1001007.5076866552</v>
      </c>
      <c r="H62" s="41">
        <f t="shared" si="101"/>
        <v>255164.6876866552</v>
      </c>
      <c r="I62" s="41">
        <f t="shared" si="101"/>
        <v>259405.01128665527</v>
      </c>
      <c r="J62" s="41">
        <f t="shared" si="101"/>
        <v>263730.14135865524</v>
      </c>
      <c r="K62" s="41">
        <f t="shared" si="101"/>
        <v>268141.77403209527</v>
      </c>
      <c r="L62" s="41">
        <f t="shared" si="101"/>
        <v>2540071.7696043467</v>
      </c>
      <c r="M62" s="41">
        <f t="shared" si="101"/>
        <v>0</v>
      </c>
      <c r="N62" s="41">
        <f t="shared" si="101"/>
        <v>0</v>
      </c>
      <c r="O62" s="41">
        <f t="shared" si="101"/>
        <v>0</v>
      </c>
      <c r="P62" s="41">
        <f t="shared" si="101"/>
        <v>0</v>
      </c>
      <c r="Q62" s="41">
        <f t="shared" si="101"/>
        <v>0</v>
      </c>
      <c r="R62" s="41">
        <f t="shared" si="101"/>
        <v>0</v>
      </c>
      <c r="S62" s="41">
        <f t="shared" si="101"/>
        <v>0</v>
      </c>
      <c r="T62" s="41">
        <f t="shared" si="101"/>
        <v>0</v>
      </c>
      <c r="U62" s="41">
        <f t="shared" si="101"/>
        <v>0</v>
      </c>
      <c r="V62" s="41">
        <f t="shared" si="101"/>
        <v>0</v>
      </c>
      <c r="W62" s="41">
        <f t="shared" si="101"/>
        <v>0</v>
      </c>
      <c r="X62" s="41">
        <f t="shared" si="101"/>
        <v>0</v>
      </c>
      <c r="Y62" s="41">
        <f t="shared" si="101"/>
        <v>0</v>
      </c>
      <c r="Z62" s="41">
        <f t="shared" si="101"/>
        <v>0</v>
      </c>
      <c r="AA62" s="41">
        <f t="shared" si="101"/>
        <v>0</v>
      </c>
      <c r="AB62" s="41">
        <f t="shared" si="101"/>
        <v>0</v>
      </c>
      <c r="AC62" s="41">
        <f t="shared" si="101"/>
        <v>0</v>
      </c>
      <c r="AD62" s="41">
        <f t="shared" si="101"/>
        <v>0</v>
      </c>
      <c r="AE62" s="41">
        <f t="shared" si="101"/>
        <v>0</v>
      </c>
      <c r="AF62" s="41">
        <f t="shared" si="101"/>
        <v>0</v>
      </c>
      <c r="AG62" s="41">
        <f t="shared" si="101"/>
        <v>0</v>
      </c>
      <c r="AH62" s="41">
        <f t="shared" si="101"/>
        <v>0</v>
      </c>
      <c r="AI62" s="41">
        <f t="shared" si="101"/>
        <v>0</v>
      </c>
      <c r="AJ62" s="41">
        <f t="shared" si="101"/>
        <v>0</v>
      </c>
      <c r="AK62" s="41">
        <f t="shared" si="101"/>
        <v>0</v>
      </c>
      <c r="AL62" s="41">
        <f t="shared" si="101"/>
        <v>0</v>
      </c>
      <c r="AM62" s="41">
        <f t="shared" si="101"/>
        <v>0</v>
      </c>
      <c r="AN62" s="41">
        <f t="shared" si="101"/>
        <v>0</v>
      </c>
      <c r="AO62" s="41">
        <f t="shared" si="101"/>
        <v>0</v>
      </c>
      <c r="AP62" s="41">
        <f t="shared" si="101"/>
        <v>0</v>
      </c>
      <c r="AQ62" s="41">
        <f t="shared" si="101"/>
        <v>0</v>
      </c>
      <c r="AR62" s="41">
        <f t="shared" si="101"/>
        <v>0</v>
      </c>
      <c r="AS62" s="41">
        <f t="shared" si="101"/>
        <v>0</v>
      </c>
      <c r="AT62" s="41">
        <f t="shared" si="101"/>
        <v>0</v>
      </c>
      <c r="AU62" s="41">
        <f t="shared" si="101"/>
        <v>502109.42412597517</v>
      </c>
    </row>
    <row r="63" spans="2:47" ht="16" customHeight="1" x14ac:dyDescent="0.2">
      <c r="B63" s="165" t="s">
        <v>397</v>
      </c>
      <c r="C63" s="165"/>
      <c r="D63" s="165"/>
      <c r="E63" s="165"/>
      <c r="F63" s="166">
        <f>+SUM(F61:F62)</f>
        <v>-2815000</v>
      </c>
      <c r="G63" s="166">
        <f t="shared" ref="G63:AU63" si="102">+SUM(G61:G62)</f>
        <v>1001007.5076866552</v>
      </c>
      <c r="H63" s="166">
        <f t="shared" si="102"/>
        <v>255164.6876866552</v>
      </c>
      <c r="I63" s="166">
        <f t="shared" si="102"/>
        <v>259405.01128665527</v>
      </c>
      <c r="J63" s="166">
        <f t="shared" si="102"/>
        <v>263730.14135865524</v>
      </c>
      <c r="K63" s="166">
        <f t="shared" si="102"/>
        <v>268141.77403209527</v>
      </c>
      <c r="L63" s="166">
        <f t="shared" si="102"/>
        <v>2540071.7696043467</v>
      </c>
      <c r="M63" s="166">
        <f t="shared" si="102"/>
        <v>0</v>
      </c>
      <c r="N63" s="166">
        <f t="shared" si="102"/>
        <v>0</v>
      </c>
      <c r="O63" s="166">
        <f t="shared" si="102"/>
        <v>0</v>
      </c>
      <c r="P63" s="166">
        <f t="shared" si="102"/>
        <v>0</v>
      </c>
      <c r="Q63" s="166">
        <f t="shared" si="102"/>
        <v>0</v>
      </c>
      <c r="R63" s="166">
        <f t="shared" si="102"/>
        <v>0</v>
      </c>
      <c r="S63" s="166">
        <f t="shared" si="102"/>
        <v>0</v>
      </c>
      <c r="T63" s="166">
        <f t="shared" si="102"/>
        <v>0</v>
      </c>
      <c r="U63" s="166">
        <f t="shared" si="102"/>
        <v>0</v>
      </c>
      <c r="V63" s="166">
        <f t="shared" si="102"/>
        <v>0</v>
      </c>
      <c r="W63" s="166">
        <f t="shared" si="102"/>
        <v>0</v>
      </c>
      <c r="X63" s="166">
        <f t="shared" si="102"/>
        <v>0</v>
      </c>
      <c r="Y63" s="166">
        <f t="shared" si="102"/>
        <v>0</v>
      </c>
      <c r="Z63" s="166">
        <f t="shared" si="102"/>
        <v>0</v>
      </c>
      <c r="AA63" s="166">
        <f t="shared" si="102"/>
        <v>0</v>
      </c>
      <c r="AB63" s="166">
        <f t="shared" si="102"/>
        <v>0</v>
      </c>
      <c r="AC63" s="166">
        <f t="shared" si="102"/>
        <v>0</v>
      </c>
      <c r="AD63" s="166">
        <f t="shared" si="102"/>
        <v>0</v>
      </c>
      <c r="AE63" s="166">
        <f t="shared" si="102"/>
        <v>0</v>
      </c>
      <c r="AF63" s="166">
        <f t="shared" si="102"/>
        <v>0</v>
      </c>
      <c r="AG63" s="166">
        <f t="shared" si="102"/>
        <v>0</v>
      </c>
      <c r="AH63" s="166">
        <f t="shared" si="102"/>
        <v>0</v>
      </c>
      <c r="AI63" s="166">
        <f t="shared" si="102"/>
        <v>0</v>
      </c>
      <c r="AJ63" s="166">
        <f t="shared" si="102"/>
        <v>0</v>
      </c>
      <c r="AK63" s="166">
        <f t="shared" si="102"/>
        <v>0</v>
      </c>
      <c r="AL63" s="166">
        <f t="shared" si="102"/>
        <v>0</v>
      </c>
      <c r="AM63" s="166">
        <f t="shared" si="102"/>
        <v>0</v>
      </c>
      <c r="AN63" s="166">
        <f t="shared" si="102"/>
        <v>0</v>
      </c>
      <c r="AO63" s="166">
        <f t="shared" si="102"/>
        <v>0</v>
      </c>
      <c r="AP63" s="166">
        <f t="shared" si="102"/>
        <v>0</v>
      </c>
      <c r="AQ63" s="166">
        <f t="shared" si="102"/>
        <v>0</v>
      </c>
      <c r="AR63" s="166">
        <f t="shared" si="102"/>
        <v>0</v>
      </c>
      <c r="AS63" s="166">
        <f t="shared" si="102"/>
        <v>0</v>
      </c>
      <c r="AT63" s="166">
        <f t="shared" si="102"/>
        <v>0</v>
      </c>
      <c r="AU63" s="166">
        <f t="shared" si="102"/>
        <v>502109.42412597517</v>
      </c>
    </row>
    <row r="64" spans="2:47" ht="16" customHeight="1" x14ac:dyDescent="0.2">
      <c r="B64" s="118" t="s">
        <v>894</v>
      </c>
      <c r="F64" s="846">
        <f>+IRR(F63:AV63)</f>
        <v>0.12801137026914899</v>
      </c>
    </row>
    <row r="66" spans="2:47" ht="16" customHeight="1" x14ac:dyDescent="0.2">
      <c r="B66" s="147" t="s">
        <v>895</v>
      </c>
    </row>
    <row r="67" spans="2:47" ht="16" customHeight="1" x14ac:dyDescent="0.2">
      <c r="B67" s="40" t="s">
        <v>400</v>
      </c>
      <c r="F67" s="33">
        <v>0</v>
      </c>
      <c r="G67" s="33">
        <f>+F70</f>
        <v>1255037.5384332761</v>
      </c>
      <c r="H67" s="33">
        <f t="shared" ref="H67:AU67" si="103">+G70</f>
        <v>1255037.5384332761</v>
      </c>
      <c r="I67" s="33">
        <f t="shared" si="103"/>
        <v>1255037.5384332761</v>
      </c>
      <c r="J67" s="33">
        <f t="shared" si="103"/>
        <v>1255037.5384332761</v>
      </c>
      <c r="K67" s="33">
        <f t="shared" si="103"/>
        <v>1255037.5384332761</v>
      </c>
      <c r="L67" s="33">
        <f t="shared" si="103"/>
        <v>1255037.5384332761</v>
      </c>
      <c r="M67" s="33">
        <f t="shared" si="103"/>
        <v>0</v>
      </c>
      <c r="N67" s="33">
        <f t="shared" si="103"/>
        <v>0</v>
      </c>
      <c r="O67" s="33">
        <f t="shared" si="103"/>
        <v>0</v>
      </c>
      <c r="P67" s="33">
        <f t="shared" si="103"/>
        <v>0</v>
      </c>
      <c r="Q67" s="33">
        <f t="shared" si="103"/>
        <v>0</v>
      </c>
      <c r="R67" s="33">
        <f t="shared" si="103"/>
        <v>0</v>
      </c>
      <c r="S67" s="33">
        <f t="shared" si="103"/>
        <v>0</v>
      </c>
      <c r="T67" s="33">
        <f t="shared" si="103"/>
        <v>0</v>
      </c>
      <c r="U67" s="33">
        <f t="shared" si="103"/>
        <v>0</v>
      </c>
      <c r="V67" s="33">
        <f t="shared" si="103"/>
        <v>0</v>
      </c>
      <c r="W67" s="33">
        <f t="shared" si="103"/>
        <v>0</v>
      </c>
      <c r="X67" s="33">
        <f t="shared" si="103"/>
        <v>0</v>
      </c>
      <c r="Y67" s="33">
        <f t="shared" si="103"/>
        <v>0</v>
      </c>
      <c r="Z67" s="33">
        <f t="shared" si="103"/>
        <v>0</v>
      </c>
      <c r="AA67" s="33">
        <f t="shared" si="103"/>
        <v>0</v>
      </c>
      <c r="AB67" s="33">
        <f t="shared" si="103"/>
        <v>0</v>
      </c>
      <c r="AC67" s="33">
        <f t="shared" si="103"/>
        <v>0</v>
      </c>
      <c r="AD67" s="33">
        <f t="shared" si="103"/>
        <v>0</v>
      </c>
      <c r="AE67" s="33">
        <f t="shared" si="103"/>
        <v>0</v>
      </c>
      <c r="AF67" s="33">
        <f t="shared" si="103"/>
        <v>0</v>
      </c>
      <c r="AG67" s="33">
        <f t="shared" si="103"/>
        <v>0</v>
      </c>
      <c r="AH67" s="33">
        <f t="shared" si="103"/>
        <v>0</v>
      </c>
      <c r="AI67" s="33">
        <f t="shared" si="103"/>
        <v>0</v>
      </c>
      <c r="AJ67" s="33">
        <f t="shared" si="103"/>
        <v>0</v>
      </c>
      <c r="AK67" s="33">
        <f t="shared" si="103"/>
        <v>0</v>
      </c>
      <c r="AL67" s="33">
        <f t="shared" si="103"/>
        <v>0</v>
      </c>
      <c r="AM67" s="33">
        <f t="shared" si="103"/>
        <v>0</v>
      </c>
      <c r="AN67" s="33">
        <f t="shared" si="103"/>
        <v>0</v>
      </c>
      <c r="AO67" s="33">
        <f t="shared" si="103"/>
        <v>0</v>
      </c>
      <c r="AP67" s="33">
        <f t="shared" si="103"/>
        <v>0</v>
      </c>
      <c r="AQ67" s="33">
        <f t="shared" si="103"/>
        <v>0</v>
      </c>
      <c r="AR67" s="33">
        <f t="shared" si="103"/>
        <v>0</v>
      </c>
      <c r="AS67" s="33">
        <f t="shared" si="103"/>
        <v>0</v>
      </c>
      <c r="AT67" s="33">
        <f t="shared" si="103"/>
        <v>0</v>
      </c>
      <c r="AU67" s="33">
        <f t="shared" si="103"/>
        <v>0</v>
      </c>
    </row>
    <row r="68" spans="2:47" ht="16" customHeight="1" x14ac:dyDescent="0.2">
      <c r="B68" s="40" t="s">
        <v>896</v>
      </c>
      <c r="F68" s="41">
        <f>+($G$52+$G$32)*R15</f>
        <v>1255037.5384332761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0</v>
      </c>
      <c r="AA68" s="41">
        <v>0</v>
      </c>
      <c r="AB68" s="41">
        <v>0</v>
      </c>
      <c r="AC68" s="41">
        <v>0</v>
      </c>
      <c r="AD68" s="41">
        <v>0</v>
      </c>
      <c r="AE68" s="41">
        <v>0</v>
      </c>
      <c r="AF68" s="41">
        <v>0</v>
      </c>
      <c r="AG68" s="41">
        <v>0</v>
      </c>
      <c r="AH68" s="41">
        <v>0</v>
      </c>
      <c r="AI68" s="41">
        <v>0</v>
      </c>
      <c r="AJ68" s="41">
        <v>0</v>
      </c>
      <c r="AK68" s="41">
        <v>0</v>
      </c>
      <c r="AL68" s="41">
        <v>0</v>
      </c>
      <c r="AM68" s="41">
        <v>0</v>
      </c>
      <c r="AN68" s="41">
        <v>0</v>
      </c>
      <c r="AO68" s="41">
        <v>0</v>
      </c>
      <c r="AP68" s="41">
        <v>0</v>
      </c>
      <c r="AQ68" s="41">
        <v>0</v>
      </c>
      <c r="AR68" s="41">
        <v>0</v>
      </c>
      <c r="AS68" s="41">
        <v>0</v>
      </c>
      <c r="AT68" s="41">
        <v>0</v>
      </c>
      <c r="AU68" s="41">
        <v>0</v>
      </c>
    </row>
    <row r="69" spans="2:47" ht="16" customHeight="1" x14ac:dyDescent="0.2">
      <c r="B69" s="40" t="s">
        <v>897</v>
      </c>
      <c r="F69" s="41">
        <f>+IF(F21=$R$4,-SUM(F67:F68),0)</f>
        <v>0</v>
      </c>
      <c r="G69" s="41">
        <f>+IF(G21=$R$4,-SUM(G67:G68),0)</f>
        <v>0</v>
      </c>
      <c r="H69" s="41">
        <f t="shared" ref="H69:AU69" si="104">+IF(H21=$R$4,-SUM(H67:H68),0)</f>
        <v>0</v>
      </c>
      <c r="I69" s="41">
        <f t="shared" si="104"/>
        <v>0</v>
      </c>
      <c r="J69" s="41">
        <f t="shared" si="104"/>
        <v>0</v>
      </c>
      <c r="K69" s="41">
        <f t="shared" si="104"/>
        <v>0</v>
      </c>
      <c r="L69" s="41">
        <f t="shared" si="104"/>
        <v>-1255037.5384332761</v>
      </c>
      <c r="M69" s="41">
        <f t="shared" si="104"/>
        <v>0</v>
      </c>
      <c r="N69" s="41">
        <f t="shared" si="104"/>
        <v>0</v>
      </c>
      <c r="O69" s="41">
        <f t="shared" si="104"/>
        <v>0</v>
      </c>
      <c r="P69" s="41">
        <f t="shared" si="104"/>
        <v>0</v>
      </c>
      <c r="Q69" s="41">
        <f t="shared" si="104"/>
        <v>0</v>
      </c>
      <c r="R69" s="41">
        <f t="shared" si="104"/>
        <v>0</v>
      </c>
      <c r="S69" s="41">
        <f t="shared" si="104"/>
        <v>0</v>
      </c>
      <c r="T69" s="41">
        <f t="shared" si="104"/>
        <v>0</v>
      </c>
      <c r="U69" s="41">
        <f t="shared" si="104"/>
        <v>0</v>
      </c>
      <c r="V69" s="41">
        <f t="shared" si="104"/>
        <v>0</v>
      </c>
      <c r="W69" s="41">
        <f t="shared" si="104"/>
        <v>0</v>
      </c>
      <c r="X69" s="41">
        <f t="shared" si="104"/>
        <v>0</v>
      </c>
      <c r="Y69" s="41">
        <f t="shared" si="104"/>
        <v>0</v>
      </c>
      <c r="Z69" s="41">
        <f t="shared" si="104"/>
        <v>0</v>
      </c>
      <c r="AA69" s="41">
        <f t="shared" si="104"/>
        <v>0</v>
      </c>
      <c r="AB69" s="41">
        <f t="shared" si="104"/>
        <v>0</v>
      </c>
      <c r="AC69" s="41">
        <f t="shared" si="104"/>
        <v>0</v>
      </c>
      <c r="AD69" s="41">
        <f t="shared" si="104"/>
        <v>0</v>
      </c>
      <c r="AE69" s="41">
        <f t="shared" si="104"/>
        <v>0</v>
      </c>
      <c r="AF69" s="41">
        <f t="shared" si="104"/>
        <v>0</v>
      </c>
      <c r="AG69" s="41">
        <f t="shared" si="104"/>
        <v>0</v>
      </c>
      <c r="AH69" s="41">
        <f t="shared" si="104"/>
        <v>0</v>
      </c>
      <c r="AI69" s="41">
        <f t="shared" si="104"/>
        <v>0</v>
      </c>
      <c r="AJ69" s="41">
        <f t="shared" si="104"/>
        <v>0</v>
      </c>
      <c r="AK69" s="41">
        <f t="shared" si="104"/>
        <v>0</v>
      </c>
      <c r="AL69" s="41">
        <f t="shared" si="104"/>
        <v>0</v>
      </c>
      <c r="AM69" s="41">
        <f t="shared" si="104"/>
        <v>0</v>
      </c>
      <c r="AN69" s="41">
        <f t="shared" si="104"/>
        <v>0</v>
      </c>
      <c r="AO69" s="41">
        <f t="shared" si="104"/>
        <v>0</v>
      </c>
      <c r="AP69" s="41">
        <f t="shared" si="104"/>
        <v>0</v>
      </c>
      <c r="AQ69" s="41">
        <f t="shared" si="104"/>
        <v>0</v>
      </c>
      <c r="AR69" s="41">
        <f t="shared" si="104"/>
        <v>0</v>
      </c>
      <c r="AS69" s="41">
        <f t="shared" si="104"/>
        <v>0</v>
      </c>
      <c r="AT69" s="41">
        <f t="shared" si="104"/>
        <v>0</v>
      </c>
      <c r="AU69" s="41">
        <f t="shared" si="104"/>
        <v>0</v>
      </c>
    </row>
    <row r="70" spans="2:47" ht="16" customHeight="1" x14ac:dyDescent="0.2">
      <c r="B70" s="40" t="s">
        <v>402</v>
      </c>
      <c r="F70" s="41">
        <f>+SUM(F67:F69)</f>
        <v>1255037.5384332761</v>
      </c>
      <c r="G70" s="41">
        <f>+SUM(G67:G69)</f>
        <v>1255037.5384332761</v>
      </c>
      <c r="H70" s="41">
        <f t="shared" ref="H70:AU70" si="105">+SUM(H67:H69)</f>
        <v>1255037.5384332761</v>
      </c>
      <c r="I70" s="41">
        <f t="shared" si="105"/>
        <v>1255037.5384332761</v>
      </c>
      <c r="J70" s="41">
        <f t="shared" si="105"/>
        <v>1255037.5384332761</v>
      </c>
      <c r="K70" s="41">
        <f t="shared" si="105"/>
        <v>1255037.5384332761</v>
      </c>
      <c r="L70" s="41">
        <f t="shared" si="105"/>
        <v>0</v>
      </c>
      <c r="M70" s="41">
        <f t="shared" si="105"/>
        <v>0</v>
      </c>
      <c r="N70" s="41">
        <f t="shared" si="105"/>
        <v>0</v>
      </c>
      <c r="O70" s="41">
        <f t="shared" si="105"/>
        <v>0</v>
      </c>
      <c r="P70" s="41">
        <f t="shared" si="105"/>
        <v>0</v>
      </c>
      <c r="Q70" s="41">
        <f t="shared" si="105"/>
        <v>0</v>
      </c>
      <c r="R70" s="41">
        <f t="shared" si="105"/>
        <v>0</v>
      </c>
      <c r="S70" s="41">
        <f t="shared" si="105"/>
        <v>0</v>
      </c>
      <c r="T70" s="41">
        <f t="shared" si="105"/>
        <v>0</v>
      </c>
      <c r="U70" s="41">
        <f t="shared" si="105"/>
        <v>0</v>
      </c>
      <c r="V70" s="41">
        <f t="shared" si="105"/>
        <v>0</v>
      </c>
      <c r="W70" s="41">
        <f t="shared" si="105"/>
        <v>0</v>
      </c>
      <c r="X70" s="41">
        <f t="shared" si="105"/>
        <v>0</v>
      </c>
      <c r="Y70" s="41">
        <f t="shared" si="105"/>
        <v>0</v>
      </c>
      <c r="Z70" s="41">
        <f t="shared" si="105"/>
        <v>0</v>
      </c>
      <c r="AA70" s="41">
        <f t="shared" si="105"/>
        <v>0</v>
      </c>
      <c r="AB70" s="41">
        <f t="shared" si="105"/>
        <v>0</v>
      </c>
      <c r="AC70" s="41">
        <f t="shared" si="105"/>
        <v>0</v>
      </c>
      <c r="AD70" s="41">
        <f t="shared" si="105"/>
        <v>0</v>
      </c>
      <c r="AE70" s="41">
        <f t="shared" si="105"/>
        <v>0</v>
      </c>
      <c r="AF70" s="41">
        <f t="shared" si="105"/>
        <v>0</v>
      </c>
      <c r="AG70" s="41">
        <f t="shared" si="105"/>
        <v>0</v>
      </c>
      <c r="AH70" s="41">
        <f t="shared" si="105"/>
        <v>0</v>
      </c>
      <c r="AI70" s="41">
        <f t="shared" si="105"/>
        <v>0</v>
      </c>
      <c r="AJ70" s="41">
        <f t="shared" si="105"/>
        <v>0</v>
      </c>
      <c r="AK70" s="41">
        <f t="shared" si="105"/>
        <v>0</v>
      </c>
      <c r="AL70" s="41">
        <f t="shared" si="105"/>
        <v>0</v>
      </c>
      <c r="AM70" s="41">
        <f t="shared" si="105"/>
        <v>0</v>
      </c>
      <c r="AN70" s="41">
        <f t="shared" si="105"/>
        <v>0</v>
      </c>
      <c r="AO70" s="41">
        <f t="shared" si="105"/>
        <v>0</v>
      </c>
      <c r="AP70" s="41">
        <f t="shared" si="105"/>
        <v>0</v>
      </c>
      <c r="AQ70" s="41">
        <f t="shared" si="105"/>
        <v>0</v>
      </c>
      <c r="AR70" s="41">
        <f t="shared" si="105"/>
        <v>0</v>
      </c>
      <c r="AS70" s="41">
        <f t="shared" si="105"/>
        <v>0</v>
      </c>
      <c r="AT70" s="41">
        <f t="shared" si="105"/>
        <v>0</v>
      </c>
      <c r="AU70" s="41">
        <f t="shared" si="105"/>
        <v>0</v>
      </c>
    </row>
    <row r="72" spans="2:47" ht="16" customHeight="1" x14ac:dyDescent="0.2">
      <c r="B72" s="40" t="s">
        <v>898</v>
      </c>
      <c r="F72" s="41">
        <f>+F70*$R$17</f>
        <v>100403.00307466209</v>
      </c>
      <c r="G72" s="41">
        <f t="shared" ref="G72:AU72" si="106">+G70*$R$17</f>
        <v>100403.00307466209</v>
      </c>
      <c r="H72" s="41">
        <f t="shared" si="106"/>
        <v>100403.00307466209</v>
      </c>
      <c r="I72" s="41">
        <f t="shared" si="106"/>
        <v>100403.00307466209</v>
      </c>
      <c r="J72" s="41">
        <f t="shared" si="106"/>
        <v>100403.00307466209</v>
      </c>
      <c r="K72" s="41">
        <f t="shared" si="106"/>
        <v>100403.00307466209</v>
      </c>
      <c r="L72" s="41">
        <f t="shared" si="106"/>
        <v>0</v>
      </c>
      <c r="M72" s="41">
        <f t="shared" si="106"/>
        <v>0</v>
      </c>
      <c r="N72" s="41">
        <f t="shared" si="106"/>
        <v>0</v>
      </c>
      <c r="O72" s="41">
        <f t="shared" si="106"/>
        <v>0</v>
      </c>
      <c r="P72" s="41">
        <f t="shared" si="106"/>
        <v>0</v>
      </c>
      <c r="Q72" s="41">
        <f t="shared" si="106"/>
        <v>0</v>
      </c>
      <c r="R72" s="41">
        <f t="shared" si="106"/>
        <v>0</v>
      </c>
      <c r="S72" s="41">
        <f t="shared" si="106"/>
        <v>0</v>
      </c>
      <c r="T72" s="41">
        <f t="shared" si="106"/>
        <v>0</v>
      </c>
      <c r="U72" s="41">
        <f t="shared" si="106"/>
        <v>0</v>
      </c>
      <c r="V72" s="41">
        <f t="shared" si="106"/>
        <v>0</v>
      </c>
      <c r="W72" s="41">
        <f t="shared" si="106"/>
        <v>0</v>
      </c>
      <c r="X72" s="41">
        <f t="shared" si="106"/>
        <v>0</v>
      </c>
      <c r="Y72" s="41">
        <f t="shared" si="106"/>
        <v>0</v>
      </c>
      <c r="Z72" s="41">
        <f t="shared" si="106"/>
        <v>0</v>
      </c>
      <c r="AA72" s="41">
        <f t="shared" si="106"/>
        <v>0</v>
      </c>
      <c r="AB72" s="41">
        <f t="shared" si="106"/>
        <v>0</v>
      </c>
      <c r="AC72" s="41">
        <f t="shared" si="106"/>
        <v>0</v>
      </c>
      <c r="AD72" s="41">
        <f t="shared" si="106"/>
        <v>0</v>
      </c>
      <c r="AE72" s="41">
        <f t="shared" si="106"/>
        <v>0</v>
      </c>
      <c r="AF72" s="41">
        <f t="shared" si="106"/>
        <v>0</v>
      </c>
      <c r="AG72" s="41">
        <f t="shared" si="106"/>
        <v>0</v>
      </c>
      <c r="AH72" s="41">
        <f t="shared" si="106"/>
        <v>0</v>
      </c>
      <c r="AI72" s="41">
        <f t="shared" si="106"/>
        <v>0</v>
      </c>
      <c r="AJ72" s="41">
        <f t="shared" si="106"/>
        <v>0</v>
      </c>
      <c r="AK72" s="41">
        <f t="shared" si="106"/>
        <v>0</v>
      </c>
      <c r="AL72" s="41">
        <f t="shared" si="106"/>
        <v>0</v>
      </c>
      <c r="AM72" s="41">
        <f t="shared" si="106"/>
        <v>0</v>
      </c>
      <c r="AN72" s="41">
        <f t="shared" si="106"/>
        <v>0</v>
      </c>
      <c r="AO72" s="41">
        <f t="shared" si="106"/>
        <v>0</v>
      </c>
      <c r="AP72" s="41">
        <f t="shared" si="106"/>
        <v>0</v>
      </c>
      <c r="AQ72" s="41">
        <f t="shared" si="106"/>
        <v>0</v>
      </c>
      <c r="AR72" s="41">
        <f t="shared" si="106"/>
        <v>0</v>
      </c>
      <c r="AS72" s="41">
        <f t="shared" si="106"/>
        <v>0</v>
      </c>
      <c r="AT72" s="41">
        <f t="shared" si="106"/>
        <v>0</v>
      </c>
      <c r="AU72" s="41">
        <f t="shared" si="106"/>
        <v>0</v>
      </c>
    </row>
    <row r="73" spans="2:47" ht="16" customHeight="1" x14ac:dyDescent="0.2">
      <c r="B73" s="40" t="s">
        <v>156</v>
      </c>
      <c r="F73" s="41">
        <f>+F68*$R$19</f>
        <v>12550.375384332761</v>
      </c>
      <c r="G73" s="41">
        <f t="shared" ref="G73:AU73" si="107">+G68*$R$19</f>
        <v>0</v>
      </c>
      <c r="H73" s="41">
        <f t="shared" si="107"/>
        <v>0</v>
      </c>
      <c r="I73" s="41">
        <f t="shared" si="107"/>
        <v>0</v>
      </c>
      <c r="J73" s="41">
        <f t="shared" si="107"/>
        <v>0</v>
      </c>
      <c r="K73" s="41">
        <f t="shared" si="107"/>
        <v>0</v>
      </c>
      <c r="L73" s="41">
        <f t="shared" si="107"/>
        <v>0</v>
      </c>
      <c r="M73" s="41">
        <f t="shared" si="107"/>
        <v>0</v>
      </c>
      <c r="N73" s="41">
        <f t="shared" si="107"/>
        <v>0</v>
      </c>
      <c r="O73" s="41">
        <f t="shared" si="107"/>
        <v>0</v>
      </c>
      <c r="P73" s="41">
        <f t="shared" si="107"/>
        <v>0</v>
      </c>
      <c r="Q73" s="41">
        <f t="shared" si="107"/>
        <v>0</v>
      </c>
      <c r="R73" s="41">
        <f t="shared" si="107"/>
        <v>0</v>
      </c>
      <c r="S73" s="41">
        <f t="shared" si="107"/>
        <v>0</v>
      </c>
      <c r="T73" s="41">
        <f t="shared" si="107"/>
        <v>0</v>
      </c>
      <c r="U73" s="41">
        <f t="shared" si="107"/>
        <v>0</v>
      </c>
      <c r="V73" s="41">
        <f t="shared" si="107"/>
        <v>0</v>
      </c>
      <c r="W73" s="41">
        <f t="shared" si="107"/>
        <v>0</v>
      </c>
      <c r="X73" s="41">
        <f t="shared" si="107"/>
        <v>0</v>
      </c>
      <c r="Y73" s="41">
        <f t="shared" si="107"/>
        <v>0</v>
      </c>
      <c r="Z73" s="41">
        <f t="shared" si="107"/>
        <v>0</v>
      </c>
      <c r="AA73" s="41">
        <f t="shared" si="107"/>
        <v>0</v>
      </c>
      <c r="AB73" s="41">
        <f t="shared" si="107"/>
        <v>0</v>
      </c>
      <c r="AC73" s="41">
        <f t="shared" si="107"/>
        <v>0</v>
      </c>
      <c r="AD73" s="41">
        <f t="shared" si="107"/>
        <v>0</v>
      </c>
      <c r="AE73" s="41">
        <f t="shared" si="107"/>
        <v>0</v>
      </c>
      <c r="AF73" s="41">
        <f t="shared" si="107"/>
        <v>0</v>
      </c>
      <c r="AG73" s="41">
        <f t="shared" si="107"/>
        <v>0</v>
      </c>
      <c r="AH73" s="41">
        <f t="shared" si="107"/>
        <v>0</v>
      </c>
      <c r="AI73" s="41">
        <f t="shared" si="107"/>
        <v>0</v>
      </c>
      <c r="AJ73" s="41">
        <f t="shared" si="107"/>
        <v>0</v>
      </c>
      <c r="AK73" s="41">
        <f t="shared" si="107"/>
        <v>0</v>
      </c>
      <c r="AL73" s="41">
        <f t="shared" si="107"/>
        <v>0</v>
      </c>
      <c r="AM73" s="41">
        <f t="shared" si="107"/>
        <v>0</v>
      </c>
      <c r="AN73" s="41">
        <f t="shared" si="107"/>
        <v>0</v>
      </c>
      <c r="AO73" s="41">
        <f t="shared" si="107"/>
        <v>0</v>
      </c>
      <c r="AP73" s="41">
        <f t="shared" si="107"/>
        <v>0</v>
      </c>
      <c r="AQ73" s="41">
        <f t="shared" si="107"/>
        <v>0</v>
      </c>
      <c r="AR73" s="41">
        <f t="shared" si="107"/>
        <v>0</v>
      </c>
      <c r="AS73" s="41">
        <f t="shared" si="107"/>
        <v>0</v>
      </c>
      <c r="AT73" s="41">
        <f t="shared" si="107"/>
        <v>0</v>
      </c>
      <c r="AU73" s="41">
        <f t="shared" si="107"/>
        <v>0</v>
      </c>
    </row>
    <row r="75" spans="2:47" ht="16" customHeight="1" x14ac:dyDescent="0.2">
      <c r="B75" s="165" t="s">
        <v>395</v>
      </c>
      <c r="C75" s="165"/>
      <c r="D75" s="165"/>
      <c r="E75" s="165"/>
      <c r="F75" s="166">
        <f>+F63+F68+F69-F72-F73</f>
        <v>-1672915.8400257188</v>
      </c>
      <c r="G75" s="166">
        <f t="shared" ref="G75:AU75" si="108">+G63+G68+G69-G72-G73</f>
        <v>900604.50461199309</v>
      </c>
      <c r="H75" s="166">
        <f t="shared" si="108"/>
        <v>154761.68461199311</v>
      </c>
      <c r="I75" s="166">
        <f t="shared" si="108"/>
        <v>159002.00821199318</v>
      </c>
      <c r="J75" s="166">
        <f t="shared" si="108"/>
        <v>163327.13828399315</v>
      </c>
      <c r="K75" s="166">
        <f t="shared" si="108"/>
        <v>167738.77095743318</v>
      </c>
      <c r="L75" s="166">
        <f t="shared" si="108"/>
        <v>1285034.2311710706</v>
      </c>
      <c r="M75" s="166">
        <f t="shared" si="108"/>
        <v>0</v>
      </c>
      <c r="N75" s="166">
        <f t="shared" si="108"/>
        <v>0</v>
      </c>
      <c r="O75" s="166">
        <f t="shared" si="108"/>
        <v>0</v>
      </c>
      <c r="P75" s="166">
        <f t="shared" si="108"/>
        <v>0</v>
      </c>
      <c r="Q75" s="166">
        <f t="shared" si="108"/>
        <v>0</v>
      </c>
      <c r="R75" s="166">
        <f t="shared" si="108"/>
        <v>0</v>
      </c>
      <c r="S75" s="166">
        <f t="shared" si="108"/>
        <v>0</v>
      </c>
      <c r="T75" s="166">
        <f t="shared" si="108"/>
        <v>0</v>
      </c>
      <c r="U75" s="166">
        <f t="shared" si="108"/>
        <v>0</v>
      </c>
      <c r="V75" s="166">
        <f t="shared" si="108"/>
        <v>0</v>
      </c>
      <c r="W75" s="166">
        <f t="shared" si="108"/>
        <v>0</v>
      </c>
      <c r="X75" s="166">
        <f t="shared" si="108"/>
        <v>0</v>
      </c>
      <c r="Y75" s="166">
        <f t="shared" si="108"/>
        <v>0</v>
      </c>
      <c r="Z75" s="166">
        <f t="shared" si="108"/>
        <v>0</v>
      </c>
      <c r="AA75" s="166">
        <f t="shared" si="108"/>
        <v>0</v>
      </c>
      <c r="AB75" s="166">
        <f t="shared" si="108"/>
        <v>0</v>
      </c>
      <c r="AC75" s="166">
        <f t="shared" si="108"/>
        <v>0</v>
      </c>
      <c r="AD75" s="166">
        <f t="shared" si="108"/>
        <v>0</v>
      </c>
      <c r="AE75" s="166">
        <f t="shared" si="108"/>
        <v>0</v>
      </c>
      <c r="AF75" s="166">
        <f t="shared" si="108"/>
        <v>0</v>
      </c>
      <c r="AG75" s="166">
        <f t="shared" si="108"/>
        <v>0</v>
      </c>
      <c r="AH75" s="166">
        <f t="shared" si="108"/>
        <v>0</v>
      </c>
      <c r="AI75" s="166">
        <f t="shared" si="108"/>
        <v>0</v>
      </c>
      <c r="AJ75" s="166">
        <f t="shared" si="108"/>
        <v>0</v>
      </c>
      <c r="AK75" s="166">
        <f t="shared" si="108"/>
        <v>0</v>
      </c>
      <c r="AL75" s="166">
        <f t="shared" si="108"/>
        <v>0</v>
      </c>
      <c r="AM75" s="166">
        <f t="shared" si="108"/>
        <v>0</v>
      </c>
      <c r="AN75" s="166">
        <f t="shared" si="108"/>
        <v>0</v>
      </c>
      <c r="AO75" s="166">
        <f t="shared" si="108"/>
        <v>0</v>
      </c>
      <c r="AP75" s="166">
        <f t="shared" si="108"/>
        <v>0</v>
      </c>
      <c r="AQ75" s="166">
        <f t="shared" si="108"/>
        <v>0</v>
      </c>
      <c r="AR75" s="166">
        <f t="shared" si="108"/>
        <v>0</v>
      </c>
      <c r="AS75" s="166">
        <f t="shared" si="108"/>
        <v>0</v>
      </c>
      <c r="AT75" s="166">
        <f t="shared" si="108"/>
        <v>0</v>
      </c>
      <c r="AU75" s="166">
        <f t="shared" si="108"/>
        <v>502109.42412597517</v>
      </c>
    </row>
    <row r="76" spans="2:47" ht="16" customHeight="1" x14ac:dyDescent="0.2">
      <c r="B76" s="118" t="s">
        <v>899</v>
      </c>
      <c r="F76" s="846">
        <f>+IRR(F75:AV75)</f>
        <v>0.16421438444145742</v>
      </c>
    </row>
  </sheetData>
  <mergeCells count="9">
    <mergeCell ref="N14:R14"/>
    <mergeCell ref="B2:F2"/>
    <mergeCell ref="H2:L2"/>
    <mergeCell ref="H7:L7"/>
    <mergeCell ref="N2:R2"/>
    <mergeCell ref="B13:F13"/>
    <mergeCell ref="H13:L13"/>
    <mergeCell ref="N7:R7"/>
    <mergeCell ref="N10:R10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  <pageSetUpPr fitToPage="1"/>
  </sheetPr>
  <dimension ref="A1:AP354"/>
  <sheetViews>
    <sheetView showGridLines="0" topLeftCell="A174" zoomScale="90" zoomScaleNormal="90" workbookViewId="0">
      <selection activeCell="F184" sqref="F184"/>
    </sheetView>
  </sheetViews>
  <sheetFormatPr baseColWidth="10" defaultColWidth="12.5" defaultRowHeight="18" customHeight="1" outlineLevelRow="1" outlineLevelCol="2" x14ac:dyDescent="0.15"/>
  <cols>
    <col min="1" max="1" width="8.5" style="51" customWidth="1"/>
    <col min="2" max="2" width="36.5" style="51" customWidth="1"/>
    <col min="3" max="3" width="18.1640625" style="51" customWidth="1"/>
    <col min="4" max="4" width="1.5" style="52" customWidth="1"/>
    <col min="5" max="5" width="15.5" style="52" bestFit="1" customWidth="1"/>
    <col min="6" max="6" width="15.33203125" style="51" customWidth="1"/>
    <col min="7" max="7" width="14.83203125" style="51" bestFit="1" customWidth="1"/>
    <col min="8" max="8" width="16.5" style="51" customWidth="1"/>
    <col min="9" max="9" width="16.33203125" style="51" customWidth="1"/>
    <col min="10" max="10" width="20.83203125" style="51" customWidth="1"/>
    <col min="11" max="11" width="16" style="51" customWidth="1"/>
    <col min="12" max="13" width="15.5" style="51" customWidth="1"/>
    <col min="14" max="14" width="17.5" style="51" bestFit="1" customWidth="1"/>
    <col min="15" max="15" width="17.33203125" style="51" customWidth="1"/>
    <col min="16" max="16" width="14.5" style="51" bestFit="1" customWidth="1"/>
    <col min="17" max="17" width="3.5" style="51" customWidth="1"/>
    <col min="18" max="18" width="36.5" style="51" customWidth="1"/>
    <col min="19" max="19" width="16.5" style="51" customWidth="1"/>
    <col min="20" max="20" width="1.5" style="51" customWidth="1"/>
    <col min="21" max="21" width="16.5" style="51" customWidth="1"/>
    <col min="22" max="26" width="12.5" style="51"/>
    <col min="27" max="27" width="14.5" style="51" bestFit="1" customWidth="1"/>
    <col min="28" max="28" width="12.5" style="51" hidden="1" customWidth="1" outlineLevel="1"/>
    <col min="29" max="29" width="12.5" style="51" collapsed="1"/>
    <col min="30" max="33" width="12.5" style="51"/>
    <col min="34" max="34" width="2.6640625" style="51" customWidth="1"/>
    <col min="35" max="36" width="12.5" style="51"/>
    <col min="37" max="37" width="12.5" style="51" hidden="1" customWidth="1" outlineLevel="2"/>
    <col min="38" max="38" width="12.5" style="51" collapsed="1"/>
    <col min="39" max="16384" width="12.5" style="51"/>
  </cols>
  <sheetData>
    <row r="1" spans="1:21" ht="18" customHeight="1" x14ac:dyDescent="0.15">
      <c r="A1" s="50"/>
    </row>
    <row r="2" spans="1:21" ht="64" x14ac:dyDescent="0.15">
      <c r="A2" s="50"/>
      <c r="E2" s="875" t="s">
        <v>647</v>
      </c>
      <c r="F2" s="875" t="s">
        <v>648</v>
      </c>
      <c r="L2" s="52"/>
      <c r="M2" s="52"/>
    </row>
    <row r="3" spans="1:21" ht="16" customHeight="1" x14ac:dyDescent="0.15">
      <c r="A3" s="50"/>
      <c r="B3" s="171" t="s">
        <v>355</v>
      </c>
      <c r="C3" s="176"/>
      <c r="D3" s="51"/>
      <c r="E3" s="176">
        <f ca="1">+'Cash Flow Roll-up'!$D$8</f>
        <v>0.22085344333029133</v>
      </c>
      <c r="F3" s="176">
        <f ca="1">+'Cash Flow Roll-up'!D36</f>
        <v>0.30116005615140645</v>
      </c>
      <c r="L3" s="52"/>
      <c r="M3" s="52"/>
    </row>
    <row r="4" spans="1:21" ht="16" customHeight="1" x14ac:dyDescent="0.15">
      <c r="A4" s="50"/>
      <c r="B4" s="175" t="s">
        <v>393</v>
      </c>
      <c r="C4" s="177"/>
      <c r="D4" s="51"/>
      <c r="E4" s="177">
        <f ca="1">+'Cash Flow Roll-up'!$D$17</f>
        <v>0.12945660144928284</v>
      </c>
      <c r="F4" s="177">
        <f ca="1">+'Cash Flow Roll-up'!D27</f>
        <v>0.16385631982682697</v>
      </c>
      <c r="L4" s="52"/>
      <c r="M4" s="52"/>
    </row>
    <row r="5" spans="1:21" ht="4" customHeight="1" x14ac:dyDescent="0.15">
      <c r="A5" s="50"/>
      <c r="L5" s="52"/>
      <c r="M5" s="52"/>
    </row>
    <row r="6" spans="1:21" ht="16" customHeight="1" x14ac:dyDescent="0.15">
      <c r="A6" s="50"/>
      <c r="E6" s="881" t="s">
        <v>21</v>
      </c>
      <c r="F6" s="881" t="s">
        <v>375</v>
      </c>
      <c r="G6" s="881" t="s">
        <v>378</v>
      </c>
      <c r="L6" s="52"/>
      <c r="M6" s="52"/>
      <c r="T6" s="52"/>
      <c r="U6" s="52"/>
    </row>
    <row r="7" spans="1:21" ht="16" customHeight="1" x14ac:dyDescent="0.15">
      <c r="A7" s="50"/>
      <c r="B7" s="50" t="s">
        <v>368</v>
      </c>
      <c r="L7" s="52"/>
      <c r="M7" s="52"/>
      <c r="T7" s="52"/>
      <c r="U7" s="52"/>
    </row>
    <row r="8" spans="1:21" ht="16" customHeight="1" outlineLevel="1" x14ac:dyDescent="0.15">
      <c r="A8" s="50"/>
      <c r="B8" s="171" t="s">
        <v>370</v>
      </c>
      <c r="C8" s="172"/>
      <c r="D8" s="53"/>
      <c r="E8" s="172">
        <f ca="1">+Budget!$H$82-SUM('S&amp;U'!$H$18:$H$22)</f>
        <v>303961345.66452712</v>
      </c>
      <c r="F8" s="172">
        <f ca="1">+Budget!$I$82-SUM('S&amp;U'!$I$18:$I$22)</f>
        <v>169335097.45884427</v>
      </c>
      <c r="G8" s="172">
        <f ca="1">+Budget!$J$82-SUM('S&amp;U'!$J$18:$J$22)</f>
        <v>317056967.94714785</v>
      </c>
      <c r="L8" s="52"/>
      <c r="M8" s="52"/>
      <c r="T8" s="53"/>
    </row>
    <row r="9" spans="1:21" ht="16" customHeight="1" outlineLevel="1" x14ac:dyDescent="0.15">
      <c r="A9" s="50"/>
      <c r="B9" s="173" t="s">
        <v>327</v>
      </c>
      <c r="C9" s="174"/>
      <c r="D9" s="53"/>
      <c r="E9" s="174">
        <f ca="1">+'Loan Sizing'!$F$49+'Loan Sizing'!$F$33+SUM('Loan Sizing'!$F$6:$F$11)</f>
        <v>412428286.77958107</v>
      </c>
      <c r="F9" s="174">
        <f ca="1">+'Loan Sizing'!$G$49+'Loan Sizing'!$G$33+SUM('Loan Sizing'!$G$6:$G$11)</f>
        <v>239095231.09056801</v>
      </c>
      <c r="G9" s="174">
        <f ca="1">+'Loan Sizing'!$H$49+'Loan Sizing'!$H$33+SUM('Loan Sizing'!$H$6:$H$11)</f>
        <v>429257370.17257202</v>
      </c>
      <c r="L9" s="52"/>
      <c r="M9" s="52"/>
      <c r="T9" s="53"/>
    </row>
    <row r="10" spans="1:21" ht="16" customHeight="1" x14ac:dyDescent="0.15">
      <c r="A10" s="50"/>
      <c r="B10" s="171" t="s">
        <v>255</v>
      </c>
      <c r="C10" s="176"/>
      <c r="D10" s="51"/>
      <c r="E10" s="176">
        <f ca="1">+'Loan Sizing'!$F$64/E8</f>
        <v>8.5268155548161431E-2</v>
      </c>
      <c r="F10" s="176">
        <f ca="1">+'Loan Sizing'!$G$64/F8</f>
        <v>8.8104045752325374E-2</v>
      </c>
      <c r="G10" s="176">
        <f ca="1">+'Loan Sizing'!$H$64/G8</f>
        <v>8.2514010490672335E-2</v>
      </c>
      <c r="L10" s="52"/>
      <c r="M10" s="52"/>
    </row>
    <row r="11" spans="1:21" ht="16" customHeight="1" x14ac:dyDescent="0.15">
      <c r="A11" s="50"/>
      <c r="B11" s="175" t="s">
        <v>329</v>
      </c>
      <c r="C11" s="177"/>
      <c r="D11" s="51"/>
      <c r="E11" s="177">
        <f ca="1">+'Loan Sizing'!$F$64/E9</f>
        <v>6.2842981758433905E-2</v>
      </c>
      <c r="F11" s="177">
        <f ca="1">+'Loan Sizing'!$G$64/F9</f>
        <v>6.2398179612111186E-2</v>
      </c>
      <c r="G11" s="177">
        <f ca="1">+'Loan Sizing'!$H$64/G9</f>
        <v>6.0946284903190123E-2</v>
      </c>
      <c r="L11" s="52"/>
      <c r="M11" s="52"/>
    </row>
    <row r="12" spans="1:21" ht="4" customHeight="1" x14ac:dyDescent="0.15">
      <c r="A12" s="50"/>
      <c r="F12" s="52"/>
      <c r="G12" s="52"/>
      <c r="L12" s="52"/>
      <c r="M12" s="52"/>
      <c r="T12" s="52"/>
    </row>
    <row r="13" spans="1:21" ht="16" customHeight="1" x14ac:dyDescent="0.15">
      <c r="A13" s="50"/>
      <c r="B13" s="50" t="s">
        <v>367</v>
      </c>
      <c r="D13" s="51"/>
      <c r="E13" s="51"/>
      <c r="L13" s="52"/>
      <c r="M13" s="52"/>
    </row>
    <row r="14" spans="1:21" ht="16" customHeight="1" x14ac:dyDescent="0.15">
      <c r="A14" s="50"/>
      <c r="B14" s="171" t="s">
        <v>355</v>
      </c>
      <c r="C14" s="176"/>
      <c r="D14" s="51"/>
      <c r="E14" s="176">
        <f ca="1">+'Phase I Pro Forma'!$D$311</f>
        <v>0.20213049169868547</v>
      </c>
      <c r="F14" s="176">
        <f ca="1">+'Phase II Pro Forma'!$D$311</f>
        <v>0.25390363378108316</v>
      </c>
      <c r="G14" s="176">
        <f ca="1">+'Phase III Pro Forma'!$D$311</f>
        <v>0.24148009708429607</v>
      </c>
      <c r="L14" s="52"/>
      <c r="M14" s="52"/>
    </row>
    <row r="15" spans="1:21" ht="16" customHeight="1" x14ac:dyDescent="0.15">
      <c r="A15" s="50"/>
      <c r="B15" s="173" t="s">
        <v>393</v>
      </c>
      <c r="C15" s="219"/>
      <c r="D15" s="51"/>
      <c r="E15" s="219">
        <f ca="1">+'Phase I Pro Forma'!$D$353</f>
        <v>0.11972108472418541</v>
      </c>
      <c r="F15" s="219">
        <f ca="1">+'Phase II Pro Forma'!$D$353</f>
        <v>0.13785665601235575</v>
      </c>
      <c r="G15" s="219">
        <f ca="1">+'Phase III Pro Forma'!$D$353</f>
        <v>0.14509319275795374</v>
      </c>
      <c r="L15" s="52"/>
      <c r="M15" s="52"/>
    </row>
    <row r="16" spans="1:21" ht="16" customHeight="1" x14ac:dyDescent="0.15">
      <c r="A16" s="50"/>
      <c r="B16" s="173" t="s">
        <v>746</v>
      </c>
      <c r="C16" s="219"/>
      <c r="D16" s="51"/>
      <c r="E16" s="219">
        <f ca="1">+'Cash Flow Roll-up'!$E$55</f>
        <v>0.29685512823841814</v>
      </c>
      <c r="F16" s="219">
        <f ca="1">+'Cash Flow Roll-up'!$E$56</f>
        <v>0.32964171412919885</v>
      </c>
      <c r="G16" s="219">
        <f ca="1">+'Cash Flow Roll-up'!$E$57</f>
        <v>0.29078066901367527</v>
      </c>
      <c r="L16" s="52"/>
      <c r="M16" s="52"/>
    </row>
    <row r="17" spans="1:16" ht="16" customHeight="1" x14ac:dyDescent="0.15">
      <c r="A17" s="50"/>
      <c r="B17" s="173" t="s">
        <v>624</v>
      </c>
      <c r="C17" s="219"/>
      <c r="D17" s="51"/>
      <c r="E17" s="219">
        <f ca="1">+'Phase I Pro Forma'!$D$383</f>
        <v>0.16400772499036342</v>
      </c>
      <c r="F17" s="219">
        <f ca="1">+'Phase II Pro Forma'!$D$383</f>
        <v>0.16532531194618125</v>
      </c>
      <c r="G17" s="219">
        <f ca="1">+'Phase III Pro Forma'!$D$383</f>
        <v>0.16233085467130121</v>
      </c>
      <c r="L17" s="52"/>
      <c r="M17" s="52"/>
    </row>
    <row r="18" spans="1:16" ht="16" customHeight="1" x14ac:dyDescent="0.15">
      <c r="A18" s="50"/>
      <c r="B18" s="175" t="s">
        <v>354</v>
      </c>
      <c r="C18" s="177"/>
      <c r="D18" s="51"/>
      <c r="E18" s="203">
        <f ca="1">+'Phase I Pro Forma'!$D$313</f>
        <v>4.4603076936764419</v>
      </c>
      <c r="F18" s="203">
        <f ca="1">+'Phase II Pro Forma'!$D$313</f>
        <v>4.105075272410641</v>
      </c>
      <c r="G18" s="203">
        <f ca="1">+'Phase III Pro Forma'!$D$313</f>
        <v>3.0036037323810025</v>
      </c>
      <c r="L18" s="52"/>
      <c r="M18" s="52"/>
    </row>
    <row r="19" spans="1:16" ht="16" customHeight="1" x14ac:dyDescent="0.15">
      <c r="A19" s="50"/>
      <c r="D19" s="53"/>
    </row>
    <row r="20" spans="1:16" s="877" customFormat="1" ht="49" thickBot="1" x14ac:dyDescent="0.2">
      <c r="A20" s="875"/>
      <c r="B20" s="110" t="s">
        <v>222</v>
      </c>
      <c r="C20" s="110" t="str">
        <f>'Parcel Breakdown'!E4</f>
        <v>Site Area</v>
      </c>
      <c r="D20" s="876"/>
      <c r="E20" s="110" t="str">
        <f>'Parcel Breakdown'!K4</f>
        <v>Total GSF</v>
      </c>
      <c r="F20" s="110" t="str">
        <f ca="1">'Parcel Breakdown'!Z4</f>
        <v>Affordable Residential</v>
      </c>
      <c r="G20" s="110" t="str">
        <f ca="1">'Parcel Breakdown'!AA4</f>
        <v>Market Rate and WF Residential</v>
      </c>
      <c r="H20" s="110" t="str">
        <f ca="1">'Parcel Breakdown'!AB4</f>
        <v>Retail</v>
      </c>
      <c r="I20" s="110" t="str">
        <f ca="1">'Parcel Breakdown'!AC4</f>
        <v>Hotel</v>
      </c>
      <c r="J20" s="110" t="str">
        <f ca="1">'Parcel Breakdown'!AD4</f>
        <v>Community Facility</v>
      </c>
      <c r="K20" s="110" t="str">
        <f ca="1">'Parcel Breakdown'!AE4</f>
        <v>Office</v>
      </c>
      <c r="L20" s="110" t="str">
        <f ca="1">'Parcel Breakdown'!AF4</f>
        <v>Industrial</v>
      </c>
      <c r="M20" s="110" t="str">
        <f ca="1">'Parcel Breakdown'!AG4</f>
        <v>Structural Parking</v>
      </c>
      <c r="N20" s="110" t="str">
        <f ca="1">'Parcel Breakdown'!AH4</f>
        <v>Surface Parking</v>
      </c>
      <c r="O20" s="110" t="s">
        <v>1018</v>
      </c>
      <c r="P20" s="110" t="str">
        <f>'Parcel Breakdown'!BA4</f>
        <v>Acquisition Cost</v>
      </c>
    </row>
    <row r="21" spans="1:16" ht="16" customHeight="1" x14ac:dyDescent="0.15">
      <c r="A21" s="50"/>
      <c r="B21" s="51" t="str">
        <f>'Parcel Breakdown'!B6</f>
        <v>Parcel A1</v>
      </c>
      <c r="C21" s="873">
        <f>'Parcel Breakdown'!E6</f>
        <v>53728</v>
      </c>
      <c r="D21" s="874"/>
      <c r="E21" s="874">
        <f>'Parcel Breakdown'!K6</f>
        <v>242120</v>
      </c>
      <c r="F21" s="873">
        <f>'Parcel Breakdown'!Z6</f>
        <v>45024</v>
      </c>
      <c r="G21" s="873">
        <f>'Parcel Breakdown'!AA6</f>
        <v>180096</v>
      </c>
      <c r="H21" s="873">
        <f>'Parcel Breakdown'!AB6</f>
        <v>17000</v>
      </c>
      <c r="I21" s="873">
        <f>'Parcel Breakdown'!AC6</f>
        <v>0</v>
      </c>
      <c r="J21" s="873">
        <f>'Parcel Breakdown'!AD6</f>
        <v>0</v>
      </c>
      <c r="K21" s="873">
        <f>'Parcel Breakdown'!AE6</f>
        <v>0</v>
      </c>
      <c r="L21" s="873">
        <f>'Parcel Breakdown'!AF6</f>
        <v>0</v>
      </c>
      <c r="M21" s="873">
        <f>'Parcel Breakdown'!AG6</f>
        <v>0</v>
      </c>
      <c r="N21" s="873">
        <f>'Parcel Breakdown'!AH6</f>
        <v>0</v>
      </c>
      <c r="O21" s="220">
        <f ca="1">SUM('Parcel Breakdown'!M6:U6)</f>
        <v>46410750.9677376</v>
      </c>
      <c r="P21" s="873">
        <f>'Parcel Breakdown'!BA6</f>
        <v>1</v>
      </c>
    </row>
    <row r="22" spans="1:16" ht="16" customHeight="1" x14ac:dyDescent="0.15">
      <c r="A22" s="50"/>
      <c r="B22" s="51" t="str">
        <f>'Parcel Breakdown'!B7</f>
        <v>Parcel A2</v>
      </c>
      <c r="C22" s="873">
        <f>'Parcel Breakdown'!E7</f>
        <v>53502</v>
      </c>
      <c r="D22" s="874"/>
      <c r="E22" s="874">
        <f>'Parcel Breakdown'!K7</f>
        <v>425404</v>
      </c>
      <c r="F22" s="873">
        <f>'Parcel Breakdown'!Z7</f>
        <v>32938.777777777803</v>
      </c>
      <c r="G22" s="873">
        <f>'Parcel Breakdown'!AA7</f>
        <v>131755.11111111121</v>
      </c>
      <c r="H22" s="873">
        <f>'Parcel Breakdown'!AB7</f>
        <v>25000</v>
      </c>
      <c r="I22" s="873">
        <f>'Parcel Breakdown'!AC7</f>
        <v>0</v>
      </c>
      <c r="J22" s="873">
        <f>'Parcel Breakdown'!AD7</f>
        <v>0</v>
      </c>
      <c r="K22" s="873">
        <f>'Parcel Breakdown'!AE7</f>
        <v>235710.11111111101</v>
      </c>
      <c r="L22" s="873">
        <f>'Parcel Breakdown'!AF7</f>
        <v>0</v>
      </c>
      <c r="M22" s="873">
        <f>'Parcel Breakdown'!AG7</f>
        <v>0</v>
      </c>
      <c r="N22" s="873">
        <f>'Parcel Breakdown'!AH7</f>
        <v>0</v>
      </c>
      <c r="O22" s="220">
        <f ca="1">SUM('Parcel Breakdown'!M7:U7)</f>
        <v>78295219.652339995</v>
      </c>
      <c r="P22" s="873">
        <f>'Parcel Breakdown'!BA7</f>
        <v>0</v>
      </c>
    </row>
    <row r="23" spans="1:16" ht="16" customHeight="1" x14ac:dyDescent="0.15">
      <c r="A23" s="50"/>
      <c r="B23" s="51" t="str">
        <f>'Parcel Breakdown'!B8</f>
        <v>Parcel A3</v>
      </c>
      <c r="C23" s="873">
        <f>'Parcel Breakdown'!E8</f>
        <v>53024</v>
      </c>
      <c r="D23" s="874"/>
      <c r="E23" s="874">
        <f>'Parcel Breakdown'!K8</f>
        <v>76500</v>
      </c>
      <c r="F23" s="873">
        <f>'Parcel Breakdown'!Z8</f>
        <v>0</v>
      </c>
      <c r="G23" s="873">
        <f>'Parcel Breakdown'!AA8</f>
        <v>0</v>
      </c>
      <c r="H23" s="873">
        <f>'Parcel Breakdown'!AB8</f>
        <v>57375</v>
      </c>
      <c r="I23" s="873">
        <f>'Parcel Breakdown'!AC8</f>
        <v>0</v>
      </c>
      <c r="J23" s="873">
        <f>'Parcel Breakdown'!AD8</f>
        <v>19125</v>
      </c>
      <c r="K23" s="873">
        <f>'Parcel Breakdown'!AE8</f>
        <v>0</v>
      </c>
      <c r="L23" s="873">
        <f>'Parcel Breakdown'!AF8</f>
        <v>0</v>
      </c>
      <c r="M23" s="873">
        <f>'Parcel Breakdown'!AG8</f>
        <v>0</v>
      </c>
      <c r="N23" s="873">
        <f>'Parcel Breakdown'!AH8</f>
        <v>0</v>
      </c>
      <c r="O23" s="220">
        <f ca="1">SUM('Parcel Breakdown'!M8:U8)</f>
        <v>12622500</v>
      </c>
      <c r="P23" s="873">
        <f>'Parcel Breakdown'!BA8</f>
        <v>1</v>
      </c>
    </row>
    <row r="24" spans="1:16" ht="16" customHeight="1" x14ac:dyDescent="0.15">
      <c r="A24" s="50"/>
      <c r="B24" s="51" t="str">
        <f>'Parcel Breakdown'!B9</f>
        <v>Parcel A4</v>
      </c>
      <c r="C24" s="873">
        <f>'Parcel Breakdown'!E9</f>
        <v>53564</v>
      </c>
      <c r="D24" s="874"/>
      <c r="E24" s="874">
        <f>'Parcel Breakdown'!K9</f>
        <v>414917</v>
      </c>
      <c r="F24" s="873">
        <f>'Parcel Breakdown'!Z9</f>
        <v>33048.6</v>
      </c>
      <c r="G24" s="873">
        <f>'Parcel Breakdown'!AA9</f>
        <v>132194.4</v>
      </c>
      <c r="H24" s="873">
        <f>'Parcel Breakdown'!AB9</f>
        <v>20000</v>
      </c>
      <c r="I24" s="873">
        <f>'Parcel Breakdown'!AC9</f>
        <v>0</v>
      </c>
      <c r="J24" s="873">
        <f>'Parcel Breakdown'!AD9</f>
        <v>0</v>
      </c>
      <c r="K24" s="873">
        <f>'Parcel Breakdown'!AE9</f>
        <v>229674</v>
      </c>
      <c r="L24" s="873">
        <f>'Parcel Breakdown'!AF9</f>
        <v>0</v>
      </c>
      <c r="M24" s="873">
        <f>'Parcel Breakdown'!AG9</f>
        <v>0</v>
      </c>
      <c r="N24" s="873">
        <f>'Parcel Breakdown'!AH9</f>
        <v>0</v>
      </c>
      <c r="O24" s="220">
        <f ca="1">SUM('Parcel Breakdown'!M9:U9)</f>
        <v>70609464</v>
      </c>
      <c r="P24" s="873">
        <f>'Parcel Breakdown'!BA9</f>
        <v>0</v>
      </c>
    </row>
    <row r="25" spans="1:16" ht="16" customHeight="1" x14ac:dyDescent="0.15">
      <c r="A25" s="50"/>
      <c r="B25" s="51" t="str">
        <f>'Parcel Breakdown'!B10</f>
        <v>Parcel B</v>
      </c>
      <c r="C25" s="873">
        <f>'Parcel Breakdown'!E10</f>
        <v>51667</v>
      </c>
      <c r="D25" s="874"/>
      <c r="E25" s="874">
        <f>'Parcel Breakdown'!K10</f>
        <v>420742</v>
      </c>
      <c r="F25" s="873">
        <f>'Parcel Breakdown'!Z10</f>
        <v>24931.559999999998</v>
      </c>
      <c r="G25" s="873">
        <f>'Parcel Breakdown'!AA10</f>
        <v>99726.239999999991</v>
      </c>
      <c r="H25" s="873">
        <f>'Parcel Breakdown'!AB10</f>
        <v>55000</v>
      </c>
      <c r="I25" s="873">
        <f>'Parcel Breakdown'!AC10</f>
        <v>208084.2</v>
      </c>
      <c r="J25" s="873">
        <f>'Parcel Breakdown'!AD10</f>
        <v>0</v>
      </c>
      <c r="K25" s="873">
        <f>'Parcel Breakdown'!AE10</f>
        <v>0</v>
      </c>
      <c r="L25" s="873">
        <f>'Parcel Breakdown'!AF10</f>
        <v>0</v>
      </c>
      <c r="M25" s="873">
        <f>'Parcel Breakdown'!AG10</f>
        <v>33000</v>
      </c>
      <c r="N25" s="873">
        <f>'Parcel Breakdown'!AH10</f>
        <v>0</v>
      </c>
      <c r="O25" s="220">
        <f ca="1">SUM('Parcel Breakdown'!M10:U10)</f>
        <v>71409665.400000006</v>
      </c>
      <c r="P25" s="873">
        <f>'Parcel Breakdown'!BA10</f>
        <v>0</v>
      </c>
    </row>
    <row r="26" spans="1:16" ht="16" customHeight="1" x14ac:dyDescent="0.15">
      <c r="A26" s="50"/>
      <c r="B26" s="51" t="str">
        <f>'Parcel Breakdown'!B11</f>
        <v>Parcel C</v>
      </c>
      <c r="C26" s="873">
        <f>'Parcel Breakdown'!E11</f>
        <v>98792</v>
      </c>
      <c r="D26" s="874"/>
      <c r="E26" s="874">
        <f>'Parcel Breakdown'!K11</f>
        <v>407493</v>
      </c>
      <c r="F26" s="873">
        <f>'Parcel Breakdown'!Z11</f>
        <v>65498.600000000006</v>
      </c>
      <c r="G26" s="873">
        <f>'Parcel Breakdown'!AA11</f>
        <v>261994.40000000002</v>
      </c>
      <c r="H26" s="873">
        <f>'Parcel Breakdown'!AB11</f>
        <v>20000</v>
      </c>
      <c r="I26" s="873">
        <f>'Parcel Breakdown'!AC11</f>
        <v>0</v>
      </c>
      <c r="J26" s="873">
        <f>'Parcel Breakdown'!AD11</f>
        <v>0</v>
      </c>
      <c r="K26" s="873">
        <f>'Parcel Breakdown'!AE11</f>
        <v>0</v>
      </c>
      <c r="L26" s="873">
        <f>'Parcel Breakdown'!AF11</f>
        <v>0</v>
      </c>
      <c r="M26" s="873">
        <f>'Parcel Breakdown'!AG11</f>
        <v>60000</v>
      </c>
      <c r="N26" s="873">
        <f>'Parcel Breakdown'!AH11</f>
        <v>0</v>
      </c>
      <c r="O26" s="220">
        <f ca="1">SUM('Parcel Breakdown'!M11:U11)</f>
        <v>67203341.661600009</v>
      </c>
      <c r="P26" s="873">
        <f>'Parcel Breakdown'!BA11</f>
        <v>1</v>
      </c>
    </row>
    <row r="27" spans="1:16" ht="16" customHeight="1" x14ac:dyDescent="0.15">
      <c r="A27" s="50"/>
      <c r="B27" s="51" t="str">
        <f>'Parcel Breakdown'!B12</f>
        <v>Parcel D</v>
      </c>
      <c r="C27" s="873">
        <f>'Parcel Breakdown'!E12</f>
        <v>33780</v>
      </c>
      <c r="D27" s="874"/>
      <c r="E27" s="874">
        <f>'Parcel Breakdown'!K12</f>
        <v>190434</v>
      </c>
      <c r="F27" s="873">
        <f>'Parcel Breakdown'!Z12</f>
        <v>0</v>
      </c>
      <c r="G27" s="873">
        <f>'Parcel Breakdown'!AA12</f>
        <v>0</v>
      </c>
      <c r="H27" s="873">
        <f>'Parcel Breakdown'!AB12</f>
        <v>16000</v>
      </c>
      <c r="I27" s="873">
        <f>'Parcel Breakdown'!AC12</f>
        <v>128434</v>
      </c>
      <c r="J27" s="873">
        <f>'Parcel Breakdown'!AD12</f>
        <v>0</v>
      </c>
      <c r="K27" s="873">
        <f>'Parcel Breakdown'!AE12</f>
        <v>0</v>
      </c>
      <c r="L27" s="873">
        <f>'Parcel Breakdown'!AF12</f>
        <v>0</v>
      </c>
      <c r="M27" s="873">
        <f>'Parcel Breakdown'!AG12</f>
        <v>46000</v>
      </c>
      <c r="N27" s="873">
        <f>'Parcel Breakdown'!AH12</f>
        <v>0</v>
      </c>
      <c r="O27" s="220">
        <f ca="1">SUM('Parcel Breakdown'!M12:U12)</f>
        <v>29859781.715999998</v>
      </c>
      <c r="P27" s="873">
        <f>'Parcel Breakdown'!BA12</f>
        <v>0</v>
      </c>
    </row>
    <row r="28" spans="1:16" ht="16" customHeight="1" x14ac:dyDescent="0.15">
      <c r="A28" s="50"/>
      <c r="B28" s="51" t="str">
        <f>'Parcel Breakdown'!B13</f>
        <v>Parcel E</v>
      </c>
      <c r="C28" s="873">
        <f>'Parcel Breakdown'!E13</f>
        <v>65410</v>
      </c>
      <c r="D28" s="874"/>
      <c r="E28" s="874">
        <f>'Parcel Breakdown'!K13</f>
        <v>298072</v>
      </c>
      <c r="F28" s="873">
        <f>'Parcel Breakdown'!Z13</f>
        <v>24628.400000000001</v>
      </c>
      <c r="G28" s="873">
        <f>'Parcel Breakdown'!AA13</f>
        <v>98513.600000000006</v>
      </c>
      <c r="H28" s="873">
        <f>'Parcel Breakdown'!AB13</f>
        <v>25000</v>
      </c>
      <c r="I28" s="873">
        <f>'Parcel Breakdown'!AC13</f>
        <v>0</v>
      </c>
      <c r="J28" s="873">
        <f>'Parcel Breakdown'!AD13</f>
        <v>0</v>
      </c>
      <c r="K28" s="873">
        <f>'Parcel Breakdown'!AE13</f>
        <v>149930</v>
      </c>
      <c r="L28" s="873">
        <f>'Parcel Breakdown'!AF13</f>
        <v>0</v>
      </c>
      <c r="M28" s="873">
        <f>'Parcel Breakdown'!AG13</f>
        <v>0</v>
      </c>
      <c r="N28" s="873">
        <f>'Parcel Breakdown'!AH13</f>
        <v>0</v>
      </c>
      <c r="O28" s="220">
        <f ca="1">SUM('Parcel Breakdown'!M13:U13)</f>
        <v>52834348.130400002</v>
      </c>
      <c r="P28" s="873">
        <f>'Parcel Breakdown'!BA13</f>
        <v>0</v>
      </c>
    </row>
    <row r="29" spans="1:16" ht="16" customHeight="1" x14ac:dyDescent="0.15">
      <c r="A29" s="50"/>
      <c r="B29" s="51" t="str">
        <f>'Parcel Breakdown'!B14</f>
        <v>Parcel F</v>
      </c>
      <c r="C29" s="873">
        <f>'Parcel Breakdown'!E14</f>
        <v>65378</v>
      </c>
      <c r="D29" s="874"/>
      <c r="E29" s="874">
        <f>'Parcel Breakdown'!K14</f>
        <v>75000</v>
      </c>
      <c r="F29" s="873">
        <f>'Parcel Breakdown'!Z14</f>
        <v>0</v>
      </c>
      <c r="G29" s="873">
        <f>'Parcel Breakdown'!AA14</f>
        <v>0</v>
      </c>
      <c r="H29" s="873">
        <f>'Parcel Breakdown'!AB14</f>
        <v>15000</v>
      </c>
      <c r="I29" s="873">
        <f>'Parcel Breakdown'!AC14</f>
        <v>0</v>
      </c>
      <c r="J29" s="873">
        <f>'Parcel Breakdown'!AD14</f>
        <v>60000</v>
      </c>
      <c r="K29" s="873">
        <f>'Parcel Breakdown'!AE14</f>
        <v>0</v>
      </c>
      <c r="L29" s="873">
        <f>'Parcel Breakdown'!AF14</f>
        <v>0</v>
      </c>
      <c r="M29" s="873">
        <f>'Parcel Breakdown'!AG14</f>
        <v>0</v>
      </c>
      <c r="N29" s="873">
        <f>'Parcel Breakdown'!AH14</f>
        <v>0</v>
      </c>
      <c r="O29" s="220">
        <f ca="1">SUM('Parcel Breakdown'!M14:U14)</f>
        <v>12375000</v>
      </c>
      <c r="P29" s="873">
        <f>'Parcel Breakdown'!BA14</f>
        <v>0</v>
      </c>
    </row>
    <row r="30" spans="1:16" ht="16" customHeight="1" x14ac:dyDescent="0.15">
      <c r="A30" s="50"/>
      <c r="B30" s="51" t="str">
        <f>'Parcel Breakdown'!B15</f>
        <v>Parcel G</v>
      </c>
      <c r="C30" s="873">
        <f>'Parcel Breakdown'!E15</f>
        <v>25388</v>
      </c>
      <c r="D30" s="874"/>
      <c r="E30" s="874">
        <f>'Parcel Breakdown'!K15</f>
        <v>237958</v>
      </c>
      <c r="F30" s="873">
        <f>'Parcel Breakdown'!Z15</f>
        <v>0</v>
      </c>
      <c r="G30" s="873">
        <f>'Parcel Breakdown'!AA15</f>
        <v>0</v>
      </c>
      <c r="H30" s="873">
        <f>'Parcel Breakdown'!AB15</f>
        <v>12000</v>
      </c>
      <c r="I30" s="873">
        <f>'Parcel Breakdown'!AC15</f>
        <v>0</v>
      </c>
      <c r="J30" s="873">
        <f>'Parcel Breakdown'!AD15</f>
        <v>0</v>
      </c>
      <c r="K30" s="873">
        <f>'Parcel Breakdown'!AE15</f>
        <v>225958</v>
      </c>
      <c r="L30" s="873">
        <f>'Parcel Breakdown'!AF15</f>
        <v>0</v>
      </c>
      <c r="M30" s="873">
        <f>'Parcel Breakdown'!AG15</f>
        <v>0</v>
      </c>
      <c r="N30" s="873">
        <f>'Parcel Breakdown'!AH15</f>
        <v>0</v>
      </c>
      <c r="O30" s="220">
        <f ca="1">SUM('Parcel Breakdown'!M15:U15)</f>
        <v>39263070</v>
      </c>
      <c r="P30" s="873">
        <f>'Parcel Breakdown'!BA15</f>
        <v>0</v>
      </c>
    </row>
    <row r="31" spans="1:16" ht="16" customHeight="1" x14ac:dyDescent="0.15">
      <c r="A31" s="50"/>
      <c r="B31" s="51" t="str">
        <f>'Parcel Breakdown'!B16</f>
        <v>Parcel H</v>
      </c>
      <c r="C31" s="873">
        <f>'Parcel Breakdown'!E16</f>
        <v>84035</v>
      </c>
      <c r="D31" s="874"/>
      <c r="E31" s="874">
        <f>'Parcel Breakdown'!K16</f>
        <v>45000</v>
      </c>
      <c r="F31" s="873">
        <f>'Parcel Breakdown'!Z16</f>
        <v>0</v>
      </c>
      <c r="G31" s="873">
        <f>'Parcel Breakdown'!AA16</f>
        <v>0</v>
      </c>
      <c r="H31" s="873">
        <f>'Parcel Breakdown'!AB16</f>
        <v>45000</v>
      </c>
      <c r="I31" s="873">
        <f>'Parcel Breakdown'!AC16</f>
        <v>0</v>
      </c>
      <c r="J31" s="873">
        <f>'Parcel Breakdown'!AD16</f>
        <v>0</v>
      </c>
      <c r="K31" s="873">
        <f>'Parcel Breakdown'!AE16</f>
        <v>0</v>
      </c>
      <c r="L31" s="873">
        <f>'Parcel Breakdown'!AF16</f>
        <v>0</v>
      </c>
      <c r="M31" s="873">
        <f>'Parcel Breakdown'!AG16</f>
        <v>0</v>
      </c>
      <c r="N31" s="873">
        <f>'Parcel Breakdown'!AH16</f>
        <v>0</v>
      </c>
      <c r="O31" s="220">
        <f ca="1">SUM('Parcel Breakdown'!M16:U16)</f>
        <v>7724970</v>
      </c>
      <c r="P31" s="873">
        <f>'Parcel Breakdown'!BA16</f>
        <v>140400</v>
      </c>
    </row>
    <row r="32" spans="1:16" ht="16" customHeight="1" x14ac:dyDescent="0.15">
      <c r="A32" s="50"/>
      <c r="B32" s="51" t="str">
        <f>'Parcel Breakdown'!B17</f>
        <v>Parcel I</v>
      </c>
      <c r="C32" s="873">
        <f>'Parcel Breakdown'!E17</f>
        <v>103562</v>
      </c>
      <c r="D32" s="874"/>
      <c r="E32" s="874">
        <f>'Parcel Breakdown'!K17</f>
        <v>18000</v>
      </c>
      <c r="F32" s="873">
        <f>'Parcel Breakdown'!Z17</f>
        <v>0</v>
      </c>
      <c r="G32" s="873">
        <f>'Parcel Breakdown'!AA17</f>
        <v>0</v>
      </c>
      <c r="H32" s="873">
        <f>'Parcel Breakdown'!AB17</f>
        <v>18000</v>
      </c>
      <c r="I32" s="873">
        <f>'Parcel Breakdown'!AC17</f>
        <v>0</v>
      </c>
      <c r="J32" s="873">
        <f>'Parcel Breakdown'!AD17</f>
        <v>0</v>
      </c>
      <c r="K32" s="873">
        <f>'Parcel Breakdown'!AE17</f>
        <v>0</v>
      </c>
      <c r="L32" s="873">
        <f>'Parcel Breakdown'!AF17</f>
        <v>0</v>
      </c>
      <c r="M32" s="873">
        <f>'Parcel Breakdown'!AG17</f>
        <v>0</v>
      </c>
      <c r="N32" s="873">
        <f>'Parcel Breakdown'!AH17</f>
        <v>0</v>
      </c>
      <c r="O32" s="220">
        <f ca="1">SUM('Parcel Breakdown'!M17:U17)</f>
        <v>3089988</v>
      </c>
      <c r="P32" s="873">
        <f>'Parcel Breakdown'!BA17</f>
        <v>0</v>
      </c>
    </row>
    <row r="33" spans="1:19" ht="16" customHeight="1" x14ac:dyDescent="0.15">
      <c r="A33" s="50"/>
      <c r="B33" s="51" t="str">
        <f>'Parcel Breakdown'!B18</f>
        <v>Parcel J</v>
      </c>
      <c r="C33" s="873">
        <f>'Parcel Breakdown'!E18</f>
        <v>25492</v>
      </c>
      <c r="D33" s="874"/>
      <c r="E33" s="874">
        <f>'Parcel Breakdown'!K18</f>
        <v>30000</v>
      </c>
      <c r="F33" s="873">
        <f>'Parcel Breakdown'!Z18</f>
        <v>0</v>
      </c>
      <c r="G33" s="873">
        <f>'Parcel Breakdown'!AA18</f>
        <v>0</v>
      </c>
      <c r="H33" s="873">
        <f>'Parcel Breakdown'!AB18</f>
        <v>30000</v>
      </c>
      <c r="I33" s="873">
        <f>'Parcel Breakdown'!AC18</f>
        <v>0</v>
      </c>
      <c r="J33" s="873">
        <f>'Parcel Breakdown'!AD18</f>
        <v>0</v>
      </c>
      <c r="K33" s="873">
        <f>'Parcel Breakdown'!AE18</f>
        <v>0</v>
      </c>
      <c r="L33" s="873">
        <f>'Parcel Breakdown'!AF18</f>
        <v>0</v>
      </c>
      <c r="M33" s="873">
        <f>'Parcel Breakdown'!AG18</f>
        <v>0</v>
      </c>
      <c r="N33" s="873">
        <f>'Parcel Breakdown'!AH18</f>
        <v>0</v>
      </c>
      <c r="O33" s="220">
        <f ca="1">SUM('Parcel Breakdown'!M18:U18)</f>
        <v>5149980</v>
      </c>
      <c r="P33" s="873">
        <f>'Parcel Breakdown'!BA18</f>
        <v>678572.10714285716</v>
      </c>
    </row>
    <row r="34" spans="1:19" ht="16" customHeight="1" x14ac:dyDescent="0.15">
      <c r="A34" s="50"/>
      <c r="B34" s="51" t="str">
        <f>'Parcel Breakdown'!B19</f>
        <v>Parcel K</v>
      </c>
      <c r="C34" s="873">
        <f>'Parcel Breakdown'!E19</f>
        <v>16158</v>
      </c>
      <c r="D34" s="874"/>
      <c r="E34" s="874">
        <f>'Parcel Breakdown'!K19</f>
        <v>175669</v>
      </c>
      <c r="F34" s="873">
        <f>'Parcel Breakdown'!Z19</f>
        <v>24133.800000000003</v>
      </c>
      <c r="G34" s="873">
        <f>'Parcel Breakdown'!AA19</f>
        <v>96535.200000000012</v>
      </c>
      <c r="H34" s="873">
        <f>'Parcel Breakdown'!AB19</f>
        <v>7000</v>
      </c>
      <c r="I34" s="873">
        <f>'Parcel Breakdown'!AC19</f>
        <v>0</v>
      </c>
      <c r="J34" s="873">
        <f>'Parcel Breakdown'!AD19</f>
        <v>0</v>
      </c>
      <c r="K34" s="873">
        <f>'Parcel Breakdown'!AE19</f>
        <v>0</v>
      </c>
      <c r="L34" s="873">
        <f>'Parcel Breakdown'!AF19</f>
        <v>0</v>
      </c>
      <c r="M34" s="873">
        <f>'Parcel Breakdown'!AG19</f>
        <v>48000</v>
      </c>
      <c r="N34" s="873">
        <f>'Parcel Breakdown'!AH19</f>
        <v>0</v>
      </c>
      <c r="O34" s="220">
        <f ca="1">SUM('Parcel Breakdown'!M19:U19)</f>
        <v>27097695.452877123</v>
      </c>
      <c r="P34" s="873">
        <f>'Parcel Breakdown'!BA19</f>
        <v>4506350</v>
      </c>
    </row>
    <row r="35" spans="1:19" ht="16" customHeight="1" x14ac:dyDescent="0.15">
      <c r="A35" s="50"/>
      <c r="B35" s="51" t="str">
        <f>'Parcel Breakdown'!B20</f>
        <v>Parcel M</v>
      </c>
      <c r="C35" s="873">
        <f>'Parcel Breakdown'!E20</f>
        <v>69629</v>
      </c>
      <c r="D35" s="874"/>
      <c r="E35" s="874">
        <f>'Parcel Breakdown'!K20</f>
        <v>475067</v>
      </c>
      <c r="F35" s="873">
        <f>'Parcel Breakdown'!Z20</f>
        <v>68013.400000000009</v>
      </c>
      <c r="G35" s="873">
        <f>'Parcel Breakdown'!AA20</f>
        <v>272053.60000000003</v>
      </c>
      <c r="H35" s="873">
        <f>'Parcel Breakdown'!AB20</f>
        <v>85000</v>
      </c>
      <c r="I35" s="873">
        <f>'Parcel Breakdown'!AC20</f>
        <v>0</v>
      </c>
      <c r="J35" s="873">
        <f>'Parcel Breakdown'!AD20</f>
        <v>0</v>
      </c>
      <c r="K35" s="873">
        <f>'Parcel Breakdown'!AE20</f>
        <v>0</v>
      </c>
      <c r="L35" s="873">
        <f>'Parcel Breakdown'!AF20</f>
        <v>0</v>
      </c>
      <c r="M35" s="873">
        <f>'Parcel Breakdown'!AG20</f>
        <v>50000</v>
      </c>
      <c r="N35" s="873">
        <f>'Parcel Breakdown'!AH20</f>
        <v>0</v>
      </c>
      <c r="O35" s="220">
        <f ca="1">SUM('Parcel Breakdown'!M20:U20)</f>
        <v>77056926</v>
      </c>
      <c r="P35" s="873">
        <f>'Parcel Breakdown'!BA20</f>
        <v>6900150</v>
      </c>
    </row>
    <row r="36" spans="1:19" ht="16" customHeight="1" x14ac:dyDescent="0.15">
      <c r="A36" s="50"/>
      <c r="B36" s="51" t="str">
        <f>'Parcel Breakdown'!B21</f>
        <v>Parcel N</v>
      </c>
      <c r="C36" s="873">
        <f>'Parcel Breakdown'!E21</f>
        <v>19409</v>
      </c>
      <c r="D36" s="874"/>
      <c r="E36" s="874">
        <f>'Parcel Breakdown'!K21</f>
        <v>55486</v>
      </c>
      <c r="F36" s="873">
        <f>'Parcel Breakdown'!Z21</f>
        <v>5023.8773333333338</v>
      </c>
      <c r="G36" s="873">
        <f>'Parcel Breakdown'!AA21</f>
        <v>20095.509333333335</v>
      </c>
      <c r="H36" s="873">
        <f>'Parcel Breakdown'!AB21</f>
        <v>8000</v>
      </c>
      <c r="I36" s="873">
        <f>'Parcel Breakdown'!AC21</f>
        <v>22366.613333333331</v>
      </c>
      <c r="J36" s="873">
        <f>'Parcel Breakdown'!AD21</f>
        <v>0</v>
      </c>
      <c r="K36" s="873">
        <f>'Parcel Breakdown'!AE21</f>
        <v>0</v>
      </c>
      <c r="L36" s="873">
        <f>'Parcel Breakdown'!AF21</f>
        <v>0</v>
      </c>
      <c r="M36" s="873">
        <f>'Parcel Breakdown'!AG21</f>
        <v>0</v>
      </c>
      <c r="N36" s="873">
        <f>'Parcel Breakdown'!AH21</f>
        <v>0</v>
      </c>
      <c r="O36" s="220">
        <f ca="1">SUM('Parcel Breakdown'!M21:U21)</f>
        <v>10747549.334133275</v>
      </c>
      <c r="P36" s="873">
        <f>'Parcel Breakdown'!BA21</f>
        <v>3281849.9999999995</v>
      </c>
    </row>
    <row r="37" spans="1:19" ht="16" customHeight="1" x14ac:dyDescent="0.15">
      <c r="A37" s="50"/>
      <c r="B37" s="51" t="str">
        <f>'Parcel Breakdown'!B22</f>
        <v>Parcel O</v>
      </c>
      <c r="C37" s="873">
        <f>'Parcel Breakdown'!E22</f>
        <v>139405</v>
      </c>
      <c r="D37" s="874"/>
      <c r="E37" s="874">
        <f>'Parcel Breakdown'!K22</f>
        <v>861000</v>
      </c>
      <c r="F37" s="873">
        <f>'Parcel Breakdown'!Z22</f>
        <v>0</v>
      </c>
      <c r="G37" s="873">
        <f>'Parcel Breakdown'!AA22</f>
        <v>0</v>
      </c>
      <c r="H37" s="873">
        <f>'Parcel Breakdown'!AB22</f>
        <v>21330</v>
      </c>
      <c r="I37" s="873">
        <f>'Parcel Breakdown'!AC22</f>
        <v>0</v>
      </c>
      <c r="J37" s="873">
        <f>'Parcel Breakdown'!AD22</f>
        <v>78210</v>
      </c>
      <c r="K37" s="873">
        <f>'Parcel Breakdown'!AE22</f>
        <v>376830</v>
      </c>
      <c r="L37" s="873">
        <f>'Parcel Breakdown'!AF22</f>
        <v>234630</v>
      </c>
      <c r="M37" s="873">
        <f>'Parcel Breakdown'!AG22</f>
        <v>0</v>
      </c>
      <c r="N37" s="873">
        <f>'Parcel Breakdown'!AH22</f>
        <v>150000</v>
      </c>
      <c r="O37" s="220">
        <f ca="1">SUM('Parcel Breakdown'!M22:U22)</f>
        <v>114640768.91685599</v>
      </c>
      <c r="P37" s="873">
        <f>'Parcel Breakdown'!BA22</f>
        <v>1333386</v>
      </c>
    </row>
    <row r="38" spans="1:19" ht="16" customHeight="1" x14ac:dyDescent="0.15">
      <c r="A38" s="50"/>
      <c r="B38" s="50" t="str">
        <f>'Parcel Breakdown'!B23</f>
        <v>Total</v>
      </c>
      <c r="C38" s="878">
        <f>'Parcel Breakdown'!E23</f>
        <v>1011923</v>
      </c>
      <c r="D38" s="879"/>
      <c r="E38" s="879">
        <f>'Parcel Breakdown'!K23</f>
        <v>4448862</v>
      </c>
      <c r="F38" s="878">
        <f>'Parcel Breakdown'!Z23</f>
        <v>323241.01511111116</v>
      </c>
      <c r="G38" s="878">
        <f>'Parcel Breakdown'!AA23</f>
        <v>1292964.0604444447</v>
      </c>
      <c r="H38" s="878">
        <f>'Parcel Breakdown'!AB23</f>
        <v>476705</v>
      </c>
      <c r="I38" s="878">
        <f>'Parcel Breakdown'!AC23</f>
        <v>358884.81333333335</v>
      </c>
      <c r="J38" s="878">
        <f>'Parcel Breakdown'!AD23</f>
        <v>157335</v>
      </c>
      <c r="K38" s="878">
        <f>'Parcel Breakdown'!AE23</f>
        <v>1218102.111111111</v>
      </c>
      <c r="L38" s="878">
        <f>'Parcel Breakdown'!AF23</f>
        <v>234630</v>
      </c>
      <c r="M38" s="878">
        <f>'Parcel Breakdown'!AG23</f>
        <v>237000</v>
      </c>
      <c r="N38" s="878">
        <f>'Parcel Breakdown'!AH23</f>
        <v>150000</v>
      </c>
      <c r="O38" s="880">
        <f ca="1">SUM('Parcel Breakdown'!M23:U23)</f>
        <v>726391019.23194396</v>
      </c>
      <c r="P38" s="878">
        <f>'Parcel Breakdown'!BA23</f>
        <v>16840711.107142858</v>
      </c>
    </row>
    <row r="39" spans="1:19" ht="16" customHeight="1" x14ac:dyDescent="0.15">
      <c r="A39" s="50"/>
      <c r="D39" s="53"/>
    </row>
    <row r="40" spans="1:19" ht="16" customHeight="1" x14ac:dyDescent="0.15">
      <c r="A40" s="50"/>
      <c r="D40" s="53"/>
    </row>
    <row r="41" spans="1:19" ht="16" customHeight="1" thickBot="1" x14ac:dyDescent="0.2">
      <c r="A41" s="50"/>
      <c r="D41" s="53"/>
      <c r="F41" s="1050" t="s">
        <v>242</v>
      </c>
      <c r="G41" s="1050"/>
      <c r="H41" s="1050"/>
      <c r="J41" s="1048" t="s">
        <v>222</v>
      </c>
      <c r="K41" s="1048"/>
      <c r="L41" s="856"/>
      <c r="M41" s="49" t="s">
        <v>63</v>
      </c>
      <c r="N41" s="49" t="str">
        <f>+F$42</f>
        <v>I</v>
      </c>
      <c r="O41" s="49" t="str">
        <f>+G$42</f>
        <v>II</v>
      </c>
      <c r="P41" s="49" t="str">
        <f>+H$42</f>
        <v>III</v>
      </c>
    </row>
    <row r="42" spans="1:19" ht="16" customHeight="1" thickBot="1" x14ac:dyDescent="0.2">
      <c r="B42" s="1048" t="s">
        <v>104</v>
      </c>
      <c r="C42" s="1048"/>
      <c r="D42" s="53"/>
      <c r="E42" s="49" t="s">
        <v>63</v>
      </c>
      <c r="F42" s="125" t="s">
        <v>202</v>
      </c>
      <c r="G42" s="125" t="s">
        <v>240</v>
      </c>
      <c r="H42" s="125" t="s">
        <v>241</v>
      </c>
      <c r="J42" s="96" t="s">
        <v>225</v>
      </c>
      <c r="R42" s="1049" t="s">
        <v>472</v>
      </c>
      <c r="S42" s="1049"/>
    </row>
    <row r="43" spans="1:19" ht="16" customHeight="1" x14ac:dyDescent="0.15">
      <c r="B43" s="54" t="s">
        <v>105</v>
      </c>
      <c r="C43" s="53"/>
      <c r="D43" s="53"/>
      <c r="E43" s="55">
        <f>+MIN(F43:H43)</f>
        <v>44196</v>
      </c>
      <c r="F43" s="56">
        <v>44196</v>
      </c>
      <c r="G43" s="56">
        <v>44926</v>
      </c>
      <c r="H43" s="56">
        <v>45657</v>
      </c>
      <c r="J43" s="63" t="s">
        <v>141</v>
      </c>
      <c r="K43" s="53"/>
      <c r="L43" s="60"/>
      <c r="M43" s="60">
        <f t="shared" ref="M43:M52" si="0">+SUM(N43:P43)</f>
        <v>276641.36186583154</v>
      </c>
      <c r="N43" s="65">
        <f>+F76</f>
        <v>109331.58513942146</v>
      </c>
      <c r="O43" s="65">
        <f>+G76</f>
        <v>75947.420000000013</v>
      </c>
      <c r="P43" s="65">
        <f>+H76</f>
        <v>91362.356726410042</v>
      </c>
      <c r="R43" s="370">
        <f ca="1">+OFFSET('Parcel Breakdown'!$AP$23,0,'Assumptions and Sensis'!Q55)</f>
        <v>276641.36186583148</v>
      </c>
      <c r="S43" s="371">
        <f ca="1">+R43-M43</f>
        <v>0</v>
      </c>
    </row>
    <row r="44" spans="1:19" ht="16" customHeight="1" x14ac:dyDescent="0.15">
      <c r="B44" s="54" t="s">
        <v>106</v>
      </c>
      <c r="C44" s="53"/>
      <c r="E44" s="53"/>
      <c r="F44" s="57">
        <v>12</v>
      </c>
      <c r="G44" s="57">
        <v>12</v>
      </c>
      <c r="H44" s="57">
        <v>12</v>
      </c>
      <c r="J44" s="63" t="s">
        <v>142</v>
      </c>
      <c r="K44" s="53"/>
      <c r="L44" s="60"/>
      <c r="M44" s="60">
        <f t="shared" si="0"/>
        <v>1106565.4474633262</v>
      </c>
      <c r="N44" s="65">
        <f>+F110</f>
        <v>437326.34055768582</v>
      </c>
      <c r="O44" s="65">
        <f>+G110</f>
        <v>303789.68000000005</v>
      </c>
      <c r="P44" s="65">
        <f>+H110</f>
        <v>365449.42690564017</v>
      </c>
      <c r="R44" s="370">
        <f ca="1">+OFFSET('Parcel Breakdown'!$AP$23,0,'Assumptions and Sensis'!Q56)</f>
        <v>1106565.4474633259</v>
      </c>
      <c r="S44" s="371">
        <f t="shared" ref="S44:S51" ca="1" si="1">+R44-M44</f>
        <v>0</v>
      </c>
    </row>
    <row r="45" spans="1:19" ht="16" customHeight="1" x14ac:dyDescent="0.15">
      <c r="B45" s="54" t="s">
        <v>107</v>
      </c>
      <c r="C45" s="53"/>
      <c r="E45" s="53"/>
      <c r="F45" s="55">
        <f>+EOMONTH(F43,F44)</f>
        <v>44561</v>
      </c>
      <c r="G45" s="55">
        <f t="shared" ref="G45:H45" si="2">+EOMONTH(G43,G44)</f>
        <v>45291</v>
      </c>
      <c r="H45" s="55">
        <f t="shared" si="2"/>
        <v>46022</v>
      </c>
      <c r="J45" s="63" t="s">
        <v>25</v>
      </c>
      <c r="K45" s="53"/>
      <c r="L45" s="60"/>
      <c r="M45" s="60">
        <f t="shared" si="0"/>
        <v>423297</v>
      </c>
      <c r="N45" s="65">
        <f>+F167</f>
        <v>214200</v>
      </c>
      <c r="O45" s="65">
        <f>+G167</f>
        <v>138600</v>
      </c>
      <c r="P45" s="65">
        <f>+H167</f>
        <v>70497</v>
      </c>
      <c r="R45" s="370">
        <f ca="1">+OFFSET('Parcel Breakdown'!$AP$23,0,'Assumptions and Sensis'!Q57)</f>
        <v>423297</v>
      </c>
      <c r="S45" s="371">
        <f t="shared" ca="1" si="1"/>
        <v>0</v>
      </c>
    </row>
    <row r="46" spans="1:19" ht="16" customHeight="1" x14ac:dyDescent="0.15">
      <c r="B46" s="54" t="s">
        <v>108</v>
      </c>
      <c r="C46" s="53"/>
      <c r="D46" s="53"/>
      <c r="E46" s="53"/>
      <c r="F46" s="57">
        <v>24</v>
      </c>
      <c r="G46" s="57">
        <v>24</v>
      </c>
      <c r="H46" s="57">
        <v>24</v>
      </c>
      <c r="J46" s="63" t="s">
        <v>26</v>
      </c>
      <c r="K46" s="53"/>
      <c r="L46" s="60"/>
      <c r="M46" s="60">
        <f t="shared" si="0"/>
        <v>277185.31000000006</v>
      </c>
      <c r="N46" s="65">
        <f>+F128</f>
        <v>156063.15000000002</v>
      </c>
      <c r="O46" s="65">
        <f>+G128</f>
        <v>104347.20000000001</v>
      </c>
      <c r="P46" s="65">
        <f>+H128</f>
        <v>16774.96</v>
      </c>
      <c r="R46" s="370">
        <f ca="1">+OFFSET('Parcel Breakdown'!$AP$23,0,'Assumptions and Sensis'!Q58)</f>
        <v>277185.31000000006</v>
      </c>
      <c r="S46" s="371">
        <f t="shared" ca="1" si="1"/>
        <v>0</v>
      </c>
    </row>
    <row r="47" spans="1:19" ht="16" customHeight="1" x14ac:dyDescent="0.15">
      <c r="B47" s="54" t="s">
        <v>109</v>
      </c>
      <c r="C47" s="53"/>
      <c r="D47" s="53"/>
      <c r="E47" s="53"/>
      <c r="F47" s="55">
        <f>+EOMONTH(F45,F46)</f>
        <v>45291</v>
      </c>
      <c r="G47" s="55">
        <f t="shared" ref="G47:H47" si="3">+EOMONTH(G45,G46)</f>
        <v>46022</v>
      </c>
      <c r="H47" s="55">
        <f t="shared" si="3"/>
        <v>46752</v>
      </c>
      <c r="J47" s="63" t="s">
        <v>145</v>
      </c>
      <c r="K47" s="53"/>
      <c r="L47" s="60"/>
      <c r="M47" s="60">
        <f t="shared" si="0"/>
        <v>157335.0001</v>
      </c>
      <c r="N47" s="65">
        <f>+F184</f>
        <v>79125</v>
      </c>
      <c r="O47" s="65">
        <f>+G184</f>
        <v>1E-4</v>
      </c>
      <c r="P47" s="65">
        <f>+H184</f>
        <v>78210</v>
      </c>
      <c r="R47" s="370">
        <f ca="1">+OFFSET('Parcel Breakdown'!$AP$23,0,'Assumptions and Sensis'!Q59)</f>
        <v>157335</v>
      </c>
      <c r="S47" s="371">
        <f t="shared" ca="1" si="1"/>
        <v>-1.0000000474974513E-4</v>
      </c>
    </row>
    <row r="48" spans="1:19" ht="16" customHeight="1" x14ac:dyDescent="0.15">
      <c r="B48" s="54" t="s">
        <v>110</v>
      </c>
      <c r="C48" s="53"/>
      <c r="D48" s="53"/>
      <c r="E48" s="53"/>
      <c r="F48" s="57">
        <v>24</v>
      </c>
      <c r="G48" s="57">
        <v>24</v>
      </c>
      <c r="H48" s="57">
        <v>24</v>
      </c>
      <c r="J48" s="63" t="s">
        <v>146</v>
      </c>
      <c r="K48" s="53"/>
      <c r="L48" s="60"/>
      <c r="M48" s="60">
        <f t="shared" si="0"/>
        <v>1133974.8999999999</v>
      </c>
      <c r="N48" s="65">
        <f>+F202</f>
        <v>410068.80000000005</v>
      </c>
      <c r="O48" s="65">
        <f>+G202</f>
        <v>134937</v>
      </c>
      <c r="P48" s="65">
        <f>+H202</f>
        <v>588969.09999999986</v>
      </c>
      <c r="R48" s="370">
        <f ca="1">+OFFSET('Parcel Breakdown'!$AP$23,0,'Assumptions and Sensis'!Q60)</f>
        <v>1133974.8999999999</v>
      </c>
      <c r="S48" s="371">
        <f t="shared" ca="1" si="1"/>
        <v>0</v>
      </c>
    </row>
    <row r="49" spans="2:19" ht="16" customHeight="1" x14ac:dyDescent="0.15">
      <c r="B49" s="54" t="s">
        <v>111</v>
      </c>
      <c r="C49" s="53"/>
      <c r="D49" s="53"/>
      <c r="E49" s="53"/>
      <c r="F49" s="55">
        <f>+EOMONTH(F47,F48)</f>
        <v>46022</v>
      </c>
      <c r="G49" s="55">
        <f t="shared" ref="G49:H49" si="4">+EOMONTH(G47,G48)</f>
        <v>46752</v>
      </c>
      <c r="H49" s="55">
        <f t="shared" si="4"/>
        <v>47483</v>
      </c>
      <c r="J49" s="63" t="s">
        <v>235</v>
      </c>
      <c r="L49" s="60"/>
      <c r="M49" s="60">
        <f t="shared" si="0"/>
        <v>234630.00000199999</v>
      </c>
      <c r="N49" s="65">
        <f>+N241</f>
        <v>9.9999999999999995E-7</v>
      </c>
      <c r="O49" s="65">
        <f>+O241</f>
        <v>9.9999999999999995E-7</v>
      </c>
      <c r="P49" s="65">
        <f>+P241</f>
        <v>234630</v>
      </c>
      <c r="R49" s="370">
        <f ca="1">+OFFSET('Parcel Breakdown'!$AP$23,0,'Assumptions and Sensis'!Q61)</f>
        <v>234630</v>
      </c>
      <c r="S49" s="371">
        <f t="shared" ca="1" si="1"/>
        <v>-1.9999861251562834E-6</v>
      </c>
    </row>
    <row r="50" spans="2:19" ht="16" customHeight="1" x14ac:dyDescent="0.15">
      <c r="B50" s="54" t="s">
        <v>112</v>
      </c>
      <c r="C50" s="53"/>
      <c r="D50" s="53"/>
      <c r="E50" s="57">
        <v>120</v>
      </c>
      <c r="F50" s="58">
        <f>+$E$50</f>
        <v>120</v>
      </c>
      <c r="G50" s="58">
        <f t="shared" ref="G50:H50" si="5">+$E$50</f>
        <v>120</v>
      </c>
      <c r="H50" s="58">
        <f t="shared" si="5"/>
        <v>120</v>
      </c>
      <c r="J50" s="63" t="s">
        <v>210</v>
      </c>
      <c r="L50" s="60"/>
      <c r="M50" s="60">
        <f t="shared" si="0"/>
        <v>237000</v>
      </c>
      <c r="N50" s="65">
        <f t="shared" ref="N50:P51" si="6">+F234</f>
        <v>83000</v>
      </c>
      <c r="O50" s="65">
        <f t="shared" si="6"/>
        <v>105999.99999999999</v>
      </c>
      <c r="P50" s="65">
        <f t="shared" si="6"/>
        <v>48000.000000000007</v>
      </c>
      <c r="R50" s="370">
        <f ca="1">+OFFSET('Parcel Breakdown'!$AP$23,0,'Assumptions and Sensis'!Q62)</f>
        <v>237000</v>
      </c>
      <c r="S50" s="371">
        <f t="shared" ca="1" si="1"/>
        <v>0</v>
      </c>
    </row>
    <row r="51" spans="2:19" ht="16" customHeight="1" x14ac:dyDescent="0.15">
      <c r="B51" s="51" t="s">
        <v>113</v>
      </c>
      <c r="F51" s="55">
        <f>+EOMONTH($E$43,F50)</f>
        <v>47848</v>
      </c>
      <c r="G51" s="55">
        <f>+EOMONTH($E$43,G50)</f>
        <v>47848</v>
      </c>
      <c r="H51" s="55">
        <f>+EOMONTH($E$43,H50)</f>
        <v>47848</v>
      </c>
      <c r="J51" s="63" t="s">
        <v>28</v>
      </c>
      <c r="L51" s="60"/>
      <c r="M51" s="60">
        <f t="shared" si="0"/>
        <v>150000</v>
      </c>
      <c r="N51" s="65">
        <f t="shared" si="6"/>
        <v>0</v>
      </c>
      <c r="O51" s="65">
        <f t="shared" si="6"/>
        <v>0</v>
      </c>
      <c r="P51" s="65">
        <f t="shared" si="6"/>
        <v>150000</v>
      </c>
      <c r="R51" s="370">
        <f ca="1">+OFFSET('Parcel Breakdown'!$AP$23,0,'Assumptions and Sensis'!Q63)</f>
        <v>150000</v>
      </c>
      <c r="S51" s="371">
        <f t="shared" ca="1" si="1"/>
        <v>0</v>
      </c>
    </row>
    <row r="52" spans="2:19" ht="16" customHeight="1" x14ac:dyDescent="0.15">
      <c r="J52" s="75" t="s">
        <v>226</v>
      </c>
      <c r="K52" s="75"/>
      <c r="L52" s="130"/>
      <c r="M52" s="130">
        <f t="shared" si="0"/>
        <v>3996629.019431158</v>
      </c>
      <c r="N52" s="131">
        <f>+SUM(N43:N51)</f>
        <v>1489114.8756981075</v>
      </c>
      <c r="O52" s="131">
        <f>+SUM(O43:O51)</f>
        <v>863621.300101</v>
      </c>
      <c r="P52" s="131">
        <f>+SUM(P43:P51)</f>
        <v>1643892.8436320501</v>
      </c>
      <c r="R52" s="370"/>
      <c r="S52" s="371">
        <f ca="1">+SUM(S43:S51)</f>
        <v>-1.0199999087490141E-4</v>
      </c>
    </row>
    <row r="53" spans="2:19" ht="16" customHeight="1" x14ac:dyDescent="0.15">
      <c r="F53" s="59"/>
      <c r="G53" s="59"/>
      <c r="H53" s="59"/>
      <c r="R53" s="194"/>
    </row>
    <row r="54" spans="2:19" ht="16" customHeight="1" thickBot="1" x14ac:dyDescent="0.2">
      <c r="B54" s="1048" t="s">
        <v>753</v>
      </c>
      <c r="C54" s="1048"/>
      <c r="D54" s="53"/>
      <c r="E54" s="49" t="s">
        <v>63</v>
      </c>
      <c r="F54" s="49" t="str">
        <f>+F$42</f>
        <v>I</v>
      </c>
      <c r="G54" s="49" t="str">
        <f t="shared" ref="G54:H54" si="7">+G$42</f>
        <v>II</v>
      </c>
      <c r="H54" s="49" t="str">
        <f t="shared" si="7"/>
        <v>III</v>
      </c>
      <c r="J54" s="96" t="s">
        <v>224</v>
      </c>
    </row>
    <row r="55" spans="2:19" ht="16" customHeight="1" x14ac:dyDescent="0.15">
      <c r="B55" s="54" t="s">
        <v>115</v>
      </c>
      <c r="C55" s="53"/>
      <c r="D55" s="53"/>
      <c r="E55" s="60"/>
      <c r="F55" s="369">
        <f>+'Parcel Breakdown'!AP36</f>
        <v>99.392350126746777</v>
      </c>
      <c r="G55" s="369">
        <f>+'Parcel Breakdown'!AP37</f>
        <v>69.043109090909098</v>
      </c>
      <c r="H55" s="369">
        <f>+'Parcel Breakdown'!AP38</f>
        <v>83.056687933100051</v>
      </c>
      <c r="J55" s="63" t="s">
        <v>141</v>
      </c>
      <c r="K55" s="53"/>
      <c r="L55" s="60"/>
      <c r="M55" s="60">
        <f t="shared" ref="M55:M64" ca="1" si="8">+SUM(N55:P55)</f>
        <v>323241.01511111116</v>
      </c>
      <c r="N55" s="369">
        <f ca="1">+OFFSET('Parcel Breakdown'!$Z$24,0,'Assumptions and Sensis'!$Q55)</f>
        <v>125993.56</v>
      </c>
      <c r="O55" s="369">
        <f ca="1">+OFFSET('Parcel Breakdown'!$Z$24,1,'Assumptions and Sensis'!$Q55)</f>
        <v>90127</v>
      </c>
      <c r="P55" s="369">
        <f ca="1">+OFFSET('Parcel Breakdown'!$Z$24,2,'Assumptions and Sensis'!$Q55)</f>
        <v>107120.45511111115</v>
      </c>
      <c r="Q55" s="59">
        <v>0</v>
      </c>
      <c r="R55" s="194"/>
    </row>
    <row r="56" spans="2:19" ht="16" customHeight="1" x14ac:dyDescent="0.15">
      <c r="B56" s="63" t="s">
        <v>117</v>
      </c>
      <c r="C56" s="53"/>
      <c r="D56" s="53"/>
      <c r="E56" s="60"/>
      <c r="F56" s="65">
        <f>+F83</f>
        <v>550</v>
      </c>
      <c r="G56" s="65">
        <f t="shared" ref="G56:H56" si="9">+G83</f>
        <v>550</v>
      </c>
      <c r="H56" s="65">
        <f t="shared" si="9"/>
        <v>550</v>
      </c>
      <c r="J56" s="63" t="s">
        <v>142</v>
      </c>
      <c r="K56" s="53"/>
      <c r="L56" s="60"/>
      <c r="M56" s="60">
        <f t="shared" ca="1" si="8"/>
        <v>1292964.0604444447</v>
      </c>
      <c r="N56" s="369">
        <f ca="1">+OFFSET('Parcel Breakdown'!$Z$24,0,'Assumptions and Sensis'!$Q56)</f>
        <v>503974.24</v>
      </c>
      <c r="O56" s="369">
        <f ca="1">+OFFSET('Parcel Breakdown'!$Z$24,1,'Assumptions and Sensis'!$Q56)</f>
        <v>360508</v>
      </c>
      <c r="P56" s="369">
        <f ca="1">+OFFSET('Parcel Breakdown'!$Z$24,2,'Assumptions and Sensis'!$Q56)</f>
        <v>428481.8204444446</v>
      </c>
      <c r="Q56" s="59">
        <f>+Q55+1</f>
        <v>1</v>
      </c>
    </row>
    <row r="57" spans="2:19" ht="16" customHeight="1" x14ac:dyDescent="0.15">
      <c r="B57" s="63" t="s">
        <v>119</v>
      </c>
      <c r="C57" s="53"/>
      <c r="D57" s="53"/>
      <c r="E57" s="53"/>
      <c r="F57" s="68">
        <f>+F58*12/F56</f>
        <v>14.967272727272727</v>
      </c>
      <c r="G57" s="68">
        <f t="shared" ref="G57:H57" si="10">+G58*12/G56</f>
        <v>15.571950545454545</v>
      </c>
      <c r="H57" s="68">
        <f t="shared" si="10"/>
        <v>16.201057347490906</v>
      </c>
      <c r="J57" s="63" t="s">
        <v>25</v>
      </c>
      <c r="K57" s="53"/>
      <c r="L57" s="60"/>
      <c r="M57" s="60">
        <f t="shared" ca="1" si="8"/>
        <v>476705</v>
      </c>
      <c r="N57" s="369">
        <f ca="1">+OFFSET('Parcel Breakdown'!$Z$24,0,'Assumptions and Sensis'!$Q57)</f>
        <v>244375</v>
      </c>
      <c r="O57" s="369">
        <f ca="1">+OFFSET('Parcel Breakdown'!$Z$24,1,'Assumptions and Sensis'!$Q57)</f>
        <v>154000</v>
      </c>
      <c r="P57" s="369">
        <f ca="1">+OFFSET('Parcel Breakdown'!$Z$24,2,'Assumptions and Sensis'!$Q57)</f>
        <v>78330</v>
      </c>
      <c r="Q57" s="59">
        <f t="shared" ref="Q57:Q63" si="11">+Q56+1</f>
        <v>2</v>
      </c>
    </row>
    <row r="58" spans="2:19" ht="16" customHeight="1" x14ac:dyDescent="0.15">
      <c r="B58" s="63" t="s">
        <v>121</v>
      </c>
      <c r="C58" s="53"/>
      <c r="D58" s="53"/>
      <c r="E58" s="69"/>
      <c r="F58" s="218">
        <v>686</v>
      </c>
      <c r="G58" s="218">
        <f>+F58*(1+0.02)^2</f>
        <v>713.71439999999996</v>
      </c>
      <c r="H58" s="218">
        <f>+G58*(1+0.02)^2</f>
        <v>742.5484617599999</v>
      </c>
      <c r="J58" s="63" t="s">
        <v>26</v>
      </c>
      <c r="K58" s="53"/>
      <c r="L58" s="60"/>
      <c r="M58" s="60">
        <f t="shared" ca="1" si="8"/>
        <v>358884.81333333335</v>
      </c>
      <c r="N58" s="369">
        <f ca="1">+OFFSET('Parcel Breakdown'!$Z$24,0,'Assumptions and Sensis'!$Q58)</f>
        <v>208084.2</v>
      </c>
      <c r="O58" s="369">
        <f ca="1">+OFFSET('Parcel Breakdown'!$Z$24,1,'Assumptions and Sensis'!$Q58)</f>
        <v>128434</v>
      </c>
      <c r="P58" s="369">
        <f ca="1">+OFFSET('Parcel Breakdown'!$Z$24,2,'Assumptions and Sensis'!$Q58)</f>
        <v>22366.613333333331</v>
      </c>
      <c r="Q58" s="59">
        <f t="shared" si="11"/>
        <v>3</v>
      </c>
    </row>
    <row r="59" spans="2:19" ht="16" customHeight="1" x14ac:dyDescent="0.15">
      <c r="B59" s="54" t="s">
        <v>123</v>
      </c>
      <c r="C59" s="53"/>
      <c r="D59" s="53"/>
      <c r="E59" s="60"/>
      <c r="F59" s="369">
        <f>+'Parcel Breakdown'!AR36</f>
        <v>29.155089370512389</v>
      </c>
      <c r="G59" s="369">
        <f>+'Parcel Breakdown'!AR37</f>
        <v>20.252645333333337</v>
      </c>
      <c r="H59" s="369">
        <f>+'Parcel Breakdown'!AR38</f>
        <v>24.363295127042679</v>
      </c>
      <c r="J59" s="63" t="s">
        <v>145</v>
      </c>
      <c r="K59" s="53"/>
      <c r="L59" s="60"/>
      <c r="M59" s="60">
        <f t="shared" ca="1" si="8"/>
        <v>157335</v>
      </c>
      <c r="N59" s="369">
        <f ca="1">+OFFSET('Parcel Breakdown'!$Z$24,0,'Assumptions and Sensis'!$Q59)</f>
        <v>79125</v>
      </c>
      <c r="O59" s="369">
        <f ca="1">+OFFSET('Parcel Breakdown'!$Z$24,1,'Assumptions and Sensis'!$Q59)</f>
        <v>0</v>
      </c>
      <c r="P59" s="369">
        <f ca="1">+OFFSET('Parcel Breakdown'!$Z$24,2,'Assumptions and Sensis'!$Q59)</f>
        <v>78210</v>
      </c>
      <c r="Q59" s="59">
        <f t="shared" si="11"/>
        <v>4</v>
      </c>
    </row>
    <row r="60" spans="2:19" ht="16" customHeight="1" x14ac:dyDescent="0.15">
      <c r="B60" s="63" t="s">
        <v>117</v>
      </c>
      <c r="C60" s="53"/>
      <c r="D60" s="53"/>
      <c r="E60" s="60"/>
      <c r="F60" s="65">
        <f t="shared" ref="F60:H60" si="12">+F90</f>
        <v>750</v>
      </c>
      <c r="G60" s="65">
        <f t="shared" si="12"/>
        <v>750</v>
      </c>
      <c r="H60" s="65">
        <f t="shared" si="12"/>
        <v>750</v>
      </c>
      <c r="J60" s="63" t="s">
        <v>146</v>
      </c>
      <c r="K60" s="53"/>
      <c r="L60" s="60"/>
      <c r="M60" s="60">
        <f t="shared" ca="1" si="8"/>
        <v>1218102.111111111</v>
      </c>
      <c r="N60" s="369">
        <f ca="1">+OFFSET('Parcel Breakdown'!$Z$24,0,'Assumptions and Sensis'!$Q60)</f>
        <v>455632</v>
      </c>
      <c r="O60" s="369">
        <f ca="1">+OFFSET('Parcel Breakdown'!$Z$24,1,'Assumptions and Sensis'!$Q60)</f>
        <v>149930</v>
      </c>
      <c r="P60" s="369">
        <f ca="1">+OFFSET('Parcel Breakdown'!$Z$24,2,'Assumptions and Sensis'!$Q60)</f>
        <v>612540.11111111101</v>
      </c>
      <c r="Q60" s="59">
        <f t="shared" si="11"/>
        <v>5</v>
      </c>
    </row>
    <row r="61" spans="2:19" ht="16" customHeight="1" x14ac:dyDescent="0.15">
      <c r="B61" s="63" t="s">
        <v>119</v>
      </c>
      <c r="C61" s="53"/>
      <c r="D61" s="53"/>
      <c r="E61" s="53"/>
      <c r="F61" s="68">
        <f>+F62*12/F60</f>
        <v>11.76</v>
      </c>
      <c r="G61" s="68">
        <f t="shared" ref="G61:H61" si="13">+G62*12/G60</f>
        <v>12.235104</v>
      </c>
      <c r="H61" s="68">
        <f t="shared" si="13"/>
        <v>12.729402201599999</v>
      </c>
      <c r="J61" s="63" t="s">
        <v>235</v>
      </c>
      <c r="L61" s="60"/>
      <c r="M61" s="60">
        <f t="shared" ca="1" si="8"/>
        <v>234630</v>
      </c>
      <c r="N61" s="369">
        <f ca="1">+OFFSET('Parcel Breakdown'!$Z$24,0,'Assumptions and Sensis'!$Q61)</f>
        <v>0</v>
      </c>
      <c r="O61" s="369">
        <f ca="1">+OFFSET('Parcel Breakdown'!$Z$24,1,'Assumptions and Sensis'!$Q61)</f>
        <v>0</v>
      </c>
      <c r="P61" s="369">
        <f ca="1">+OFFSET('Parcel Breakdown'!$Z$24,2,'Assumptions and Sensis'!$Q61)</f>
        <v>234630</v>
      </c>
      <c r="Q61" s="59">
        <f t="shared" si="11"/>
        <v>6</v>
      </c>
    </row>
    <row r="62" spans="2:19" ht="16" customHeight="1" x14ac:dyDescent="0.15">
      <c r="B62" s="63" t="s">
        <v>121</v>
      </c>
      <c r="C62" s="53"/>
      <c r="D62" s="53"/>
      <c r="E62" s="69"/>
      <c r="F62" s="218">
        <v>735</v>
      </c>
      <c r="G62" s="218">
        <f>+F62*(1+0.02)^2</f>
        <v>764.69399999999996</v>
      </c>
      <c r="H62" s="218">
        <f>+G62*(1+0.02)^2</f>
        <v>795.58763759999999</v>
      </c>
      <c r="J62" s="63" t="s">
        <v>210</v>
      </c>
      <c r="L62" s="60"/>
      <c r="M62" s="60">
        <f t="shared" ca="1" si="8"/>
        <v>237000</v>
      </c>
      <c r="N62" s="369">
        <f ca="1">+OFFSET('Parcel Breakdown'!$Z$24,0,'Assumptions and Sensis'!$Q62)</f>
        <v>83000</v>
      </c>
      <c r="O62" s="369">
        <f ca="1">+OFFSET('Parcel Breakdown'!$Z$24,1,'Assumptions and Sensis'!$Q62)</f>
        <v>106000</v>
      </c>
      <c r="P62" s="369">
        <f ca="1">+OFFSET('Parcel Breakdown'!$Z$24,2,'Assumptions and Sensis'!$Q62)</f>
        <v>48000</v>
      </c>
      <c r="Q62" s="59">
        <f t="shared" si="11"/>
        <v>7</v>
      </c>
    </row>
    <row r="63" spans="2:19" ht="16" customHeight="1" x14ac:dyDescent="0.15">
      <c r="B63" s="54" t="s">
        <v>127</v>
      </c>
      <c r="E63" s="60"/>
      <c r="F63" s="369">
        <f>+'Parcel Breakdown'!AT36</f>
        <v>9.9392350126746773</v>
      </c>
      <c r="G63" s="369">
        <f>+'Parcel Breakdown'!AT37</f>
        <v>6.9043109090909107</v>
      </c>
      <c r="H63" s="369">
        <f>+'Parcel Breakdown'!AT38</f>
        <v>8.3056687933100051</v>
      </c>
      <c r="J63" s="63" t="s">
        <v>28</v>
      </c>
      <c r="L63" s="60"/>
      <c r="M63" s="60">
        <f t="shared" ca="1" si="8"/>
        <v>150000</v>
      </c>
      <c r="N63" s="369">
        <f ca="1">+OFFSET('Parcel Breakdown'!$Z$24,0,'Assumptions and Sensis'!$Q63)</f>
        <v>0</v>
      </c>
      <c r="O63" s="369">
        <f ca="1">+OFFSET('Parcel Breakdown'!$Z$24,1,'Assumptions and Sensis'!$Q63)</f>
        <v>0</v>
      </c>
      <c r="P63" s="369">
        <f ca="1">+OFFSET('Parcel Breakdown'!$Z$24,2,'Assumptions and Sensis'!$Q63)</f>
        <v>150000</v>
      </c>
      <c r="Q63" s="59">
        <f t="shared" si="11"/>
        <v>8</v>
      </c>
    </row>
    <row r="64" spans="2:19" ht="16" customHeight="1" x14ac:dyDescent="0.15">
      <c r="B64" s="63" t="s">
        <v>117</v>
      </c>
      <c r="E64" s="60"/>
      <c r="F64" s="65">
        <f t="shared" ref="F64:H64" si="14">+F97</f>
        <v>1100</v>
      </c>
      <c r="G64" s="65">
        <f t="shared" si="14"/>
        <v>1100</v>
      </c>
      <c r="H64" s="65">
        <f t="shared" si="14"/>
        <v>1100</v>
      </c>
      <c r="J64" s="75" t="s">
        <v>227</v>
      </c>
      <c r="K64" s="75"/>
      <c r="L64" s="130"/>
      <c r="M64" s="130">
        <f t="shared" ca="1" si="8"/>
        <v>4448862</v>
      </c>
      <c r="N64" s="131">
        <f ca="1">+SUM(N55:N63)</f>
        <v>1700184</v>
      </c>
      <c r="O64" s="131">
        <f ca="1">+SUM(O55:O63)</f>
        <v>988999</v>
      </c>
      <c r="P64" s="131">
        <f ca="1">+SUM(P55:P63)</f>
        <v>1759679</v>
      </c>
    </row>
    <row r="65" spans="2:16" ht="16" customHeight="1" x14ac:dyDescent="0.15">
      <c r="B65" s="63" t="s">
        <v>119</v>
      </c>
      <c r="E65" s="53"/>
      <c r="F65" s="68">
        <f>+F66*12/F64</f>
        <v>9.6109090909090913</v>
      </c>
      <c r="G65" s="68">
        <f t="shared" ref="G65:H65" si="15">+G66*12/G64</f>
        <v>9.9991898181818186</v>
      </c>
      <c r="H65" s="68">
        <f t="shared" si="15"/>
        <v>10.403157086836364</v>
      </c>
    </row>
    <row r="66" spans="2:16" ht="16" customHeight="1" x14ac:dyDescent="0.15">
      <c r="B66" s="63" t="s">
        <v>121</v>
      </c>
      <c r="E66" s="69"/>
      <c r="F66" s="218">
        <v>881</v>
      </c>
      <c r="G66" s="218">
        <f>+F66*(1+0.02)^2</f>
        <v>916.5924</v>
      </c>
      <c r="H66" s="218">
        <f>+G66*(1+0.02)^2</f>
        <v>953.62273296000001</v>
      </c>
      <c r="J66" s="96" t="s">
        <v>230</v>
      </c>
    </row>
    <row r="67" spans="2:16" ht="16" customHeight="1" x14ac:dyDescent="0.15">
      <c r="B67" s="54" t="s">
        <v>131</v>
      </c>
      <c r="E67" s="60"/>
      <c r="F67" s="369">
        <f>+'Parcel Breakdown'!AV36</f>
        <v>3.6443861713140486</v>
      </c>
      <c r="G67" s="369">
        <f>+'Parcel Breakdown'!AV37</f>
        <v>2.5315806666666671</v>
      </c>
      <c r="H67" s="369">
        <f>+'Parcel Breakdown'!AV38</f>
        <v>3.0454118908803349</v>
      </c>
      <c r="J67" s="63" t="s">
        <v>141</v>
      </c>
      <c r="K67" s="53"/>
      <c r="L67" s="60"/>
      <c r="M67" s="60">
        <f>+SUM(N67:P67)</f>
        <v>378.49568146188767</v>
      </c>
      <c r="N67" s="65">
        <f>+F77</f>
        <v>149.58548694075392</v>
      </c>
      <c r="O67" s="65">
        <f>+G77</f>
        <v>103.9098791818182</v>
      </c>
      <c r="P67" s="65">
        <f>+H77</f>
        <v>125.00031533931556</v>
      </c>
    </row>
    <row r="68" spans="2:16" ht="16" customHeight="1" x14ac:dyDescent="0.15">
      <c r="B68" s="63" t="s">
        <v>117</v>
      </c>
      <c r="E68" s="60"/>
      <c r="F68" s="65">
        <f t="shared" ref="F68:H68" si="16">+F101</f>
        <v>1500</v>
      </c>
      <c r="G68" s="65">
        <f t="shared" si="16"/>
        <v>1500</v>
      </c>
      <c r="H68" s="65">
        <f t="shared" si="16"/>
        <v>1500</v>
      </c>
      <c r="J68" s="63" t="s">
        <v>142</v>
      </c>
      <c r="L68" s="60"/>
      <c r="M68" s="60">
        <f>+SUM(N68:P68)</f>
        <v>1513.9827258475507</v>
      </c>
      <c r="N68" s="65">
        <f>+F111</f>
        <v>598.3419477630157</v>
      </c>
      <c r="O68" s="65">
        <f>+G111</f>
        <v>415.63951672727279</v>
      </c>
      <c r="P68" s="65">
        <f>+H111</f>
        <v>500.00126135726225</v>
      </c>
    </row>
    <row r="69" spans="2:16" ht="16" customHeight="1" x14ac:dyDescent="0.15">
      <c r="B69" s="63" t="s">
        <v>119</v>
      </c>
      <c r="E69" s="53"/>
      <c r="F69" s="68">
        <f>+F70*12/F68</f>
        <v>8.1440000000000001</v>
      </c>
      <c r="G69" s="68">
        <f t="shared" ref="G69:H69" si="17">+G70*12/G68</f>
        <v>8.4730175999999986</v>
      </c>
      <c r="H69" s="68">
        <f t="shared" si="17"/>
        <v>8.8153275110399996</v>
      </c>
      <c r="J69" s="63" t="s">
        <v>26</v>
      </c>
      <c r="L69" s="60"/>
      <c r="M69" s="60">
        <f>+SUM(N69:P69)</f>
        <v>615.96735555555563</v>
      </c>
      <c r="N69" s="65">
        <f>+F129</f>
        <v>346.80700000000007</v>
      </c>
      <c r="O69" s="65">
        <f>+G129</f>
        <v>231.88266666666669</v>
      </c>
      <c r="P69" s="65">
        <f>+H129</f>
        <v>37.277688888888889</v>
      </c>
    </row>
    <row r="70" spans="2:16" ht="16" customHeight="1" x14ac:dyDescent="0.15">
      <c r="B70" s="63" t="s">
        <v>121</v>
      </c>
      <c r="E70" s="69"/>
      <c r="F70" s="218">
        <v>1018</v>
      </c>
      <c r="G70" s="218">
        <f>+F70*(1+0.02)^2</f>
        <v>1059.1271999999999</v>
      </c>
      <c r="H70" s="218">
        <f>+G70*(1+0.02)^2</f>
        <v>1101.9159388799999</v>
      </c>
      <c r="J70" s="63" t="s">
        <v>210</v>
      </c>
      <c r="L70" s="60"/>
      <c r="M70" s="60">
        <f>+SUM(N70:P70)</f>
        <v>718.18181818181824</v>
      </c>
      <c r="N70" s="65">
        <f>+F207+F214</f>
        <v>251.5151515151515</v>
      </c>
      <c r="O70" s="65">
        <f>+G207+G214</f>
        <v>321.21212121212119</v>
      </c>
      <c r="P70" s="65">
        <f>+H207+H214</f>
        <v>145.45454545454547</v>
      </c>
    </row>
    <row r="71" spans="2:16" ht="16" customHeight="1" x14ac:dyDescent="0.15">
      <c r="B71" s="54" t="s">
        <v>373</v>
      </c>
      <c r="E71" s="60"/>
      <c r="F71" s="369">
        <f>+'Parcel Breakdown'!AX36</f>
        <v>7.4544262595060076</v>
      </c>
      <c r="G71" s="369">
        <f>+'Parcel Breakdown'!AX37</f>
        <v>5.1782331818181824</v>
      </c>
      <c r="H71" s="369">
        <f>+'Parcel Breakdown'!AX38</f>
        <v>6.2292515949825038</v>
      </c>
      <c r="J71" s="63" t="s">
        <v>28</v>
      </c>
      <c r="L71" s="60"/>
      <c r="M71" s="60">
        <f>+SUM(N71:P71)</f>
        <v>454.54545454545456</v>
      </c>
      <c r="N71" s="65">
        <f>+F221+F227</f>
        <v>0</v>
      </c>
      <c r="O71" s="65">
        <f>+G221+G227</f>
        <v>0</v>
      </c>
      <c r="P71" s="65">
        <f>+H221+H227</f>
        <v>454.54545454545456</v>
      </c>
    </row>
    <row r="72" spans="2:16" ht="16" customHeight="1" x14ac:dyDescent="0.15">
      <c r="B72" s="63" t="s">
        <v>117</v>
      </c>
      <c r="E72" s="60"/>
      <c r="F72" s="65">
        <f t="shared" ref="F72:H72" si="18">+F105</f>
        <v>2200</v>
      </c>
      <c r="G72" s="65">
        <f t="shared" si="18"/>
        <v>2200</v>
      </c>
      <c r="H72" s="65">
        <f t="shared" si="18"/>
        <v>2200</v>
      </c>
    </row>
    <row r="73" spans="2:16" ht="16" customHeight="1" thickBot="1" x14ac:dyDescent="0.2">
      <c r="B73" s="63" t="s">
        <v>119</v>
      </c>
      <c r="E73" s="53"/>
      <c r="F73" s="68">
        <f>+F74*12/F72</f>
        <v>6.1963636363636363</v>
      </c>
      <c r="G73" s="68">
        <f t="shared" ref="G73:H73" si="19">+G74*12/G72</f>
        <v>6.4466967272727267</v>
      </c>
      <c r="H73" s="68">
        <f t="shared" si="19"/>
        <v>6.7071432750545439</v>
      </c>
      <c r="J73" s="1048" t="s">
        <v>114</v>
      </c>
      <c r="K73" s="1048"/>
      <c r="L73" s="856"/>
      <c r="M73" s="49" t="s">
        <v>63</v>
      </c>
      <c r="N73" s="49" t="str">
        <f>+F$42</f>
        <v>I</v>
      </c>
      <c r="O73" s="49" t="str">
        <f>+G$42</f>
        <v>II</v>
      </c>
      <c r="P73" s="49" t="str">
        <f>+H$42</f>
        <v>III</v>
      </c>
    </row>
    <row r="74" spans="2:16" ht="16" customHeight="1" x14ac:dyDescent="0.15">
      <c r="B74" s="63" t="s">
        <v>121</v>
      </c>
      <c r="E74" s="69"/>
      <c r="F74" s="218">
        <v>1136</v>
      </c>
      <c r="G74" s="218">
        <f>+F74*(1+0.02)^2</f>
        <v>1181.8943999999999</v>
      </c>
      <c r="H74" s="218">
        <f>+G74*(1+0.02)^2</f>
        <v>1229.6429337599998</v>
      </c>
      <c r="J74" s="62" t="s">
        <v>116</v>
      </c>
    </row>
    <row r="75" spans="2:16" ht="16" customHeight="1" x14ac:dyDescent="0.15">
      <c r="B75" s="74" t="s">
        <v>754</v>
      </c>
      <c r="C75" s="75"/>
      <c r="D75" s="75"/>
      <c r="E75" s="76">
        <f>+SUM(F75:H75)</f>
        <v>3485202.7131982748</v>
      </c>
      <c r="F75" s="77">
        <f>+F57*F56*F55+F59*F60*F61+F63*F64*F65+F67*F68*F69+F71*F72*F73</f>
        <v>1326561.8672836539</v>
      </c>
      <c r="G75" s="77">
        <f>+G57*G56*G55+G59*G60*G61+G63*G64*G65+G67*G68*G69+G71*G72*G73</f>
        <v>958727.6063824374</v>
      </c>
      <c r="H75" s="77">
        <f>+H57*H56*H55+H59*H60*H61+H63*H64*H65+H67*H68*H69+H71*H72*H73</f>
        <v>1199913.2395321834</v>
      </c>
      <c r="J75" s="63" t="s">
        <v>118</v>
      </c>
      <c r="K75" s="53"/>
      <c r="L75" s="66"/>
      <c r="M75" s="66">
        <v>0.03</v>
      </c>
      <c r="N75" s="67">
        <f t="shared" ref="N75:P81" si="20">+$M75</f>
        <v>0.03</v>
      </c>
      <c r="O75" s="67">
        <f t="shared" si="20"/>
        <v>0.03</v>
      </c>
      <c r="P75" s="67">
        <f t="shared" si="20"/>
        <v>0.03</v>
      </c>
    </row>
    <row r="76" spans="2:16" ht="16" customHeight="1" x14ac:dyDescent="0.15">
      <c r="B76" s="78" t="s">
        <v>134</v>
      </c>
      <c r="C76" s="79"/>
      <c r="D76" s="79"/>
      <c r="E76" s="80">
        <f>+SUM(F76:H76)</f>
        <v>276641.36186583154</v>
      </c>
      <c r="F76" s="81">
        <f>+F55*F56+F59*F60+F63*F64+F67*F68+F71*F72</f>
        <v>109331.58513942146</v>
      </c>
      <c r="G76" s="81">
        <f t="shared" ref="G76:H76" si="21">+G55*G56+G59*G60+G63*G64+G67*G68+G71*G72</f>
        <v>75947.420000000013</v>
      </c>
      <c r="H76" s="81">
        <f t="shared" si="21"/>
        <v>91362.356726410042</v>
      </c>
      <c r="J76" s="63" t="s">
        <v>120</v>
      </c>
      <c r="K76" s="53"/>
      <c r="L76" s="66"/>
      <c r="M76" s="66">
        <v>0.05</v>
      </c>
      <c r="N76" s="67">
        <f t="shared" si="20"/>
        <v>0.05</v>
      </c>
      <c r="O76" s="67">
        <f t="shared" si="20"/>
        <v>0.05</v>
      </c>
      <c r="P76" s="67">
        <f t="shared" si="20"/>
        <v>0.05</v>
      </c>
    </row>
    <row r="77" spans="2:16" ht="16" customHeight="1" x14ac:dyDescent="0.15">
      <c r="B77" s="63" t="s">
        <v>135</v>
      </c>
      <c r="C77" s="52"/>
      <c r="E77" s="60">
        <f>+SUM(F77:H77)</f>
        <v>378.49568146188767</v>
      </c>
      <c r="F77" s="65">
        <f>+F55+F59+F63+F67+F71</f>
        <v>149.58548694075392</v>
      </c>
      <c r="G77" s="65">
        <f t="shared" ref="G77:H77" si="22">+G55+G59+G63+G67+G71</f>
        <v>103.9098791818182</v>
      </c>
      <c r="H77" s="65">
        <f t="shared" si="22"/>
        <v>125.00031533931556</v>
      </c>
      <c r="J77" s="63" t="s">
        <v>122</v>
      </c>
      <c r="K77" s="53"/>
      <c r="L77" s="66"/>
      <c r="M77" s="66">
        <v>0.1</v>
      </c>
      <c r="N77" s="67">
        <f t="shared" si="20"/>
        <v>0.1</v>
      </c>
      <c r="O77" s="67">
        <f t="shared" si="20"/>
        <v>0.1</v>
      </c>
      <c r="P77" s="67">
        <f t="shared" si="20"/>
        <v>0.1</v>
      </c>
    </row>
    <row r="78" spans="2:16" ht="16" customHeight="1" x14ac:dyDescent="0.15">
      <c r="B78" s="63" t="s">
        <v>137</v>
      </c>
      <c r="C78" s="52"/>
      <c r="E78" s="82">
        <f>+IFERROR(E75/E76,"")</f>
        <v>12.59827051779974</v>
      </c>
      <c r="F78" s="68">
        <f>+IFERROR(F75/F76,"")</f>
        <v>12.133381818181819</v>
      </c>
      <c r="G78" s="68">
        <f t="shared" ref="G78:H78" si="23">+IFERROR(G75/G76,"")</f>
        <v>12.623570443636364</v>
      </c>
      <c r="H78" s="68">
        <f t="shared" si="23"/>
        <v>13.133562689559271</v>
      </c>
      <c r="J78" s="63" t="s">
        <v>124</v>
      </c>
      <c r="K78" s="53"/>
      <c r="L78" s="66"/>
      <c r="M78" s="66">
        <v>0.05</v>
      </c>
      <c r="N78" s="67">
        <f t="shared" si="20"/>
        <v>0.05</v>
      </c>
      <c r="O78" s="67">
        <f t="shared" si="20"/>
        <v>0.05</v>
      </c>
      <c r="P78" s="67">
        <f t="shared" si="20"/>
        <v>0.05</v>
      </c>
    </row>
    <row r="79" spans="2:16" ht="16" customHeight="1" x14ac:dyDescent="0.15">
      <c r="B79" s="83" t="s">
        <v>139</v>
      </c>
      <c r="C79" s="84"/>
      <c r="D79" s="84"/>
      <c r="E79" s="85">
        <f>+IFERROR(E75/E77/12,"")</f>
        <v>767.33652101770292</v>
      </c>
      <c r="F79" s="86">
        <f>+IFERROR(F75/F77/12,"")</f>
        <v>739.02104097452923</v>
      </c>
      <c r="G79" s="86">
        <f t="shared" ref="G79:H79" si="24">+IFERROR(G75/G77/12,"")</f>
        <v>768.87749102990028</v>
      </c>
      <c r="H79" s="86">
        <f t="shared" si="24"/>
        <v>799.94014166750821</v>
      </c>
      <c r="J79" s="63" t="s">
        <v>125</v>
      </c>
      <c r="K79" s="53"/>
      <c r="L79" s="66"/>
      <c r="M79" s="66">
        <v>0.1</v>
      </c>
      <c r="N79" s="67">
        <f t="shared" si="20"/>
        <v>0.1</v>
      </c>
      <c r="O79" s="67">
        <f t="shared" si="20"/>
        <v>0.1</v>
      </c>
      <c r="P79" s="67">
        <f t="shared" si="20"/>
        <v>0.1</v>
      </c>
    </row>
    <row r="80" spans="2:16" ht="16" customHeight="1" x14ac:dyDescent="0.15">
      <c r="F80" s="55"/>
      <c r="G80" s="55"/>
      <c r="H80" s="55"/>
      <c r="J80" s="63" t="s">
        <v>237</v>
      </c>
      <c r="K80" s="53"/>
      <c r="L80" s="66"/>
      <c r="M80" s="66">
        <v>0.06</v>
      </c>
      <c r="N80" s="67">
        <f t="shared" si="20"/>
        <v>0.06</v>
      </c>
      <c r="O80" s="67">
        <f t="shared" si="20"/>
        <v>0.06</v>
      </c>
      <c r="P80" s="67">
        <f t="shared" si="20"/>
        <v>0.06</v>
      </c>
    </row>
    <row r="81" spans="2:18" ht="16" customHeight="1" thickBot="1" x14ac:dyDescent="0.2">
      <c r="B81" s="1048" t="s">
        <v>913</v>
      </c>
      <c r="C81" s="1048"/>
      <c r="D81" s="53"/>
      <c r="E81" s="49" t="s">
        <v>63</v>
      </c>
      <c r="F81" s="49" t="str">
        <f>+F$42</f>
        <v>I</v>
      </c>
      <c r="G81" s="49" t="str">
        <f t="shared" ref="G81:H81" si="25">+G$42</f>
        <v>II</v>
      </c>
      <c r="H81" s="49" t="str">
        <f t="shared" si="25"/>
        <v>III</v>
      </c>
      <c r="J81" s="63" t="s">
        <v>219</v>
      </c>
      <c r="K81" s="53"/>
      <c r="L81" s="66"/>
      <c r="M81" s="66">
        <v>0.1</v>
      </c>
      <c r="N81" s="67">
        <f t="shared" si="20"/>
        <v>0.1</v>
      </c>
      <c r="O81" s="67">
        <f t="shared" si="20"/>
        <v>0.1</v>
      </c>
      <c r="P81" s="67">
        <f t="shared" si="20"/>
        <v>0.1</v>
      </c>
    </row>
    <row r="82" spans="2:18" ht="16" customHeight="1" x14ac:dyDescent="0.15">
      <c r="B82" s="54" t="s">
        <v>115</v>
      </c>
      <c r="C82" s="53"/>
      <c r="D82" s="53"/>
      <c r="E82" s="60"/>
      <c r="F82" s="369">
        <f>+'Parcel Breakdown'!AP30</f>
        <v>397.56940050698711</v>
      </c>
      <c r="G82" s="369">
        <f>+'Parcel Breakdown'!AP31</f>
        <v>276.17243636363639</v>
      </c>
      <c r="H82" s="369">
        <f>+'Parcel Breakdown'!AP33</f>
        <v>332.2267517324002</v>
      </c>
    </row>
    <row r="83" spans="2:18" ht="16" customHeight="1" x14ac:dyDescent="0.15">
      <c r="B83" s="63" t="s">
        <v>117</v>
      </c>
      <c r="C83" s="53"/>
      <c r="D83" s="53"/>
      <c r="E83" s="64">
        <v>550</v>
      </c>
      <c r="F83" s="65">
        <f t="shared" ref="F83:H83" si="26">+$E83</f>
        <v>550</v>
      </c>
      <c r="G83" s="65">
        <f t="shared" si="26"/>
        <v>550</v>
      </c>
      <c r="H83" s="65">
        <f t="shared" si="26"/>
        <v>550</v>
      </c>
      <c r="J83" s="62" t="s">
        <v>126</v>
      </c>
      <c r="L83" s="50"/>
      <c r="M83" s="50"/>
    </row>
    <row r="84" spans="2:18" ht="16" customHeight="1" x14ac:dyDescent="0.15">
      <c r="B84" s="63" t="s">
        <v>915</v>
      </c>
      <c r="D84" s="51"/>
      <c r="E84" s="51"/>
      <c r="F84" s="855">
        <f>F58*120/50</f>
        <v>1646.4</v>
      </c>
      <c r="G84" s="855">
        <f>G58*120/50</f>
        <v>1712.9145599999997</v>
      </c>
      <c r="H84" s="855">
        <f>H58*120/50</f>
        <v>1782.1163082239998</v>
      </c>
      <c r="J84" s="62"/>
      <c r="L84" s="50"/>
      <c r="M84" s="50"/>
    </row>
    <row r="85" spans="2:18" ht="16" customHeight="1" x14ac:dyDescent="0.15">
      <c r="B85" s="63" t="s">
        <v>917</v>
      </c>
      <c r="D85" s="51"/>
      <c r="E85" s="51"/>
      <c r="F85" s="61">
        <f>0.5*F82</f>
        <v>198.78470025349355</v>
      </c>
      <c r="G85" s="61">
        <f t="shared" ref="G85:H85" si="27">0.5*G82</f>
        <v>138.0862181818182</v>
      </c>
      <c r="H85" s="61">
        <f t="shared" si="27"/>
        <v>166.1133758662001</v>
      </c>
      <c r="J85" s="63" t="s">
        <v>128</v>
      </c>
      <c r="L85" s="66"/>
      <c r="M85" s="66">
        <v>0.02</v>
      </c>
      <c r="N85" s="67">
        <f t="shared" ref="N85:P96" si="28">+$M85</f>
        <v>0.02</v>
      </c>
      <c r="O85" s="67">
        <f t="shared" si="28"/>
        <v>0.02</v>
      </c>
      <c r="P85" s="67">
        <f t="shared" si="28"/>
        <v>0.02</v>
      </c>
    </row>
    <row r="86" spans="2:18" ht="16" customHeight="1" x14ac:dyDescent="0.15">
      <c r="B86" s="63" t="s">
        <v>916</v>
      </c>
      <c r="D86" s="51"/>
      <c r="E86" s="51"/>
      <c r="F86" s="218">
        <v>1450</v>
      </c>
      <c r="G86" s="218">
        <f>+F86*(1+0.02)^2</f>
        <v>1508.58</v>
      </c>
      <c r="H86" s="218">
        <f>+G86*(1+0.02)^2</f>
        <v>1569.5266319999998</v>
      </c>
      <c r="J86" s="63" t="s">
        <v>927</v>
      </c>
      <c r="L86" s="66"/>
      <c r="M86" s="66">
        <v>0.03</v>
      </c>
      <c r="N86" s="67">
        <f t="shared" si="28"/>
        <v>0.03</v>
      </c>
      <c r="O86" s="67">
        <f t="shared" si="28"/>
        <v>0.03</v>
      </c>
      <c r="P86" s="67">
        <f t="shared" si="28"/>
        <v>0.03</v>
      </c>
      <c r="R86" s="535"/>
    </row>
    <row r="87" spans="2:18" ht="16" customHeight="1" x14ac:dyDescent="0.15">
      <c r="B87" s="63" t="s">
        <v>919</v>
      </c>
      <c r="C87" s="53"/>
      <c r="D87" s="53"/>
      <c r="E87" s="53"/>
      <c r="F87" s="68">
        <f>+F88*12/F83</f>
        <v>31.636363636363637</v>
      </c>
      <c r="G87" s="68">
        <f>+G88*12/G83</f>
        <v>32.914472727272724</v>
      </c>
      <c r="H87" s="68">
        <f>+H88*12/H83</f>
        <v>34.244217425454544</v>
      </c>
      <c r="J87" s="63" t="s">
        <v>129</v>
      </c>
      <c r="L87" s="66"/>
      <c r="M87" s="66">
        <v>0.1</v>
      </c>
      <c r="N87" s="67">
        <f t="shared" si="28"/>
        <v>0.1</v>
      </c>
      <c r="O87" s="67">
        <f t="shared" si="28"/>
        <v>0.1</v>
      </c>
      <c r="P87" s="67">
        <f t="shared" si="28"/>
        <v>0.1</v>
      </c>
      <c r="R87" s="535"/>
    </row>
    <row r="88" spans="2:18" ht="16" customHeight="1" x14ac:dyDescent="0.15">
      <c r="B88" s="63" t="s">
        <v>918</v>
      </c>
      <c r="C88" s="53"/>
      <c r="D88" s="53"/>
      <c r="E88" s="69"/>
      <c r="F88" s="70">
        <f>+(MIN(F86,F84)*F85+F86*(F82-F85))/F82</f>
        <v>1450</v>
      </c>
      <c r="G88" s="70">
        <f>+(MIN(G86,G84)*G85+G86*(G82-G85))/G82</f>
        <v>1508.58</v>
      </c>
      <c r="H88" s="70">
        <f>+(MIN(H86,H84)*H85+H86*(H82-H85))/H82</f>
        <v>1569.5266319999998</v>
      </c>
      <c r="J88" s="71" t="s">
        <v>130</v>
      </c>
      <c r="L88" s="72"/>
      <c r="M88" s="72">
        <v>5</v>
      </c>
      <c r="N88" s="73">
        <f t="shared" si="28"/>
        <v>5</v>
      </c>
      <c r="O88" s="73">
        <f t="shared" si="28"/>
        <v>5</v>
      </c>
      <c r="P88" s="73">
        <f t="shared" si="28"/>
        <v>5</v>
      </c>
      <c r="R88" s="535"/>
    </row>
    <row r="89" spans="2:18" ht="16" customHeight="1" x14ac:dyDescent="0.15">
      <c r="B89" s="54" t="s">
        <v>123</v>
      </c>
      <c r="C89" s="53"/>
      <c r="D89" s="53"/>
      <c r="E89" s="60"/>
      <c r="F89" s="369">
        <f>+'Parcel Breakdown'!AR30</f>
        <v>116.62035748204956</v>
      </c>
      <c r="G89" s="369">
        <f>+'Parcel Breakdown'!AR31</f>
        <v>81.010581333333349</v>
      </c>
      <c r="H89" s="369">
        <f>+'Parcel Breakdown'!AR33</f>
        <v>97.453180508170718</v>
      </c>
      <c r="J89" s="63" t="s">
        <v>299</v>
      </c>
      <c r="L89" s="66"/>
      <c r="M89" s="66">
        <v>0.02</v>
      </c>
      <c r="N89" s="67">
        <f t="shared" si="28"/>
        <v>0.02</v>
      </c>
      <c r="O89" s="67">
        <f t="shared" si="28"/>
        <v>0.02</v>
      </c>
      <c r="P89" s="67">
        <f t="shared" si="28"/>
        <v>0.02</v>
      </c>
    </row>
    <row r="90" spans="2:18" ht="16" customHeight="1" x14ac:dyDescent="0.15">
      <c r="B90" s="63" t="s">
        <v>117</v>
      </c>
      <c r="C90" s="53"/>
      <c r="D90" s="53"/>
      <c r="E90" s="64">
        <v>750</v>
      </c>
      <c r="F90" s="65">
        <f>+$E90</f>
        <v>750</v>
      </c>
      <c r="G90" s="65">
        <f t="shared" ref="G90:H90" si="29">+$E90</f>
        <v>750</v>
      </c>
      <c r="H90" s="65">
        <f t="shared" si="29"/>
        <v>750</v>
      </c>
      <c r="J90" s="63" t="s">
        <v>132</v>
      </c>
      <c r="L90" s="66"/>
      <c r="M90" s="66">
        <v>0.05</v>
      </c>
      <c r="N90" s="67">
        <f t="shared" si="28"/>
        <v>0.05</v>
      </c>
      <c r="O90" s="67">
        <f t="shared" si="28"/>
        <v>0.05</v>
      </c>
      <c r="P90" s="67">
        <f t="shared" si="28"/>
        <v>0.05</v>
      </c>
    </row>
    <row r="91" spans="2:18" ht="16" customHeight="1" x14ac:dyDescent="0.15">
      <c r="B91" s="63" t="s">
        <v>915</v>
      </c>
      <c r="C91" s="53"/>
      <c r="D91" s="53"/>
      <c r="E91" s="64"/>
      <c r="F91" s="855">
        <f>F62*120/50</f>
        <v>1764</v>
      </c>
      <c r="G91" s="855">
        <f t="shared" ref="G91:H91" si="30">G62*120/50</f>
        <v>1835.2655999999999</v>
      </c>
      <c r="H91" s="855">
        <f t="shared" si="30"/>
        <v>1909.4103302400001</v>
      </c>
      <c r="J91" s="71" t="s">
        <v>130</v>
      </c>
      <c r="L91" s="72"/>
      <c r="M91" s="72">
        <v>5</v>
      </c>
      <c r="N91" s="73">
        <f t="shared" si="28"/>
        <v>5</v>
      </c>
      <c r="O91" s="73">
        <f t="shared" si="28"/>
        <v>5</v>
      </c>
      <c r="P91" s="73">
        <f t="shared" si="28"/>
        <v>5</v>
      </c>
    </row>
    <row r="92" spans="2:18" ht="16" customHeight="1" x14ac:dyDescent="0.15">
      <c r="B92" s="63" t="s">
        <v>917</v>
      </c>
      <c r="D92" s="51"/>
      <c r="E92" s="51"/>
      <c r="F92" s="61">
        <f>0.5*F89</f>
        <v>58.310178741024778</v>
      </c>
      <c r="G92" s="61">
        <f t="shared" ref="G92:H92" si="31">0.5*G89</f>
        <v>40.505290666666674</v>
      </c>
      <c r="H92" s="61">
        <f t="shared" si="31"/>
        <v>48.726590254085359</v>
      </c>
      <c r="J92" s="63" t="s">
        <v>133</v>
      </c>
      <c r="L92" s="66"/>
      <c r="M92" s="66">
        <v>0.1</v>
      </c>
      <c r="N92" s="67">
        <f t="shared" si="28"/>
        <v>0.1</v>
      </c>
      <c r="O92" s="67">
        <f t="shared" si="28"/>
        <v>0.1</v>
      </c>
      <c r="P92" s="67">
        <f t="shared" si="28"/>
        <v>0.1</v>
      </c>
    </row>
    <row r="93" spans="2:18" ht="16" customHeight="1" x14ac:dyDescent="0.15">
      <c r="B93" s="63" t="s">
        <v>916</v>
      </c>
      <c r="D93" s="51"/>
      <c r="E93" s="51"/>
      <c r="F93" s="218">
        <v>1700</v>
      </c>
      <c r="G93" s="218">
        <f>+F93*(1+0.02)^2</f>
        <v>1768.68</v>
      </c>
      <c r="H93" s="218">
        <f>+G93*(1+0.02)^2</f>
        <v>1840.1346720000001</v>
      </c>
      <c r="J93" s="71" t="s">
        <v>130</v>
      </c>
      <c r="L93" s="72"/>
      <c r="M93" s="72">
        <v>5</v>
      </c>
      <c r="N93" s="73">
        <f t="shared" si="28"/>
        <v>5</v>
      </c>
      <c r="O93" s="73">
        <f t="shared" si="28"/>
        <v>5</v>
      </c>
      <c r="P93" s="73">
        <f t="shared" si="28"/>
        <v>5</v>
      </c>
    </row>
    <row r="94" spans="2:18" ht="16" customHeight="1" x14ac:dyDescent="0.15">
      <c r="B94" s="63" t="s">
        <v>919</v>
      </c>
      <c r="C94" s="53"/>
      <c r="D94" s="53"/>
      <c r="E94" s="53"/>
      <c r="F94" s="68">
        <f>+F95*12/F90</f>
        <v>27.2</v>
      </c>
      <c r="G94" s="68">
        <f>+G95*12/G90</f>
        <v>28.29888</v>
      </c>
      <c r="H94" s="68">
        <f>+H95*12/H90</f>
        <v>29.442154752</v>
      </c>
      <c r="J94" s="63" t="s">
        <v>238</v>
      </c>
      <c r="L94" s="66"/>
      <c r="M94" s="66">
        <v>0.1</v>
      </c>
      <c r="N94" s="67">
        <f t="shared" si="28"/>
        <v>0.1</v>
      </c>
      <c r="O94" s="67">
        <f t="shared" si="28"/>
        <v>0.1</v>
      </c>
      <c r="P94" s="67">
        <f t="shared" si="28"/>
        <v>0.1</v>
      </c>
    </row>
    <row r="95" spans="2:18" ht="16" customHeight="1" x14ac:dyDescent="0.15">
      <c r="B95" s="63" t="s">
        <v>918</v>
      </c>
      <c r="C95" s="53"/>
      <c r="D95" s="53"/>
      <c r="E95" s="69"/>
      <c r="F95" s="70">
        <f>+(MIN(F93,F91)*F92+F93*(F89-F92))/F89</f>
        <v>1700</v>
      </c>
      <c r="G95" s="70">
        <f>+(MIN(G93,G91)*G92+G93*(G89-G92))/G89</f>
        <v>1768.68</v>
      </c>
      <c r="H95" s="70">
        <f>+(MIN(H93,H91)*H92+H93*(H89-H92))/H89</f>
        <v>1840.1346720000001</v>
      </c>
      <c r="J95" s="71" t="s">
        <v>130</v>
      </c>
      <c r="L95" s="72"/>
      <c r="M95" s="72">
        <v>5</v>
      </c>
      <c r="N95" s="73">
        <f t="shared" si="28"/>
        <v>5</v>
      </c>
      <c r="O95" s="73">
        <f t="shared" si="28"/>
        <v>5</v>
      </c>
      <c r="P95" s="73">
        <f t="shared" si="28"/>
        <v>5</v>
      </c>
    </row>
    <row r="96" spans="2:18" ht="16" customHeight="1" x14ac:dyDescent="0.15">
      <c r="B96" s="54" t="s">
        <v>127</v>
      </c>
      <c r="E96" s="60"/>
      <c r="F96" s="369">
        <f>+'Parcel Breakdown'!AT30</f>
        <v>39.756940050698709</v>
      </c>
      <c r="G96" s="369">
        <f>+'Parcel Breakdown'!AT31</f>
        <v>27.617243636363643</v>
      </c>
      <c r="H96" s="369">
        <f>+'Parcel Breakdown'!AT33</f>
        <v>33.22267517324002</v>
      </c>
      <c r="J96" s="134" t="s">
        <v>220</v>
      </c>
      <c r="L96" s="66"/>
      <c r="M96" s="66">
        <v>0.02</v>
      </c>
      <c r="N96" s="67">
        <f t="shared" si="28"/>
        <v>0.02</v>
      </c>
      <c r="O96" s="67">
        <f t="shared" si="28"/>
        <v>0.02</v>
      </c>
      <c r="P96" s="67">
        <f t="shared" si="28"/>
        <v>0.02</v>
      </c>
    </row>
    <row r="97" spans="2:16" ht="16" customHeight="1" x14ac:dyDescent="0.15">
      <c r="B97" s="63" t="s">
        <v>117</v>
      </c>
      <c r="E97" s="64">
        <v>1100</v>
      </c>
      <c r="F97" s="65">
        <f>+$E97</f>
        <v>1100</v>
      </c>
      <c r="G97" s="65">
        <f t="shared" ref="G97:H97" si="32">+$E97</f>
        <v>1100</v>
      </c>
      <c r="H97" s="65">
        <f t="shared" si="32"/>
        <v>1100</v>
      </c>
      <c r="J97" s="62" t="s">
        <v>250</v>
      </c>
      <c r="L97" s="50"/>
      <c r="M97" s="50"/>
    </row>
    <row r="98" spans="2:16" ht="16" customHeight="1" x14ac:dyDescent="0.15">
      <c r="B98" s="63" t="s">
        <v>119</v>
      </c>
      <c r="E98" s="53"/>
      <c r="F98" s="68">
        <f>+F99*12/F97</f>
        <v>26.181818181818183</v>
      </c>
      <c r="G98" s="68">
        <f t="shared" ref="G98:H98" si="33">+G99*12/G97</f>
        <v>27.239563636363638</v>
      </c>
      <c r="H98" s="68">
        <f t="shared" si="33"/>
        <v>28.340042007272729</v>
      </c>
      <c r="J98" s="63" t="s">
        <v>128</v>
      </c>
      <c r="L98" s="66"/>
      <c r="M98" s="66">
        <v>0.03</v>
      </c>
      <c r="N98" s="67">
        <f t="shared" ref="N98:P104" si="34">+$M98</f>
        <v>0.03</v>
      </c>
      <c r="O98" s="67">
        <f t="shared" si="34"/>
        <v>0.03</v>
      </c>
      <c r="P98" s="67">
        <f t="shared" si="34"/>
        <v>0.03</v>
      </c>
    </row>
    <row r="99" spans="2:16" ht="16" customHeight="1" x14ac:dyDescent="0.15">
      <c r="B99" s="63" t="s">
        <v>121</v>
      </c>
      <c r="E99" s="69"/>
      <c r="F99" s="218">
        <v>2400</v>
      </c>
      <c r="G99" s="218">
        <f>+F99*(1+0.02)^2</f>
        <v>2496.96</v>
      </c>
      <c r="H99" s="218">
        <f>+G99*(1+0.02)^2</f>
        <v>2597.837184</v>
      </c>
      <c r="J99" s="63" t="s">
        <v>927</v>
      </c>
      <c r="L99" s="66"/>
      <c r="M99" s="66">
        <v>0.03</v>
      </c>
      <c r="N99" s="67">
        <f t="shared" si="34"/>
        <v>0.03</v>
      </c>
      <c r="O99" s="67">
        <f t="shared" si="34"/>
        <v>0.03</v>
      </c>
      <c r="P99" s="67">
        <f t="shared" si="34"/>
        <v>0.03</v>
      </c>
    </row>
    <row r="100" spans="2:16" ht="16" customHeight="1" x14ac:dyDescent="0.15">
      <c r="B100" s="54" t="s">
        <v>131</v>
      </c>
      <c r="E100" s="60"/>
      <c r="F100" s="369">
        <f>+'Parcel Breakdown'!AV30</f>
        <v>14.577544685256195</v>
      </c>
      <c r="G100" s="369">
        <f>+'Parcel Breakdown'!AV31</f>
        <v>10.126322666666669</v>
      </c>
      <c r="H100" s="369">
        <f>+'Parcel Breakdown'!AV33</f>
        <v>12.18164756352134</v>
      </c>
      <c r="J100" s="63" t="s">
        <v>129</v>
      </c>
      <c r="L100" s="66"/>
      <c r="M100" s="66">
        <v>0.03</v>
      </c>
      <c r="N100" s="67">
        <f t="shared" si="34"/>
        <v>0.03</v>
      </c>
      <c r="O100" s="67">
        <f t="shared" si="34"/>
        <v>0.03</v>
      </c>
      <c r="P100" s="67">
        <f t="shared" si="34"/>
        <v>0.03</v>
      </c>
    </row>
    <row r="101" spans="2:16" ht="16" customHeight="1" x14ac:dyDescent="0.15">
      <c r="B101" s="63" t="s">
        <v>117</v>
      </c>
      <c r="E101" s="64">
        <v>1500</v>
      </c>
      <c r="F101" s="65">
        <f>+$E101</f>
        <v>1500</v>
      </c>
      <c r="G101" s="65">
        <f t="shared" ref="G101:H101" si="35">+$E101</f>
        <v>1500</v>
      </c>
      <c r="H101" s="65">
        <f t="shared" si="35"/>
        <v>1500</v>
      </c>
      <c r="J101" s="63" t="s">
        <v>132</v>
      </c>
      <c r="L101" s="66"/>
      <c r="M101" s="66">
        <v>0.03</v>
      </c>
      <c r="N101" s="67">
        <f t="shared" si="34"/>
        <v>0.03</v>
      </c>
      <c r="O101" s="67">
        <f t="shared" si="34"/>
        <v>0.03</v>
      </c>
      <c r="P101" s="67">
        <f t="shared" si="34"/>
        <v>0.03</v>
      </c>
    </row>
    <row r="102" spans="2:16" ht="16" customHeight="1" x14ac:dyDescent="0.15">
      <c r="B102" s="63" t="s">
        <v>119</v>
      </c>
      <c r="E102" s="53"/>
      <c r="F102" s="68">
        <f>+F103*12/F101</f>
        <v>25.6</v>
      </c>
      <c r="G102" s="68">
        <f t="shared" ref="G102:H102" si="36">+G103*12/G101</f>
        <v>26.634240000000002</v>
      </c>
      <c r="H102" s="68">
        <f t="shared" si="36"/>
        <v>27.710263296000001</v>
      </c>
      <c r="J102" s="63" t="s">
        <v>133</v>
      </c>
      <c r="L102" s="66"/>
      <c r="M102" s="66">
        <v>0.03</v>
      </c>
      <c r="N102" s="67">
        <f t="shared" si="34"/>
        <v>0.03</v>
      </c>
      <c r="O102" s="67">
        <f t="shared" si="34"/>
        <v>0.03</v>
      </c>
      <c r="P102" s="67">
        <f t="shared" si="34"/>
        <v>0.03</v>
      </c>
    </row>
    <row r="103" spans="2:16" ht="16" customHeight="1" x14ac:dyDescent="0.15">
      <c r="B103" s="63" t="s">
        <v>121</v>
      </c>
      <c r="E103" s="69"/>
      <c r="F103" s="218">
        <v>3200</v>
      </c>
      <c r="G103" s="218">
        <f>+F103*(1+0.02)^2</f>
        <v>3329.2799999999997</v>
      </c>
      <c r="H103" s="218">
        <f>+G103*(1+0.02)^2</f>
        <v>3463.7829119999997</v>
      </c>
      <c r="J103" s="63" t="s">
        <v>238</v>
      </c>
      <c r="L103" s="66"/>
      <c r="M103" s="66">
        <v>0.03</v>
      </c>
      <c r="N103" s="67">
        <f t="shared" si="34"/>
        <v>0.03</v>
      </c>
      <c r="O103" s="67">
        <f t="shared" si="34"/>
        <v>0.03</v>
      </c>
      <c r="P103" s="67">
        <f t="shared" si="34"/>
        <v>0.03</v>
      </c>
    </row>
    <row r="104" spans="2:16" ht="16" customHeight="1" x14ac:dyDescent="0.15">
      <c r="B104" s="54" t="s">
        <v>372</v>
      </c>
      <c r="E104" s="60"/>
      <c r="F104" s="369">
        <f>+'Parcel Breakdown'!AX30</f>
        <v>29.81770503802403</v>
      </c>
      <c r="G104" s="369">
        <f>+'Parcel Breakdown'!AX31</f>
        <v>20.712932727272729</v>
      </c>
      <c r="H104" s="369">
        <f>+'Parcel Breakdown'!AX33</f>
        <v>24.917006379930015</v>
      </c>
      <c r="J104" s="63" t="s">
        <v>220</v>
      </c>
      <c r="L104" s="66"/>
      <c r="M104" s="66">
        <v>0.03</v>
      </c>
      <c r="N104" s="67">
        <f t="shared" si="34"/>
        <v>0.03</v>
      </c>
      <c r="O104" s="67">
        <f t="shared" si="34"/>
        <v>0.03</v>
      </c>
      <c r="P104" s="67">
        <f t="shared" si="34"/>
        <v>0.03</v>
      </c>
    </row>
    <row r="105" spans="2:16" ht="16" customHeight="1" x14ac:dyDescent="0.15">
      <c r="B105" s="63" t="s">
        <v>117</v>
      </c>
      <c r="E105" s="64">
        <v>2200</v>
      </c>
      <c r="F105" s="65">
        <f>+$E105</f>
        <v>2200</v>
      </c>
      <c r="G105" s="65">
        <f t="shared" ref="G105:H105" si="37">+$E105</f>
        <v>2200</v>
      </c>
      <c r="H105" s="65">
        <f t="shared" si="37"/>
        <v>2200</v>
      </c>
      <c r="J105" s="71"/>
      <c r="L105" s="72"/>
      <c r="M105" s="72"/>
      <c r="N105" s="73"/>
      <c r="O105" s="73"/>
      <c r="P105" s="73"/>
    </row>
    <row r="106" spans="2:16" ht="16" customHeight="1" x14ac:dyDescent="0.15">
      <c r="B106" s="63" t="s">
        <v>119</v>
      </c>
      <c r="E106" s="53"/>
      <c r="F106" s="68">
        <f>+F107*12/F105</f>
        <v>24.545454545454547</v>
      </c>
      <c r="G106" s="68">
        <f t="shared" ref="G106:H106" si="38">+G107*12/G105</f>
        <v>25.53709090909091</v>
      </c>
      <c r="H106" s="68">
        <f t="shared" si="38"/>
        <v>26.568789381818185</v>
      </c>
      <c r="J106" s="62" t="s">
        <v>386</v>
      </c>
    </row>
    <row r="107" spans="2:16" ht="16" customHeight="1" x14ac:dyDescent="0.15">
      <c r="B107" s="63" t="s">
        <v>121</v>
      </c>
      <c r="E107" s="69"/>
      <c r="F107" s="218">
        <v>4500</v>
      </c>
      <c r="G107" s="218">
        <f>+F107*(1+0.02)^2</f>
        <v>4681.8</v>
      </c>
      <c r="H107" s="218">
        <f>+G107*(1+0.02)^2</f>
        <v>4870.9447200000004</v>
      </c>
      <c r="J107" s="63" t="s">
        <v>388</v>
      </c>
      <c r="L107" s="66"/>
      <c r="M107" s="66">
        <v>0.02</v>
      </c>
      <c r="N107" s="67">
        <f t="shared" ref="N107:P107" si="39">+$M107</f>
        <v>0.02</v>
      </c>
      <c r="O107" s="67">
        <f t="shared" si="39"/>
        <v>0.02</v>
      </c>
      <c r="P107" s="67">
        <f t="shared" si="39"/>
        <v>0.02</v>
      </c>
    </row>
    <row r="108" spans="2:16" ht="16" customHeight="1" x14ac:dyDescent="0.15">
      <c r="B108" s="63"/>
      <c r="E108" s="69"/>
      <c r="F108" s="70"/>
      <c r="G108" s="70"/>
      <c r="H108" s="70"/>
      <c r="J108" s="63" t="s">
        <v>387</v>
      </c>
      <c r="L108" s="72"/>
      <c r="M108" s="72"/>
      <c r="N108" s="73">
        <v>0</v>
      </c>
      <c r="O108" s="73">
        <f>+YEAR(G43)-YEAR($F$43)</f>
        <v>2</v>
      </c>
      <c r="P108" s="73">
        <f>+YEAR(H43)-YEAR($F$43)</f>
        <v>4</v>
      </c>
    </row>
    <row r="109" spans="2:16" ht="16" customHeight="1" x14ac:dyDescent="0.15">
      <c r="B109" s="74" t="s">
        <v>914</v>
      </c>
      <c r="C109" s="75"/>
      <c r="D109" s="75"/>
      <c r="E109" s="76">
        <f>+SUM(F109:H109)</f>
        <v>33134013.590777561</v>
      </c>
      <c r="F109" s="77">
        <f>+F87*F83*F82+F89*F90*F94+F96*F97*F98+F100*F101*F102+F104*F105*F106</f>
        <v>12611696.522882646</v>
      </c>
      <c r="G109" s="77">
        <f>+G87*G83*G82+G89*G90*G94+G96*G97*G98+G100*G101*G102+G104*G105*G106</f>
        <v>9114676.0041908957</v>
      </c>
      <c r="H109" s="77">
        <f>+H87*H83*H82+H89*H90*H94+H96*H97*H98+H100*H101*H102+H104*H105*H106</f>
        <v>11407641.063704021</v>
      </c>
    </row>
    <row r="110" spans="2:16" ht="16" customHeight="1" x14ac:dyDescent="0.15">
      <c r="B110" s="78" t="s">
        <v>134</v>
      </c>
      <c r="C110" s="79"/>
      <c r="D110" s="79"/>
      <c r="E110" s="80">
        <f>+SUM(F110:H110)</f>
        <v>1106565.4474633262</v>
      </c>
      <c r="F110" s="81">
        <f>+F82*F83+F89*F90+F96*F97+F100*F101+F104*F105</f>
        <v>437326.34055768582</v>
      </c>
      <c r="G110" s="81">
        <f>+G82*G83+G89*G90+G96*G97+G100*G101+G104*G105</f>
        <v>303789.68000000005</v>
      </c>
      <c r="H110" s="81">
        <f>+H82*H83+H89*H90+H96*H97+H100*H101+H104*H105</f>
        <v>365449.42690564017</v>
      </c>
      <c r="J110" s="62" t="s">
        <v>236</v>
      </c>
      <c r="L110" s="50"/>
      <c r="M110" s="50"/>
    </row>
    <row r="111" spans="2:16" ht="16" customHeight="1" x14ac:dyDescent="0.15">
      <c r="B111" s="63" t="s">
        <v>135</v>
      </c>
      <c r="C111" s="52"/>
      <c r="E111" s="60">
        <f>+SUM(F111:H111)</f>
        <v>1513.9827258475507</v>
      </c>
      <c r="F111" s="65">
        <f>+F82+F89+F96+F100+F104</f>
        <v>598.3419477630157</v>
      </c>
      <c r="G111" s="65">
        <f>+G82+G89+G96+G100+G104</f>
        <v>415.63951672727279</v>
      </c>
      <c r="H111" s="65">
        <f>+H82+H89+H96+H100+H104</f>
        <v>500.00126135726225</v>
      </c>
      <c r="J111" s="63" t="s">
        <v>136</v>
      </c>
      <c r="K111" s="53"/>
      <c r="L111" s="66"/>
      <c r="M111" s="66"/>
      <c r="N111" s="91">
        <v>0.8</v>
      </c>
      <c r="O111" s="91">
        <v>0.9</v>
      </c>
      <c r="P111" s="91">
        <v>0.9</v>
      </c>
    </row>
    <row r="112" spans="2:16" ht="16" customHeight="1" x14ac:dyDescent="0.15">
      <c r="B112" s="63" t="s">
        <v>137</v>
      </c>
      <c r="C112" s="52"/>
      <c r="E112" s="82">
        <f>+IFERROR(E109/E110,"")</f>
        <v>29.943112417556026</v>
      </c>
      <c r="F112" s="68">
        <f>+IFERROR(F109/F110,"")</f>
        <v>28.83818181818182</v>
      </c>
      <c r="G112" s="68">
        <f t="shared" ref="G112:H112" si="40">+IFERROR(G109/G110,"")</f>
        <v>30.003244363636362</v>
      </c>
      <c r="H112" s="68">
        <f t="shared" si="40"/>
        <v>31.215375435927278</v>
      </c>
      <c r="J112" s="63" t="s">
        <v>138</v>
      </c>
      <c r="K112" s="53"/>
      <c r="L112" s="66"/>
      <c r="M112" s="66">
        <v>1</v>
      </c>
      <c r="N112" s="67">
        <f t="shared" ref="N112:P114" si="41">+$M112</f>
        <v>1</v>
      </c>
      <c r="O112" s="67">
        <f t="shared" si="41"/>
        <v>1</v>
      </c>
      <c r="P112" s="67">
        <f t="shared" si="41"/>
        <v>1</v>
      </c>
    </row>
    <row r="113" spans="1:16" ht="16" customHeight="1" x14ac:dyDescent="0.15">
      <c r="B113" s="83" t="s">
        <v>139</v>
      </c>
      <c r="C113" s="84"/>
      <c r="D113" s="84"/>
      <c r="E113" s="85">
        <f>+IFERROR(E109/E111/12,"")</f>
        <v>1823.7776112575655</v>
      </c>
      <c r="F113" s="86">
        <f>+IFERROR(F109/F111/12,"")</f>
        <v>1756.4784053156145</v>
      </c>
      <c r="G113" s="86">
        <f t="shared" ref="G113:H113" si="42">+IFERROR(G109/G111/12,"")</f>
        <v>1827.4401328903652</v>
      </c>
      <c r="H113" s="86">
        <f t="shared" si="42"/>
        <v>1901.2687142591365</v>
      </c>
      <c r="J113" s="63" t="s">
        <v>140</v>
      </c>
      <c r="K113" s="53"/>
      <c r="L113" s="66"/>
      <c r="M113" s="66">
        <v>0.9</v>
      </c>
      <c r="N113" s="67">
        <f t="shared" si="41"/>
        <v>0.9</v>
      </c>
      <c r="O113" s="67">
        <f t="shared" si="41"/>
        <v>0.9</v>
      </c>
      <c r="P113" s="67">
        <f t="shared" si="41"/>
        <v>0.9</v>
      </c>
    </row>
    <row r="114" spans="1:16" ht="16" customHeight="1" x14ac:dyDescent="0.15">
      <c r="J114" s="63" t="s">
        <v>239</v>
      </c>
      <c r="K114" s="53"/>
      <c r="L114" s="66"/>
      <c r="M114" s="66">
        <v>1</v>
      </c>
      <c r="N114" s="67">
        <f t="shared" si="41"/>
        <v>1</v>
      </c>
      <c r="O114" s="67">
        <f t="shared" si="41"/>
        <v>1</v>
      </c>
      <c r="P114" s="67">
        <f t="shared" si="41"/>
        <v>1</v>
      </c>
    </row>
    <row r="115" spans="1:16" ht="16" customHeight="1" x14ac:dyDescent="0.15">
      <c r="B115" s="62" t="s">
        <v>379</v>
      </c>
    </row>
    <row r="116" spans="1:16" ht="16" customHeight="1" x14ac:dyDescent="0.15">
      <c r="B116" s="51" t="s">
        <v>381</v>
      </c>
      <c r="E116" s="69">
        <v>5</v>
      </c>
      <c r="F116" s="70">
        <f>+$E116</f>
        <v>5</v>
      </c>
      <c r="G116" s="70">
        <f t="shared" ref="G116:H117" si="43">+$E116</f>
        <v>5</v>
      </c>
      <c r="H116" s="70">
        <f t="shared" si="43"/>
        <v>5</v>
      </c>
      <c r="J116" s="62" t="s">
        <v>390</v>
      </c>
      <c r="L116" s="50"/>
      <c r="M116" s="50"/>
    </row>
    <row r="117" spans="1:16" ht="16" customHeight="1" x14ac:dyDescent="0.15">
      <c r="B117" s="51" t="s">
        <v>380</v>
      </c>
      <c r="E117" s="69">
        <v>55</v>
      </c>
      <c r="F117" s="70">
        <f>+$E117</f>
        <v>55</v>
      </c>
      <c r="G117" s="70">
        <f t="shared" si="43"/>
        <v>55</v>
      </c>
      <c r="H117" s="70">
        <f t="shared" si="43"/>
        <v>55</v>
      </c>
      <c r="J117" s="63" t="s">
        <v>141</v>
      </c>
      <c r="K117" s="53"/>
      <c r="L117" s="69"/>
      <c r="M117" s="69"/>
      <c r="N117" s="218">
        <v>5800</v>
      </c>
      <c r="O117" s="218">
        <f>+N117*(1+0.02)^2</f>
        <v>6034.32</v>
      </c>
      <c r="P117" s="218">
        <f>+O117*(1+0.02)^2</f>
        <v>6278.1065279999993</v>
      </c>
    </row>
    <row r="118" spans="1:16" ht="16" customHeight="1" x14ac:dyDescent="0.15">
      <c r="J118" s="63" t="s">
        <v>928</v>
      </c>
      <c r="K118" s="53"/>
      <c r="L118" s="69"/>
      <c r="M118" s="69"/>
      <c r="N118" s="218">
        <v>6000</v>
      </c>
      <c r="O118" s="218">
        <f t="shared" ref="O118:P118" si="44">+N118*(1+0.02)^2</f>
        <v>6242.4</v>
      </c>
      <c r="P118" s="218">
        <f t="shared" si="44"/>
        <v>6494.5929599999999</v>
      </c>
    </row>
    <row r="119" spans="1:16" ht="16" customHeight="1" x14ac:dyDescent="0.15">
      <c r="J119" s="63" t="s">
        <v>221</v>
      </c>
      <c r="K119" s="53"/>
      <c r="L119" s="69"/>
      <c r="M119" s="69"/>
      <c r="N119" s="218">
        <v>500</v>
      </c>
      <c r="O119" s="218">
        <f>+N119*(1+0.02)^2</f>
        <v>520.20000000000005</v>
      </c>
      <c r="P119" s="218">
        <f>+O119*(1+0.02)^2</f>
        <v>541.21608000000003</v>
      </c>
    </row>
    <row r="120" spans="1:16" ht="16" customHeight="1" x14ac:dyDescent="0.15">
      <c r="J120" s="63"/>
      <c r="K120" s="53"/>
      <c r="L120" s="69"/>
      <c r="M120" s="69"/>
      <c r="N120" s="218"/>
      <c r="O120" s="218"/>
      <c r="P120" s="218"/>
    </row>
    <row r="121" spans="1:16" ht="50" customHeight="1" thickBot="1" x14ac:dyDescent="0.2">
      <c r="B121" s="1048" t="s">
        <v>148</v>
      </c>
      <c r="C121" s="1048"/>
      <c r="D121" s="53"/>
      <c r="E121" s="49" t="s">
        <v>63</v>
      </c>
      <c r="F121" s="110" t="s">
        <v>627</v>
      </c>
      <c r="G121" s="110" t="s">
        <v>628</v>
      </c>
      <c r="H121" s="110" t="s">
        <v>728</v>
      </c>
    </row>
    <row r="122" spans="1:16" ht="16" customHeight="1" x14ac:dyDescent="0.15">
      <c r="B122" s="54" t="s">
        <v>150</v>
      </c>
      <c r="C122" s="53"/>
      <c r="D122" s="53"/>
      <c r="E122" s="60"/>
      <c r="F122" s="369">
        <f>+'Parcel Breakdown'!AP43</f>
        <v>346.80700000000007</v>
      </c>
      <c r="G122" s="369">
        <f>+'Parcel Breakdown'!AP44</f>
        <v>231.88266666666669</v>
      </c>
      <c r="H122" s="369">
        <f>+'Parcel Breakdown'!AP45</f>
        <v>37.277688888888889</v>
      </c>
    </row>
    <row r="123" spans="1:16" ht="16" customHeight="1" x14ac:dyDescent="0.15">
      <c r="A123" s="535"/>
      <c r="B123" s="63" t="s">
        <v>117</v>
      </c>
      <c r="C123" s="53"/>
      <c r="D123" s="53"/>
      <c r="E123" s="64">
        <v>450</v>
      </c>
      <c r="F123" s="65">
        <f t="shared" ref="F123:H123" si="45">+$E123</f>
        <v>450</v>
      </c>
      <c r="G123" s="65">
        <f t="shared" si="45"/>
        <v>450</v>
      </c>
      <c r="H123" s="65">
        <f t="shared" si="45"/>
        <v>450</v>
      </c>
      <c r="J123" s="62" t="s">
        <v>143</v>
      </c>
      <c r="K123" s="53"/>
      <c r="L123" s="66"/>
      <c r="M123" s="66"/>
      <c r="N123" s="67"/>
      <c r="O123" s="67"/>
      <c r="P123" s="67"/>
    </row>
    <row r="124" spans="1:16" ht="16" customHeight="1" x14ac:dyDescent="0.15">
      <c r="A124" s="535"/>
      <c r="B124" s="63" t="s">
        <v>152</v>
      </c>
      <c r="C124" s="53"/>
      <c r="D124" s="53"/>
      <c r="E124" s="53"/>
      <c r="F124" s="68">
        <f>+F126*F125</f>
        <v>125.99999999999999</v>
      </c>
      <c r="G124" s="68">
        <f>+G126*G125</f>
        <v>94.5</v>
      </c>
      <c r="H124" s="68">
        <f>+H126*H125</f>
        <v>112</v>
      </c>
      <c r="J124" s="154" t="s">
        <v>289</v>
      </c>
    </row>
    <row r="125" spans="1:16" ht="16" customHeight="1" x14ac:dyDescent="0.15">
      <c r="A125" s="535"/>
      <c r="B125" s="63" t="s">
        <v>153</v>
      </c>
      <c r="C125" s="53"/>
      <c r="D125" s="53"/>
      <c r="E125" s="66">
        <v>0.7</v>
      </c>
      <c r="F125" s="67">
        <f>+$E125</f>
        <v>0.7</v>
      </c>
      <c r="G125" s="67">
        <f t="shared" ref="G125:H125" si="46">+$E125</f>
        <v>0.7</v>
      </c>
      <c r="H125" s="67">
        <f t="shared" si="46"/>
        <v>0.7</v>
      </c>
      <c r="J125" s="63" t="s">
        <v>280</v>
      </c>
      <c r="K125" s="53"/>
      <c r="L125" s="92"/>
      <c r="M125" s="92">
        <v>0.25</v>
      </c>
      <c r="N125" s="133">
        <f t="shared" ref="N125:P126" si="47">+$M125</f>
        <v>0.25</v>
      </c>
      <c r="O125" s="133">
        <f t="shared" si="47"/>
        <v>0.25</v>
      </c>
      <c r="P125" s="133">
        <f t="shared" si="47"/>
        <v>0.25</v>
      </c>
    </row>
    <row r="126" spans="1:16" ht="16" customHeight="1" x14ac:dyDescent="0.15">
      <c r="B126" s="63" t="s">
        <v>296</v>
      </c>
      <c r="C126" s="53"/>
      <c r="D126" s="53"/>
      <c r="E126" s="69"/>
      <c r="F126" s="218">
        <v>180</v>
      </c>
      <c r="G126" s="218">
        <v>135</v>
      </c>
      <c r="H126" s="218">
        <v>160</v>
      </c>
      <c r="J126" s="63" t="s">
        <v>307</v>
      </c>
      <c r="K126" s="53"/>
      <c r="L126" s="92"/>
      <c r="M126" s="92">
        <v>0.7</v>
      </c>
      <c r="N126" s="133">
        <f t="shared" si="47"/>
        <v>0.7</v>
      </c>
      <c r="O126" s="133">
        <f t="shared" si="47"/>
        <v>0.7</v>
      </c>
      <c r="P126" s="133">
        <f t="shared" si="47"/>
        <v>0.7</v>
      </c>
    </row>
    <row r="127" spans="1:16" ht="16" customHeight="1" x14ac:dyDescent="0.15">
      <c r="B127" s="74" t="s">
        <v>305</v>
      </c>
      <c r="C127" s="75"/>
      <c r="D127" s="75"/>
      <c r="E127" s="76">
        <f>+SUM(F127:H127)</f>
        <v>25489225.15556667</v>
      </c>
      <c r="F127" s="77">
        <f>+F122*365.25*F124</f>
        <v>15960578.350500003</v>
      </c>
      <c r="G127" s="77">
        <f>+G122*365.25*G124</f>
        <v>8003691.1080000009</v>
      </c>
      <c r="H127" s="77">
        <f>+H122*365.25*H124</f>
        <v>1524955.6970666666</v>
      </c>
      <c r="J127" s="154" t="s">
        <v>290</v>
      </c>
    </row>
    <row r="128" spans="1:16" ht="16" customHeight="1" x14ac:dyDescent="0.15">
      <c r="B128" s="78" t="s">
        <v>134</v>
      </c>
      <c r="C128" s="79"/>
      <c r="D128" s="79"/>
      <c r="E128" s="80">
        <f>+SUM(F128:H128)</f>
        <v>277185.31000000006</v>
      </c>
      <c r="F128" s="81">
        <f>+F122*F123</f>
        <v>156063.15000000002</v>
      </c>
      <c r="G128" s="81">
        <f t="shared" ref="G128:H128" si="48">+G122*G123</f>
        <v>104347.20000000001</v>
      </c>
      <c r="H128" s="81">
        <f t="shared" si="48"/>
        <v>16774.96</v>
      </c>
      <c r="J128" s="63" t="s">
        <v>282</v>
      </c>
      <c r="K128" s="53"/>
      <c r="L128" s="92"/>
      <c r="M128" s="92">
        <v>0.08</v>
      </c>
      <c r="N128" s="133">
        <f t="shared" ref="N128:P135" si="49">+$M128</f>
        <v>0.08</v>
      </c>
      <c r="O128" s="133">
        <f t="shared" si="49"/>
        <v>0.08</v>
      </c>
      <c r="P128" s="133">
        <f t="shared" si="49"/>
        <v>0.08</v>
      </c>
    </row>
    <row r="129" spans="1:16" ht="16" customHeight="1" x14ac:dyDescent="0.15">
      <c r="B129" s="63" t="s">
        <v>158</v>
      </c>
      <c r="C129" s="52"/>
      <c r="E129" s="60">
        <f>+SUM(F129:H129)</f>
        <v>615.96735555555563</v>
      </c>
      <c r="F129" s="65">
        <f>+F122</f>
        <v>346.80700000000007</v>
      </c>
      <c r="G129" s="65">
        <f t="shared" ref="G129:H129" si="50">+G122</f>
        <v>231.88266666666669</v>
      </c>
      <c r="H129" s="65">
        <f t="shared" si="50"/>
        <v>37.277688888888889</v>
      </c>
      <c r="J129" s="63" t="s">
        <v>283</v>
      </c>
      <c r="K129" s="53"/>
      <c r="L129" s="92"/>
      <c r="M129" s="92">
        <v>0.01</v>
      </c>
      <c r="N129" s="133">
        <f t="shared" si="49"/>
        <v>0.01</v>
      </c>
      <c r="O129" s="133">
        <f t="shared" si="49"/>
        <v>0.01</v>
      </c>
      <c r="P129" s="133">
        <f t="shared" si="49"/>
        <v>0.01</v>
      </c>
    </row>
    <row r="130" spans="1:16" ht="16" customHeight="1" x14ac:dyDescent="0.15">
      <c r="B130" s="83" t="s">
        <v>159</v>
      </c>
      <c r="C130" s="84"/>
      <c r="D130" s="84"/>
      <c r="E130" s="94">
        <f>+IFERROR(E127/E128,"")</f>
        <v>91.95734490968033</v>
      </c>
      <c r="F130" s="95">
        <f>+IFERROR(F127/F128,"")</f>
        <v>102.27</v>
      </c>
      <c r="G130" s="95">
        <f t="shared" ref="G130:H130" si="51">+IFERROR(G127/G128,"")</f>
        <v>76.702500000000001</v>
      </c>
      <c r="H130" s="95">
        <f t="shared" si="51"/>
        <v>90.906666666666666</v>
      </c>
      <c r="J130" s="63" t="s">
        <v>73</v>
      </c>
      <c r="K130" s="53"/>
      <c r="L130" s="92"/>
      <c r="M130" s="92">
        <v>6.5000000000000002E-2</v>
      </c>
      <c r="N130" s="133">
        <f t="shared" si="49"/>
        <v>6.5000000000000002E-2</v>
      </c>
      <c r="O130" s="133">
        <f t="shared" si="49"/>
        <v>6.5000000000000002E-2</v>
      </c>
      <c r="P130" s="133">
        <f t="shared" si="49"/>
        <v>6.5000000000000002E-2</v>
      </c>
    </row>
    <row r="131" spans="1:16" ht="16" customHeight="1" x14ac:dyDescent="0.15">
      <c r="B131" s="96" t="s">
        <v>160</v>
      </c>
      <c r="C131" s="52"/>
      <c r="E131" s="82"/>
      <c r="F131" s="68"/>
      <c r="G131" s="68"/>
      <c r="H131" s="68"/>
      <c r="J131" s="63" t="s">
        <v>284</v>
      </c>
      <c r="K131" s="53"/>
      <c r="L131" s="92"/>
      <c r="M131" s="92">
        <v>0.02</v>
      </c>
      <c r="N131" s="133">
        <f t="shared" si="49"/>
        <v>0.02</v>
      </c>
      <c r="O131" s="133">
        <f t="shared" si="49"/>
        <v>0.02</v>
      </c>
      <c r="P131" s="133">
        <f t="shared" si="49"/>
        <v>0.02</v>
      </c>
    </row>
    <row r="132" spans="1:16" ht="16" customHeight="1" x14ac:dyDescent="0.15">
      <c r="B132" s="63" t="s">
        <v>161</v>
      </c>
      <c r="C132" s="52"/>
      <c r="E132" s="87">
        <v>30</v>
      </c>
      <c r="F132" s="70">
        <f>+$E132</f>
        <v>30</v>
      </c>
      <c r="G132" s="70">
        <f t="shared" ref="G132:H135" si="52">+$E132</f>
        <v>30</v>
      </c>
      <c r="H132" s="70">
        <f t="shared" si="52"/>
        <v>30</v>
      </c>
      <c r="J132" s="63" t="s">
        <v>285</v>
      </c>
      <c r="K132" s="53"/>
      <c r="L132" s="92"/>
      <c r="M132" s="92">
        <v>0.03</v>
      </c>
      <c r="N132" s="133">
        <f t="shared" si="49"/>
        <v>0.03</v>
      </c>
      <c r="O132" s="133">
        <f t="shared" si="49"/>
        <v>0.03</v>
      </c>
      <c r="P132" s="133">
        <f t="shared" si="49"/>
        <v>0.03</v>
      </c>
    </row>
    <row r="133" spans="1:16" ht="16" customHeight="1" x14ac:dyDescent="0.15">
      <c r="B133" s="63" t="s">
        <v>163</v>
      </c>
      <c r="C133" s="52"/>
      <c r="E133" s="129"/>
      <c r="F133" s="70">
        <f>+F132*365.25*F$125</f>
        <v>7670.2499999999991</v>
      </c>
      <c r="G133" s="70">
        <f t="shared" ref="G133:H133" si="53">+G132*365.25*G$125</f>
        <v>7670.2499999999991</v>
      </c>
      <c r="H133" s="70">
        <f t="shared" si="53"/>
        <v>7670.2499999999991</v>
      </c>
      <c r="J133" s="63" t="s">
        <v>286</v>
      </c>
      <c r="K133" s="53"/>
      <c r="L133" s="92"/>
      <c r="M133" s="92">
        <v>0.04</v>
      </c>
      <c r="N133" s="133">
        <f t="shared" si="49"/>
        <v>0.04</v>
      </c>
      <c r="O133" s="133">
        <f t="shared" si="49"/>
        <v>0.04</v>
      </c>
      <c r="P133" s="133">
        <f t="shared" si="49"/>
        <v>0.04</v>
      </c>
    </row>
    <row r="134" spans="1:16" ht="16" customHeight="1" x14ac:dyDescent="0.15">
      <c r="B134" s="96" t="s">
        <v>165</v>
      </c>
      <c r="C134" s="52"/>
      <c r="E134" s="82"/>
      <c r="F134" s="68"/>
      <c r="G134" s="68"/>
      <c r="H134" s="68"/>
      <c r="J134" s="63" t="s">
        <v>59</v>
      </c>
      <c r="K134" s="53"/>
      <c r="L134" s="92"/>
      <c r="M134" s="92">
        <v>0.01</v>
      </c>
      <c r="N134" s="133">
        <f t="shared" si="49"/>
        <v>0.01</v>
      </c>
      <c r="O134" s="133">
        <f t="shared" si="49"/>
        <v>0.01</v>
      </c>
      <c r="P134" s="133">
        <f t="shared" si="49"/>
        <v>0.01</v>
      </c>
    </row>
    <row r="135" spans="1:16" ht="16" customHeight="1" x14ac:dyDescent="0.15">
      <c r="B135" s="63" t="s">
        <v>161</v>
      </c>
      <c r="C135" s="52"/>
      <c r="E135" s="87">
        <v>10</v>
      </c>
      <c r="F135" s="70">
        <f>+$E135</f>
        <v>10</v>
      </c>
      <c r="G135" s="70">
        <f t="shared" si="52"/>
        <v>10</v>
      </c>
      <c r="H135" s="70">
        <f t="shared" si="52"/>
        <v>10</v>
      </c>
      <c r="J135" s="63" t="s">
        <v>287</v>
      </c>
      <c r="K135" s="53"/>
      <c r="L135" s="92"/>
      <c r="M135" s="92">
        <v>3.5000000000000003E-2</v>
      </c>
      <c r="N135" s="133">
        <f t="shared" si="49"/>
        <v>3.5000000000000003E-2</v>
      </c>
      <c r="O135" s="133">
        <f t="shared" si="49"/>
        <v>3.5000000000000003E-2</v>
      </c>
      <c r="P135" s="133">
        <f t="shared" si="49"/>
        <v>3.5000000000000003E-2</v>
      </c>
    </row>
    <row r="136" spans="1:16" ht="16" customHeight="1" x14ac:dyDescent="0.15">
      <c r="B136" s="63" t="s">
        <v>163</v>
      </c>
      <c r="C136" s="52"/>
      <c r="E136" s="87"/>
      <c r="F136" s="70">
        <f>+F135*365*F$125</f>
        <v>2555</v>
      </c>
      <c r="G136" s="70">
        <f t="shared" ref="G136:H136" si="54">+G135*365*G$125</f>
        <v>2555</v>
      </c>
      <c r="H136" s="70">
        <f t="shared" si="54"/>
        <v>2555</v>
      </c>
      <c r="J136" s="155" t="s">
        <v>291</v>
      </c>
    </row>
    <row r="137" spans="1:16" ht="16" customHeight="1" x14ac:dyDescent="0.15">
      <c r="B137" s="74" t="s">
        <v>204</v>
      </c>
      <c r="C137" s="75"/>
      <c r="D137" s="75"/>
      <c r="E137" s="76">
        <f>+SUM(F137:H137)</f>
        <v>6298420.2023944454</v>
      </c>
      <c r="F137" s="77">
        <f>+F122*(F133+F136)</f>
        <v>3546188.2767500007</v>
      </c>
      <c r="G137" s="77">
        <f t="shared" ref="G137:H137" si="55">+G122*(G133+G136)</f>
        <v>2371058.2373333336</v>
      </c>
      <c r="H137" s="77">
        <f t="shared" si="55"/>
        <v>381173.68831111112</v>
      </c>
      <c r="J137" s="63" t="s">
        <v>288</v>
      </c>
      <c r="K137" s="53"/>
      <c r="L137" s="92"/>
      <c r="M137" s="92">
        <v>0.03</v>
      </c>
      <c r="N137" s="133">
        <f>+$M137</f>
        <v>0.03</v>
      </c>
      <c r="O137" s="133">
        <f>+$M137</f>
        <v>0.03</v>
      </c>
      <c r="P137" s="133">
        <f>+$M137</f>
        <v>0.03</v>
      </c>
    </row>
    <row r="138" spans="1:16" ht="16" customHeight="1" x14ac:dyDescent="0.15">
      <c r="B138" s="50" t="s">
        <v>180</v>
      </c>
      <c r="J138" s="155" t="s">
        <v>292</v>
      </c>
    </row>
    <row r="139" spans="1:16" ht="16" customHeight="1" x14ac:dyDescent="0.15">
      <c r="B139" s="63" t="s">
        <v>168</v>
      </c>
      <c r="F139" s="61">
        <v>0</v>
      </c>
      <c r="G139" s="61">
        <v>35000</v>
      </c>
      <c r="H139" s="61">
        <v>0</v>
      </c>
      <c r="J139" s="63" t="s">
        <v>9</v>
      </c>
      <c r="K139" s="53"/>
      <c r="L139" s="92"/>
      <c r="M139" s="92">
        <v>0.4</v>
      </c>
      <c r="N139" s="133">
        <f>+$M139</f>
        <v>0.4</v>
      </c>
      <c r="O139" s="133">
        <f>+$M139</f>
        <v>0.4</v>
      </c>
      <c r="P139" s="133">
        <f>+$M139</f>
        <v>0.4</v>
      </c>
    </row>
    <row r="140" spans="1:16" ht="16" customHeight="1" x14ac:dyDescent="0.15">
      <c r="B140" s="63" t="s">
        <v>371</v>
      </c>
      <c r="F140" s="61">
        <v>90</v>
      </c>
      <c r="G140" s="61">
        <v>90</v>
      </c>
      <c r="H140" s="61">
        <v>90</v>
      </c>
    </row>
    <row r="141" spans="1:16" ht="16" customHeight="1" x14ac:dyDescent="0.15">
      <c r="A141" s="535"/>
      <c r="B141" s="63" t="s">
        <v>207</v>
      </c>
      <c r="F141" s="65">
        <f>+F139/20</f>
        <v>0</v>
      </c>
      <c r="G141" s="65">
        <f>+G139/20</f>
        <v>1750</v>
      </c>
      <c r="H141" s="65">
        <f t="shared" ref="H141" si="56">+H139/50</f>
        <v>0</v>
      </c>
    </row>
    <row r="142" spans="1:16" ht="16" customHeight="1" x14ac:dyDescent="0.15">
      <c r="B142" s="63" t="s">
        <v>208</v>
      </c>
      <c r="F142" s="101">
        <v>10</v>
      </c>
      <c r="G142" s="101">
        <v>10</v>
      </c>
      <c r="H142" s="101">
        <v>10</v>
      </c>
      <c r="J142" s="62" t="s">
        <v>607</v>
      </c>
    </row>
    <row r="143" spans="1:16" ht="16" customHeight="1" x14ac:dyDescent="0.15">
      <c r="B143" s="63" t="s">
        <v>206</v>
      </c>
      <c r="F143" s="70" t="str">
        <f>+IFERROR(F142*F141*F140/F139,"")</f>
        <v/>
      </c>
      <c r="G143" s="70">
        <f t="shared" ref="G143" si="57">+IFERROR(G142*G141*G140/G139,"")</f>
        <v>45</v>
      </c>
      <c r="H143" s="70" t="str">
        <f t="shared" ref="H143" si="58">+IFERROR(H142*H141*H140/H139,"")</f>
        <v/>
      </c>
      <c r="J143" s="63" t="s">
        <v>141</v>
      </c>
      <c r="L143" s="87"/>
      <c r="M143" s="87"/>
      <c r="N143" s="68">
        <f t="shared" ref="N143:P144" si="59">+N117*$E$77/$E$76</f>
        <v>7.9354545454545447</v>
      </c>
      <c r="O143" s="68">
        <f t="shared" si="59"/>
        <v>8.256046909090907</v>
      </c>
      <c r="P143" s="68">
        <f t="shared" si="59"/>
        <v>8.5895912042181806</v>
      </c>
    </row>
    <row r="144" spans="1:16" ht="16" customHeight="1" x14ac:dyDescent="0.15">
      <c r="B144" s="74" t="s">
        <v>205</v>
      </c>
      <c r="C144" s="75"/>
      <c r="D144" s="75"/>
      <c r="E144" s="76">
        <f>+SUM(F144:H144)</f>
        <v>1575000</v>
      </c>
      <c r="F144" s="77">
        <f>+IFERROR(F143*F139,0)</f>
        <v>0</v>
      </c>
      <c r="G144" s="77">
        <f t="shared" ref="G144:H144" si="60">+IFERROR(G143*G139,0)</f>
        <v>1575000</v>
      </c>
      <c r="H144" s="77">
        <f t="shared" si="60"/>
        <v>0</v>
      </c>
      <c r="J144" s="63" t="s">
        <v>928</v>
      </c>
      <c r="L144" s="87"/>
      <c r="M144" s="87"/>
      <c r="N144" s="68">
        <f t="shared" si="59"/>
        <v>8.209090909090909</v>
      </c>
      <c r="O144" s="68">
        <f t="shared" si="59"/>
        <v>8.5407381818181811</v>
      </c>
      <c r="P144" s="68">
        <f t="shared" si="59"/>
        <v>8.8857840043636358</v>
      </c>
    </row>
    <row r="145" spans="1:16" ht="16" customHeight="1" x14ac:dyDescent="0.15">
      <c r="B145" s="50" t="s">
        <v>293</v>
      </c>
      <c r="D145" s="51"/>
      <c r="E145" s="51"/>
      <c r="J145" s="63" t="s">
        <v>25</v>
      </c>
      <c r="L145" s="87"/>
      <c r="M145" s="87"/>
      <c r="N145" s="100">
        <v>7</v>
      </c>
      <c r="O145" s="100">
        <f t="shared" ref="O145:P145" si="61">+N145*(1+0.02)^2</f>
        <v>7.2827999999999999</v>
      </c>
      <c r="P145" s="100">
        <f t="shared" si="61"/>
        <v>7.5770251200000001</v>
      </c>
    </row>
    <row r="146" spans="1:16" ht="16" customHeight="1" x14ac:dyDescent="0.15">
      <c r="B146" s="63" t="s">
        <v>294</v>
      </c>
      <c r="E146" s="66">
        <v>0.65</v>
      </c>
      <c r="F146" s="67">
        <f>+$E146</f>
        <v>0.65</v>
      </c>
      <c r="G146" s="67">
        <f t="shared" ref="G146:H146" si="62">+$E146</f>
        <v>0.65</v>
      </c>
      <c r="H146" s="67">
        <f t="shared" si="62"/>
        <v>0.65</v>
      </c>
      <c r="J146" s="63" t="s">
        <v>145</v>
      </c>
      <c r="L146" s="87"/>
      <c r="M146" s="87"/>
      <c r="N146" s="100">
        <v>7</v>
      </c>
      <c r="O146" s="100">
        <f t="shared" ref="O146:P146" si="63">+N146*(1+0.02)^2</f>
        <v>7.2827999999999999</v>
      </c>
      <c r="P146" s="100">
        <f t="shared" si="63"/>
        <v>7.5770251200000001</v>
      </c>
    </row>
    <row r="147" spans="1:16" ht="16" customHeight="1" x14ac:dyDescent="0.15">
      <c r="B147" s="63" t="s">
        <v>295</v>
      </c>
      <c r="E147" s="69"/>
      <c r="F147" s="218">
        <f>+F126-10</f>
        <v>170</v>
      </c>
      <c r="G147" s="218">
        <f>+G126-10</f>
        <v>125</v>
      </c>
      <c r="H147" s="218">
        <f>+H126-10</f>
        <v>150</v>
      </c>
      <c r="J147" s="63" t="s">
        <v>146</v>
      </c>
      <c r="L147" s="87"/>
      <c r="M147" s="87"/>
      <c r="N147" s="100">
        <v>7.5</v>
      </c>
      <c r="O147" s="100">
        <f t="shared" ref="O147:P147" si="64">+N147*(1+0.02)^2</f>
        <v>7.8029999999999999</v>
      </c>
      <c r="P147" s="100">
        <f t="shared" si="64"/>
        <v>8.1182411999999999</v>
      </c>
    </row>
    <row r="148" spans="1:16" ht="16" customHeight="1" x14ac:dyDescent="0.15">
      <c r="B148" s="63" t="s">
        <v>297</v>
      </c>
      <c r="E148" s="66">
        <v>0.7</v>
      </c>
      <c r="F148" s="67">
        <f>+$E148</f>
        <v>0.7</v>
      </c>
      <c r="G148" s="67">
        <f t="shared" ref="G148:H148" si="65">+$E148</f>
        <v>0.7</v>
      </c>
      <c r="H148" s="67">
        <f t="shared" si="65"/>
        <v>0.7</v>
      </c>
      <c r="J148" s="63" t="s">
        <v>235</v>
      </c>
      <c r="L148" s="87"/>
      <c r="M148" s="87"/>
      <c r="N148" s="100">
        <v>2</v>
      </c>
      <c r="O148" s="100">
        <f t="shared" ref="O148:P148" si="66">+N148*(1+0.02)^2</f>
        <v>2.0808</v>
      </c>
      <c r="P148" s="100">
        <f t="shared" si="66"/>
        <v>2.16486432</v>
      </c>
    </row>
    <row r="149" spans="1:16" ht="16" customHeight="1" x14ac:dyDescent="0.15">
      <c r="B149" s="63" t="s">
        <v>298</v>
      </c>
      <c r="E149" s="69"/>
      <c r="F149" s="218">
        <f>+F126-5</f>
        <v>175</v>
      </c>
      <c r="G149" s="218">
        <f>+G126-5</f>
        <v>130</v>
      </c>
      <c r="H149" s="218">
        <f>+H126-5</f>
        <v>155</v>
      </c>
    </row>
    <row r="150" spans="1:16" ht="16" customHeight="1" x14ac:dyDescent="0.15">
      <c r="B150" s="63"/>
      <c r="E150" s="69"/>
      <c r="F150" s="218"/>
      <c r="G150" s="218"/>
      <c r="H150" s="218"/>
    </row>
    <row r="151" spans="1:16" ht="16" customHeight="1" thickBot="1" x14ac:dyDescent="0.2">
      <c r="J151" s="1048" t="s">
        <v>55</v>
      </c>
      <c r="K151" s="1048"/>
      <c r="L151" s="856"/>
      <c r="M151" s="49" t="s">
        <v>63</v>
      </c>
      <c r="N151" s="49" t="str">
        <f>+F$42</f>
        <v>I</v>
      </c>
      <c r="O151" s="49" t="str">
        <f>+G$42</f>
        <v>II</v>
      </c>
      <c r="P151" s="49" t="str">
        <f>+H$42</f>
        <v>III</v>
      </c>
    </row>
    <row r="152" spans="1:16" ht="16" customHeight="1" x14ac:dyDescent="0.15">
      <c r="J152" s="62" t="s">
        <v>147</v>
      </c>
    </row>
    <row r="153" spans="1:16" ht="16" customHeight="1" thickBot="1" x14ac:dyDescent="0.2">
      <c r="B153" s="1048" t="s">
        <v>166</v>
      </c>
      <c r="C153" s="1048"/>
      <c r="D153" s="53"/>
      <c r="E153" s="49" t="s">
        <v>63</v>
      </c>
      <c r="F153" s="49" t="str">
        <f>+F$42</f>
        <v>I</v>
      </c>
      <c r="G153" s="49" t="str">
        <f>+G$42</f>
        <v>II</v>
      </c>
      <c r="H153" s="49" t="str">
        <f>+H$42</f>
        <v>III</v>
      </c>
      <c r="J153" s="63" t="s">
        <v>141</v>
      </c>
      <c r="K153" s="53"/>
      <c r="L153" s="88"/>
      <c r="M153" s="88">
        <v>5.7500000000000002E-2</v>
      </c>
      <c r="N153" s="89">
        <f t="shared" ref="N153:P161" si="67">+$M153</f>
        <v>5.7500000000000002E-2</v>
      </c>
      <c r="O153" s="89">
        <f t="shared" si="67"/>
        <v>5.7500000000000002E-2</v>
      </c>
      <c r="P153" s="89">
        <f t="shared" si="67"/>
        <v>5.7500000000000002E-2</v>
      </c>
    </row>
    <row r="154" spans="1:16" ht="16" customHeight="1" x14ac:dyDescent="0.15">
      <c r="B154" s="54" t="s">
        <v>473</v>
      </c>
      <c r="C154" s="53"/>
      <c r="D154" s="53"/>
      <c r="E154" s="60"/>
      <c r="F154" s="61"/>
      <c r="G154" s="61"/>
      <c r="H154" s="61"/>
      <c r="J154" s="63" t="s">
        <v>928</v>
      </c>
      <c r="K154" s="53"/>
      <c r="L154" s="88"/>
      <c r="M154" s="88">
        <v>5.5E-2</v>
      </c>
      <c r="N154" s="89">
        <f t="shared" si="67"/>
        <v>5.5E-2</v>
      </c>
      <c r="O154" s="89">
        <f t="shared" si="67"/>
        <v>5.5E-2</v>
      </c>
      <c r="P154" s="89">
        <f t="shared" si="67"/>
        <v>5.5E-2</v>
      </c>
    </row>
    <row r="155" spans="1:16" ht="16" customHeight="1" x14ac:dyDescent="0.15">
      <c r="B155" s="63" t="s">
        <v>168</v>
      </c>
      <c r="C155" s="53"/>
      <c r="D155" s="53"/>
      <c r="E155" s="64"/>
      <c r="F155" s="369">
        <f>+'Parcel Breakdown'!AR24-F163</f>
        <v>168300</v>
      </c>
      <c r="G155" s="369">
        <f>+'Parcel Breakdown'!AR25</f>
        <v>138600</v>
      </c>
      <c r="H155" s="369">
        <f>+'Parcel Breakdown'!AR26</f>
        <v>70497</v>
      </c>
      <c r="J155" s="63" t="s">
        <v>25</v>
      </c>
      <c r="K155" s="53"/>
      <c r="L155" s="88"/>
      <c r="M155" s="88">
        <v>6.5000000000000002E-2</v>
      </c>
      <c r="N155" s="89">
        <f t="shared" si="67"/>
        <v>6.5000000000000002E-2</v>
      </c>
      <c r="O155" s="89">
        <f t="shared" si="67"/>
        <v>6.5000000000000002E-2</v>
      </c>
      <c r="P155" s="89">
        <f t="shared" si="67"/>
        <v>6.5000000000000002E-2</v>
      </c>
    </row>
    <row r="156" spans="1:16" ht="16" customHeight="1" x14ac:dyDescent="0.15">
      <c r="A156" s="535"/>
      <c r="B156" s="63" t="s">
        <v>119</v>
      </c>
      <c r="C156" s="53"/>
      <c r="D156" s="53"/>
      <c r="E156" s="53"/>
      <c r="F156" s="100">
        <v>23</v>
      </c>
      <c r="G156" s="100">
        <f>+F156*(1+0.02)^2</f>
        <v>23.929200000000002</v>
      </c>
      <c r="H156" s="100">
        <f>+F156*(1+0.02)^4</f>
        <v>24.895939679999998</v>
      </c>
      <c r="J156" s="63" t="s">
        <v>26</v>
      </c>
      <c r="K156" s="53"/>
      <c r="L156" s="88"/>
      <c r="M156" s="88">
        <v>0.08</v>
      </c>
      <c r="N156" s="89">
        <f t="shared" si="67"/>
        <v>0.08</v>
      </c>
      <c r="O156" s="89">
        <f t="shared" si="67"/>
        <v>0.08</v>
      </c>
      <c r="P156" s="89">
        <f t="shared" si="67"/>
        <v>0.08</v>
      </c>
    </row>
    <row r="157" spans="1:16" ht="16" customHeight="1" x14ac:dyDescent="0.15">
      <c r="A157" s="535"/>
      <c r="B157" s="63" t="s">
        <v>169</v>
      </c>
      <c r="C157" s="53"/>
      <c r="D157" s="53"/>
      <c r="E157" s="69"/>
      <c r="F157" s="70">
        <f>+F156*F155</f>
        <v>3870900</v>
      </c>
      <c r="G157" s="70">
        <f t="shared" ref="G157:H157" si="68">+G156*G155</f>
        <v>3316587.12</v>
      </c>
      <c r="H157" s="70">
        <f t="shared" si="68"/>
        <v>1755089.0596209599</v>
      </c>
      <c r="J157" s="63" t="s">
        <v>145</v>
      </c>
      <c r="K157" s="53"/>
      <c r="L157" s="88"/>
      <c r="M157" s="88">
        <v>6.7500000000000004E-2</v>
      </c>
      <c r="N157" s="89">
        <f t="shared" si="67"/>
        <v>6.7500000000000004E-2</v>
      </c>
      <c r="O157" s="89">
        <f t="shared" si="67"/>
        <v>6.7500000000000004E-2</v>
      </c>
      <c r="P157" s="89">
        <f t="shared" si="67"/>
        <v>6.7500000000000004E-2</v>
      </c>
    </row>
    <row r="158" spans="1:16" ht="16" customHeight="1" x14ac:dyDescent="0.15">
      <c r="B158" s="54" t="s">
        <v>19</v>
      </c>
      <c r="C158" s="53"/>
      <c r="D158" s="53"/>
      <c r="E158" s="60"/>
      <c r="F158" s="61"/>
      <c r="G158" s="61"/>
      <c r="H158" s="61"/>
      <c r="J158" s="63" t="s">
        <v>146</v>
      </c>
      <c r="K158" s="53"/>
      <c r="L158" s="88"/>
      <c r="M158" s="88">
        <v>6.5000000000000002E-2</v>
      </c>
      <c r="N158" s="89">
        <f t="shared" si="67"/>
        <v>6.5000000000000002E-2</v>
      </c>
      <c r="O158" s="89">
        <f t="shared" si="67"/>
        <v>6.5000000000000002E-2</v>
      </c>
      <c r="P158" s="89">
        <f t="shared" si="67"/>
        <v>6.5000000000000002E-2</v>
      </c>
    </row>
    <row r="159" spans="1:16" ht="16" customHeight="1" x14ac:dyDescent="0.15">
      <c r="B159" s="63" t="s">
        <v>168</v>
      </c>
      <c r="C159" s="53"/>
      <c r="D159" s="53"/>
      <c r="E159" s="64"/>
      <c r="F159" s="61">
        <v>0</v>
      </c>
      <c r="G159" s="61">
        <v>0</v>
      </c>
      <c r="H159" s="61">
        <v>0</v>
      </c>
      <c r="J159" s="63" t="s">
        <v>235</v>
      </c>
      <c r="L159" s="88"/>
      <c r="M159" s="88">
        <v>5.5E-2</v>
      </c>
      <c r="N159" s="89">
        <f t="shared" si="67"/>
        <v>5.5E-2</v>
      </c>
      <c r="O159" s="89">
        <f t="shared" si="67"/>
        <v>5.5E-2</v>
      </c>
      <c r="P159" s="89">
        <f t="shared" si="67"/>
        <v>5.5E-2</v>
      </c>
    </row>
    <row r="160" spans="1:16" ht="16" customHeight="1" x14ac:dyDescent="0.15">
      <c r="B160" s="63" t="s">
        <v>119</v>
      </c>
      <c r="C160" s="53"/>
      <c r="D160" s="53"/>
      <c r="E160" s="53"/>
      <c r="F160" s="100">
        <v>0</v>
      </c>
      <c r="G160" s="100">
        <v>0</v>
      </c>
      <c r="H160" s="100">
        <v>0</v>
      </c>
      <c r="J160" s="63" t="s">
        <v>221</v>
      </c>
      <c r="L160" s="88"/>
      <c r="M160" s="88">
        <v>6.5000000000000002E-2</v>
      </c>
      <c r="N160" s="89">
        <f t="shared" si="67"/>
        <v>6.5000000000000002E-2</v>
      </c>
      <c r="O160" s="89">
        <f t="shared" si="67"/>
        <v>6.5000000000000002E-2</v>
      </c>
      <c r="P160" s="89">
        <f t="shared" si="67"/>
        <v>6.5000000000000002E-2</v>
      </c>
    </row>
    <row r="161" spans="2:18" ht="16" customHeight="1" x14ac:dyDescent="0.15">
      <c r="B161" s="63" t="s">
        <v>169</v>
      </c>
      <c r="C161" s="53"/>
      <c r="D161" s="53"/>
      <c r="E161" s="69"/>
      <c r="F161" s="70">
        <f>+F160*F159</f>
        <v>0</v>
      </c>
      <c r="G161" s="70">
        <f t="shared" ref="G161:H161" si="69">+G160*G159</f>
        <v>0</v>
      </c>
      <c r="H161" s="70">
        <f t="shared" si="69"/>
        <v>0</v>
      </c>
      <c r="J161" s="51" t="s">
        <v>149</v>
      </c>
      <c r="L161" s="66"/>
      <c r="M161" s="66">
        <v>0.02</v>
      </c>
      <c r="N161" s="67">
        <f t="shared" si="67"/>
        <v>0.02</v>
      </c>
      <c r="O161" s="67">
        <f t="shared" si="67"/>
        <v>0.02</v>
      </c>
      <c r="P161" s="67">
        <f t="shared" si="67"/>
        <v>0.02</v>
      </c>
    </row>
    <row r="162" spans="2:18" ht="16" customHeight="1" x14ac:dyDescent="0.15">
      <c r="B162" s="54" t="s">
        <v>328</v>
      </c>
      <c r="E162" s="60"/>
      <c r="F162" s="61"/>
      <c r="G162" s="61"/>
      <c r="H162" s="61"/>
    </row>
    <row r="163" spans="2:18" ht="16" customHeight="1" thickBot="1" x14ac:dyDescent="0.2">
      <c r="B163" s="63" t="s">
        <v>168</v>
      </c>
      <c r="E163" s="64"/>
      <c r="F163" s="369">
        <f>+'Parcel Breakdown'!AR8</f>
        <v>45900</v>
      </c>
      <c r="G163" s="61">
        <v>0</v>
      </c>
      <c r="H163" s="61">
        <v>0</v>
      </c>
      <c r="J163" s="1048" t="s">
        <v>151</v>
      </c>
      <c r="K163" s="1048"/>
      <c r="L163" s="856"/>
      <c r="M163" s="49" t="s">
        <v>63</v>
      </c>
      <c r="N163" s="49" t="str">
        <f>+F$42</f>
        <v>I</v>
      </c>
      <c r="O163" s="49" t="str">
        <f>+G$42</f>
        <v>II</v>
      </c>
      <c r="P163" s="49" t="str">
        <f>+H$42</f>
        <v>III</v>
      </c>
    </row>
    <row r="164" spans="2:18" ht="16" customHeight="1" x14ac:dyDescent="0.15">
      <c r="B164" s="63" t="s">
        <v>119</v>
      </c>
      <c r="E164" s="53"/>
      <c r="F164" s="100">
        <v>28</v>
      </c>
      <c r="G164" s="100">
        <v>28</v>
      </c>
      <c r="H164" s="100">
        <v>28</v>
      </c>
      <c r="J164" s="51" t="s">
        <v>231</v>
      </c>
      <c r="N164" s="90">
        <v>2.8500000000000001E-2</v>
      </c>
      <c r="O164" s="90">
        <v>0.03</v>
      </c>
      <c r="P164" s="90">
        <v>0.03</v>
      </c>
    </row>
    <row r="165" spans="2:18" ht="16" customHeight="1" x14ac:dyDescent="0.15">
      <c r="B165" s="63" t="s">
        <v>169</v>
      </c>
      <c r="E165" s="69"/>
      <c r="F165" s="70">
        <f>+F164*F163</f>
        <v>1285200</v>
      </c>
      <c r="G165" s="70">
        <f t="shared" ref="G165:H165" si="70">+G164*G163</f>
        <v>0</v>
      </c>
      <c r="H165" s="70">
        <f t="shared" si="70"/>
        <v>0</v>
      </c>
    </row>
    <row r="166" spans="2:18" ht="16" customHeight="1" x14ac:dyDescent="0.15">
      <c r="B166" s="74" t="s">
        <v>175</v>
      </c>
      <c r="C166" s="75"/>
      <c r="D166" s="75"/>
      <c r="E166" s="76">
        <f>+SUM(F166:H166)</f>
        <v>10227776.179620961</v>
      </c>
      <c r="F166" s="77">
        <f>+F157+F161+F165</f>
        <v>5156100</v>
      </c>
      <c r="G166" s="77">
        <f t="shared" ref="G166:H166" si="71">+G157+G161+G165</f>
        <v>3316587.12</v>
      </c>
      <c r="H166" s="77">
        <f t="shared" si="71"/>
        <v>1755089.0596209599</v>
      </c>
    </row>
    <row r="167" spans="2:18" ht="16" customHeight="1" x14ac:dyDescent="0.15">
      <c r="B167" s="78" t="s">
        <v>134</v>
      </c>
      <c r="C167" s="79"/>
      <c r="D167" s="79"/>
      <c r="E167" s="80">
        <f>+SUM(F167:H167)</f>
        <v>423297</v>
      </c>
      <c r="F167" s="81">
        <f>+F155+F159+F163</f>
        <v>214200</v>
      </c>
      <c r="G167" s="81">
        <f t="shared" ref="G167:H167" si="72">+G155+G159+G163</f>
        <v>138600</v>
      </c>
      <c r="H167" s="81">
        <f t="shared" si="72"/>
        <v>70497</v>
      </c>
      <c r="J167" s="62" t="s">
        <v>361</v>
      </c>
    </row>
    <row r="168" spans="2:18" ht="16" customHeight="1" x14ac:dyDescent="0.15">
      <c r="B168" s="83" t="s">
        <v>137</v>
      </c>
      <c r="C168" s="84"/>
      <c r="D168" s="84"/>
      <c r="E168" s="94">
        <f>+IFERROR(E166/E167,"")</f>
        <v>24.162174973177134</v>
      </c>
      <c r="F168" s="95">
        <f>+IFERROR(F166/F167,"")</f>
        <v>24.071428571428573</v>
      </c>
      <c r="G168" s="95">
        <f t="shared" ref="G168:H168" si="73">+IFERROR(G166/G167,"")</f>
        <v>23.929200000000002</v>
      </c>
      <c r="H168" s="95">
        <f t="shared" si="73"/>
        <v>24.895939679999998</v>
      </c>
      <c r="J168" s="63" t="s">
        <v>154</v>
      </c>
      <c r="K168" s="53"/>
      <c r="L168" s="66"/>
      <c r="M168" s="66"/>
      <c r="N168" s="91">
        <v>0.6</v>
      </c>
      <c r="O168" s="91">
        <v>0.6</v>
      </c>
      <c r="P168" s="91">
        <v>0.6</v>
      </c>
    </row>
    <row r="169" spans="2:18" ht="16" customHeight="1" x14ac:dyDescent="0.15">
      <c r="J169" s="63" t="s">
        <v>155</v>
      </c>
      <c r="K169" s="53"/>
      <c r="L169" s="92"/>
      <c r="M169" s="92"/>
      <c r="N169" s="93">
        <v>375</v>
      </c>
      <c r="O169" s="93">
        <v>375</v>
      </c>
      <c r="P169" s="93">
        <v>375</v>
      </c>
      <c r="R169" s="535"/>
    </row>
    <row r="170" spans="2:18" ht="16" customHeight="1" thickBot="1" x14ac:dyDescent="0.2">
      <c r="B170" s="1048" t="s">
        <v>176</v>
      </c>
      <c r="C170" s="1048"/>
      <c r="D170" s="53"/>
      <c r="E170" s="49" t="s">
        <v>63</v>
      </c>
      <c r="F170" s="49" t="str">
        <f>+F$42</f>
        <v>I</v>
      </c>
      <c r="G170" s="49" t="str">
        <f>+G$42</f>
        <v>II</v>
      </c>
      <c r="H170" s="49" t="str">
        <f>+H$42</f>
        <v>III</v>
      </c>
      <c r="J170" s="63" t="s">
        <v>186</v>
      </c>
      <c r="N170" s="89">
        <f>+N164+(N169/10000)</f>
        <v>6.6000000000000003E-2</v>
      </c>
      <c r="O170" s="89">
        <f>+O164+(O169/10000)</f>
        <v>6.7500000000000004E-2</v>
      </c>
      <c r="P170" s="89">
        <f>+P164+(P169/10000)</f>
        <v>6.7500000000000004E-2</v>
      </c>
    </row>
    <row r="171" spans="2:18" ht="16" customHeight="1" x14ac:dyDescent="0.15">
      <c r="B171" s="54" t="s">
        <v>474</v>
      </c>
      <c r="C171" s="53"/>
      <c r="D171" s="53"/>
      <c r="E171" s="60"/>
      <c r="F171" s="61"/>
      <c r="G171" s="61"/>
      <c r="H171" s="61"/>
      <c r="J171" s="63" t="s">
        <v>156</v>
      </c>
      <c r="K171" s="53"/>
      <c r="L171" s="66"/>
      <c r="M171" s="66"/>
      <c r="N171" s="90">
        <v>0.01</v>
      </c>
      <c r="O171" s="90">
        <v>0.01</v>
      </c>
      <c r="P171" s="90">
        <v>0.01</v>
      </c>
    </row>
    <row r="172" spans="2:18" ht="16" customHeight="1" x14ac:dyDescent="0.15">
      <c r="B172" s="63" t="s">
        <v>168</v>
      </c>
      <c r="C172" s="53"/>
      <c r="D172" s="53"/>
      <c r="E172" s="64"/>
      <c r="F172" s="369">
        <f>+'Parcel Breakdown'!AT24-'Assumptions and Sensis'!F180</f>
        <v>60000</v>
      </c>
      <c r="G172" s="61">
        <v>1E-4</v>
      </c>
      <c r="H172" s="61">
        <v>0</v>
      </c>
      <c r="J172" s="63" t="s">
        <v>733</v>
      </c>
      <c r="L172" s="535"/>
      <c r="M172" s="535"/>
      <c r="N172" s="91">
        <v>0.65</v>
      </c>
      <c r="O172" s="91">
        <v>0.65</v>
      </c>
      <c r="P172" s="91">
        <v>0.65</v>
      </c>
    </row>
    <row r="173" spans="2:18" ht="16" customHeight="1" x14ac:dyDescent="0.15">
      <c r="B173" s="63" t="s">
        <v>119</v>
      </c>
      <c r="C173" s="53"/>
      <c r="D173" s="53"/>
      <c r="E173" s="53"/>
      <c r="F173" s="100">
        <v>0</v>
      </c>
      <c r="G173" s="100">
        <v>0</v>
      </c>
      <c r="H173" s="100">
        <v>0</v>
      </c>
      <c r="J173" s="63"/>
      <c r="L173" s="535"/>
      <c r="M173" s="535"/>
      <c r="N173" s="91"/>
      <c r="O173" s="91"/>
      <c r="P173" s="91"/>
      <c r="R173" s="220"/>
    </row>
    <row r="174" spans="2:18" ht="16" customHeight="1" x14ac:dyDescent="0.15">
      <c r="B174" s="63" t="s">
        <v>169</v>
      </c>
      <c r="C174" s="53"/>
      <c r="D174" s="53"/>
      <c r="E174" s="69"/>
      <c r="F174" s="70">
        <f>+F173*F172</f>
        <v>0</v>
      </c>
      <c r="G174" s="70">
        <f t="shared" ref="G174:H174" si="74">+G173*G172</f>
        <v>0</v>
      </c>
      <c r="H174" s="70">
        <f t="shared" si="74"/>
        <v>0</v>
      </c>
      <c r="J174" s="62" t="s">
        <v>157</v>
      </c>
      <c r="K174" s="53"/>
      <c r="L174" s="66"/>
      <c r="M174" s="66"/>
      <c r="N174" s="67"/>
      <c r="O174" s="67"/>
      <c r="P174" s="67"/>
    </row>
    <row r="175" spans="2:18" ht="16" customHeight="1" x14ac:dyDescent="0.15">
      <c r="B175" s="54" t="s">
        <v>374</v>
      </c>
      <c r="C175" s="53"/>
      <c r="D175" s="53"/>
      <c r="E175" s="60"/>
      <c r="F175" s="61"/>
      <c r="G175" s="61"/>
      <c r="H175" s="61"/>
      <c r="J175" s="63" t="s">
        <v>182</v>
      </c>
      <c r="N175" s="91">
        <v>0.65</v>
      </c>
      <c r="O175" s="91">
        <v>0.65</v>
      </c>
      <c r="P175" s="91">
        <v>0.65</v>
      </c>
    </row>
    <row r="176" spans="2:18" ht="16" customHeight="1" x14ac:dyDescent="0.15">
      <c r="B176" s="63" t="s">
        <v>168</v>
      </c>
      <c r="C176" s="53"/>
      <c r="D176" s="53"/>
      <c r="E176" s="64"/>
      <c r="F176" s="61">
        <v>0</v>
      </c>
      <c r="G176" s="61">
        <v>0</v>
      </c>
      <c r="H176" s="369">
        <f>+'Parcel Breakdown'!$AT$26</f>
        <v>78210</v>
      </c>
      <c r="J176" s="63" t="s">
        <v>181</v>
      </c>
      <c r="N176" s="97">
        <v>1.25</v>
      </c>
      <c r="O176" s="97">
        <v>1.25</v>
      </c>
      <c r="P176" s="97">
        <v>1.25</v>
      </c>
    </row>
    <row r="177" spans="1:18" ht="16" customHeight="1" x14ac:dyDescent="0.15">
      <c r="B177" s="63" t="s">
        <v>119</v>
      </c>
      <c r="C177" s="53"/>
      <c r="D177" s="53"/>
      <c r="E177" s="53"/>
      <c r="F177" s="100">
        <v>10</v>
      </c>
      <c r="G177" s="100">
        <v>10</v>
      </c>
      <c r="H177" s="100">
        <v>10</v>
      </c>
      <c r="J177" s="63" t="s">
        <v>155</v>
      </c>
      <c r="K177" s="53"/>
      <c r="L177" s="92"/>
      <c r="M177" s="92"/>
      <c r="N177" s="98">
        <v>6.5000000000000002E-2</v>
      </c>
      <c r="O177" s="98">
        <v>6.5000000000000002E-2</v>
      </c>
      <c r="P177" s="98">
        <v>6.5000000000000002E-2</v>
      </c>
    </row>
    <row r="178" spans="1:18" ht="16" customHeight="1" x14ac:dyDescent="0.15">
      <c r="B178" s="63" t="s">
        <v>169</v>
      </c>
      <c r="C178" s="53"/>
      <c r="D178" s="53"/>
      <c r="E178" s="69"/>
      <c r="F178" s="70">
        <f>+F177*F176</f>
        <v>0</v>
      </c>
      <c r="G178" s="70">
        <f t="shared" ref="G178:H178" si="75">+G177*G176</f>
        <v>0</v>
      </c>
      <c r="H178" s="70">
        <f t="shared" si="75"/>
        <v>782100</v>
      </c>
      <c r="J178" s="63" t="s">
        <v>156</v>
      </c>
      <c r="K178" s="53"/>
      <c r="L178" s="66"/>
      <c r="M178" s="66"/>
      <c r="N178" s="98">
        <v>7.4999999999999997E-3</v>
      </c>
      <c r="O178" s="98">
        <v>7.4999999999999997E-3</v>
      </c>
      <c r="P178" s="98">
        <v>7.4999999999999997E-3</v>
      </c>
    </row>
    <row r="179" spans="1:18" ht="16" customHeight="1" x14ac:dyDescent="0.15">
      <c r="B179" s="54" t="s">
        <v>475</v>
      </c>
      <c r="E179" s="60"/>
      <c r="F179" s="61"/>
      <c r="G179" s="61"/>
      <c r="H179" s="61"/>
      <c r="J179" s="63" t="s">
        <v>162</v>
      </c>
      <c r="K179" s="53"/>
      <c r="L179" s="66"/>
      <c r="M179" s="66"/>
      <c r="N179" s="99">
        <v>30</v>
      </c>
      <c r="O179" s="99">
        <v>30</v>
      </c>
      <c r="P179" s="99">
        <v>30</v>
      </c>
    </row>
    <row r="180" spans="1:18" ht="16" customHeight="1" x14ac:dyDescent="0.15">
      <c r="B180" s="63" t="s">
        <v>168</v>
      </c>
      <c r="E180" s="64"/>
      <c r="F180" s="369">
        <f>+'Parcel Breakdown'!AT8</f>
        <v>19125</v>
      </c>
      <c r="G180" s="61">
        <v>0</v>
      </c>
      <c r="H180" s="61">
        <v>0</v>
      </c>
      <c r="J180" s="63"/>
      <c r="K180" s="53"/>
      <c r="L180" s="66"/>
      <c r="M180" s="66"/>
      <c r="N180" s="99"/>
      <c r="O180" s="99"/>
      <c r="P180" s="99"/>
    </row>
    <row r="181" spans="1:18" ht="16" customHeight="1" x14ac:dyDescent="0.15">
      <c r="A181" s="535"/>
      <c r="B181" s="63" t="s">
        <v>119</v>
      </c>
      <c r="E181" s="53"/>
      <c r="F181" s="100">
        <v>10</v>
      </c>
      <c r="G181" s="100">
        <v>10</v>
      </c>
      <c r="H181" s="100">
        <v>10</v>
      </c>
      <c r="J181" s="62" t="s">
        <v>164</v>
      </c>
      <c r="K181" s="53"/>
      <c r="L181" s="66"/>
      <c r="M181" s="66"/>
      <c r="N181" s="133"/>
      <c r="O181" s="133"/>
      <c r="P181" s="133"/>
    </row>
    <row r="182" spans="1:18" ht="16" customHeight="1" x14ac:dyDescent="0.15">
      <c r="B182" s="63" t="s">
        <v>169</v>
      </c>
      <c r="E182" s="69"/>
      <c r="F182" s="70">
        <f>+F181*F180</f>
        <v>191250</v>
      </c>
      <c r="G182" s="70">
        <f t="shared" ref="G182:H182" si="76">+G181*G180</f>
        <v>0</v>
      </c>
      <c r="H182" s="70">
        <f t="shared" si="76"/>
        <v>0</v>
      </c>
      <c r="J182" s="63" t="s">
        <v>182</v>
      </c>
      <c r="K182" s="53"/>
      <c r="L182" s="66"/>
      <c r="M182" s="66"/>
      <c r="N182" s="91">
        <v>0.8</v>
      </c>
      <c r="O182" s="91">
        <v>0.8</v>
      </c>
      <c r="P182" s="91">
        <v>0.8</v>
      </c>
    </row>
    <row r="183" spans="1:18" ht="16" customHeight="1" x14ac:dyDescent="0.15">
      <c r="B183" s="74" t="s">
        <v>177</v>
      </c>
      <c r="C183" s="75"/>
      <c r="D183" s="75"/>
      <c r="E183" s="76">
        <f>+SUM(F183:H183)</f>
        <v>973350</v>
      </c>
      <c r="F183" s="77">
        <f>+F174+F178+F182</f>
        <v>191250</v>
      </c>
      <c r="G183" s="77">
        <f t="shared" ref="G183:H183" si="77">+G174+G178+G182</f>
        <v>0</v>
      </c>
      <c r="H183" s="77">
        <f t="shared" si="77"/>
        <v>782100</v>
      </c>
      <c r="J183" s="63" t="s">
        <v>181</v>
      </c>
      <c r="N183" s="97">
        <v>1.3</v>
      </c>
      <c r="O183" s="97">
        <v>1.3</v>
      </c>
      <c r="P183" s="97">
        <v>1.3</v>
      </c>
    </row>
    <row r="184" spans="1:18" ht="16" customHeight="1" x14ac:dyDescent="0.15">
      <c r="B184" s="78" t="s">
        <v>134</v>
      </c>
      <c r="C184" s="79"/>
      <c r="D184" s="79"/>
      <c r="E184" s="80">
        <f>+SUM(F184:H184)</f>
        <v>157335.0001</v>
      </c>
      <c r="F184" s="81">
        <f>+F172+F176+F180</f>
        <v>79125</v>
      </c>
      <c r="G184" s="81">
        <f t="shared" ref="G184:H184" si="78">+G172+G176+G180</f>
        <v>1E-4</v>
      </c>
      <c r="H184" s="81">
        <f t="shared" si="78"/>
        <v>78210</v>
      </c>
      <c r="J184" s="63" t="s">
        <v>155</v>
      </c>
      <c r="K184" s="53"/>
      <c r="L184" s="92"/>
      <c r="M184" s="92"/>
      <c r="N184" s="98">
        <v>0.06</v>
      </c>
      <c r="O184" s="98">
        <v>0.06</v>
      </c>
      <c r="P184" s="98">
        <v>0.06</v>
      </c>
    </row>
    <row r="185" spans="1:18" ht="16" customHeight="1" x14ac:dyDescent="0.15">
      <c r="B185" s="83" t="s">
        <v>137</v>
      </c>
      <c r="C185" s="84"/>
      <c r="D185" s="84"/>
      <c r="E185" s="94">
        <f>+IFERROR(E183/E184,"")</f>
        <v>6.1864810714802925</v>
      </c>
      <c r="F185" s="95">
        <f>+IFERROR(F183/F184,"")</f>
        <v>2.4170616113744074</v>
      </c>
      <c r="G185" s="95">
        <f t="shared" ref="G185:H185" si="79">+IFERROR(G183/G184,"")</f>
        <v>0</v>
      </c>
      <c r="H185" s="95">
        <f t="shared" si="79"/>
        <v>10</v>
      </c>
      <c r="J185" s="63" t="s">
        <v>156</v>
      </c>
      <c r="K185" s="53"/>
      <c r="L185" s="66"/>
      <c r="M185" s="66"/>
      <c r="N185" s="98">
        <v>0.01</v>
      </c>
      <c r="O185" s="98">
        <v>0.01</v>
      </c>
      <c r="P185" s="98">
        <v>0.01</v>
      </c>
    </row>
    <row r="186" spans="1:18" ht="16" customHeight="1" x14ac:dyDescent="0.15">
      <c r="J186" s="63" t="s">
        <v>162</v>
      </c>
      <c r="K186" s="53"/>
      <c r="L186" s="66"/>
      <c r="M186" s="66"/>
      <c r="N186" s="99" t="s">
        <v>167</v>
      </c>
      <c r="O186" s="99" t="s">
        <v>167</v>
      </c>
      <c r="P186" s="99" t="s">
        <v>167</v>
      </c>
    </row>
    <row r="187" spans="1:18" ht="16" customHeight="1" x14ac:dyDescent="0.15">
      <c r="J187" s="63"/>
      <c r="K187" s="53"/>
      <c r="L187" s="66"/>
      <c r="M187" s="66"/>
      <c r="N187" s="99"/>
      <c r="O187" s="99"/>
      <c r="P187" s="99"/>
    </row>
    <row r="188" spans="1:18" ht="16" customHeight="1" thickBot="1" x14ac:dyDescent="0.2">
      <c r="B188" s="1048" t="s">
        <v>178</v>
      </c>
      <c r="C188" s="1048"/>
      <c r="D188" s="53"/>
      <c r="E188" s="49" t="s">
        <v>63</v>
      </c>
      <c r="F188" s="49" t="str">
        <f>+F$42</f>
        <v>I</v>
      </c>
      <c r="G188" s="49" t="str">
        <f>+G$42</f>
        <v>II</v>
      </c>
      <c r="H188" s="49" t="str">
        <f>+H$42</f>
        <v>III</v>
      </c>
      <c r="J188" s="62" t="s">
        <v>260</v>
      </c>
      <c r="K188" s="53"/>
      <c r="L188" s="66"/>
      <c r="M188" s="66"/>
      <c r="N188" s="67"/>
      <c r="O188" s="67"/>
      <c r="P188" s="67"/>
    </row>
    <row r="189" spans="1:18" ht="16" customHeight="1" x14ac:dyDescent="0.15">
      <c r="B189" s="54" t="s">
        <v>476</v>
      </c>
      <c r="C189" s="53"/>
      <c r="D189" s="53"/>
      <c r="E189" s="60"/>
      <c r="F189" s="61"/>
      <c r="G189" s="61"/>
      <c r="H189" s="61"/>
      <c r="J189" s="63" t="s">
        <v>182</v>
      </c>
      <c r="K189" s="53"/>
      <c r="L189" s="66"/>
      <c r="M189" s="66"/>
      <c r="N189" s="91">
        <v>0.75</v>
      </c>
      <c r="O189" s="91">
        <v>0.75</v>
      </c>
      <c r="P189" s="91">
        <v>0.75</v>
      </c>
    </row>
    <row r="190" spans="1:18" ht="16" customHeight="1" x14ac:dyDescent="0.15">
      <c r="B190" s="63" t="s">
        <v>168</v>
      </c>
      <c r="C190" s="53"/>
      <c r="D190" s="53"/>
      <c r="E190" s="64"/>
      <c r="F190" s="369">
        <f>+'Parcel Breakdown'!$AU$24</f>
        <v>410068.80000000005</v>
      </c>
      <c r="G190" s="369">
        <f>+'Parcel Breakdown'!$AU$25</f>
        <v>134937</v>
      </c>
      <c r="H190" s="369">
        <f>+'Parcel Breakdown'!$AU$26</f>
        <v>588969.09999999986</v>
      </c>
      <c r="J190" s="63" t="s">
        <v>181</v>
      </c>
      <c r="N190" s="97">
        <v>1.3</v>
      </c>
      <c r="O190" s="97">
        <v>1.3</v>
      </c>
      <c r="P190" s="97">
        <v>1.3</v>
      </c>
      <c r="R190" s="221"/>
    </row>
    <row r="191" spans="1:18" ht="16" customHeight="1" x14ac:dyDescent="0.15">
      <c r="B191" s="63" t="s">
        <v>119</v>
      </c>
      <c r="C191" s="53"/>
      <c r="D191" s="53"/>
      <c r="E191" s="53"/>
      <c r="F191" s="100">
        <v>24</v>
      </c>
      <c r="G191" s="764">
        <f>+F191*(1+0.02)^2</f>
        <v>24.9696</v>
      </c>
      <c r="H191" s="764">
        <f>+F191*(1+0.02)^4</f>
        <v>25.978371840000001</v>
      </c>
      <c r="J191" s="63" t="s">
        <v>155</v>
      </c>
      <c r="K191" s="53"/>
      <c r="L191" s="92"/>
      <c r="M191" s="92"/>
      <c r="N191" s="98">
        <v>5.5E-2</v>
      </c>
      <c r="O191" s="98">
        <v>5.5E-2</v>
      </c>
      <c r="P191" s="98">
        <v>5.5E-2</v>
      </c>
      <c r="R191" s="220"/>
    </row>
    <row r="192" spans="1:18" ht="16" customHeight="1" x14ac:dyDescent="0.15">
      <c r="B192" s="63" t="s">
        <v>169</v>
      </c>
      <c r="C192" s="53"/>
      <c r="D192" s="53"/>
      <c r="E192" s="69"/>
      <c r="F192" s="70">
        <f>+F191*F190</f>
        <v>9841651.2000000011</v>
      </c>
      <c r="G192" s="70">
        <f t="shared" ref="G192:H192" si="80">+G191*G190</f>
        <v>3369322.9152000002</v>
      </c>
      <c r="H192" s="70">
        <f t="shared" si="80"/>
        <v>15300458.282070141</v>
      </c>
      <c r="J192" s="63" t="s">
        <v>156</v>
      </c>
      <c r="K192" s="53"/>
      <c r="L192" s="66"/>
      <c r="M192" s="66"/>
      <c r="N192" s="98">
        <v>7.4999999999999997E-3</v>
      </c>
      <c r="O192" s="98">
        <v>7.4999999999999997E-3</v>
      </c>
      <c r="P192" s="98">
        <v>7.4999999999999997E-3</v>
      </c>
    </row>
    <row r="193" spans="2:16" ht="16" customHeight="1" x14ac:dyDescent="0.15">
      <c r="B193" s="54" t="s">
        <v>19</v>
      </c>
      <c r="C193" s="53"/>
      <c r="D193" s="53"/>
      <c r="E193" s="60"/>
      <c r="F193" s="61"/>
      <c r="G193" s="61"/>
      <c r="H193" s="61"/>
      <c r="J193" s="63" t="s">
        <v>162</v>
      </c>
      <c r="K193" s="53"/>
      <c r="L193" s="66"/>
      <c r="M193" s="66"/>
      <c r="N193" s="99" t="s">
        <v>167</v>
      </c>
      <c r="O193" s="99" t="s">
        <v>167</v>
      </c>
      <c r="P193" s="99" t="s">
        <v>167</v>
      </c>
    </row>
    <row r="194" spans="2:16" ht="16" customHeight="1" x14ac:dyDescent="0.15">
      <c r="B194" s="63" t="s">
        <v>168</v>
      </c>
      <c r="C194" s="53"/>
      <c r="D194" s="53"/>
      <c r="E194" s="64"/>
      <c r="F194" s="61">
        <v>0</v>
      </c>
      <c r="G194" s="61">
        <v>0</v>
      </c>
      <c r="H194" s="61">
        <v>0</v>
      </c>
      <c r="J194" s="63"/>
      <c r="K194" s="53"/>
      <c r="L194" s="66"/>
      <c r="M194" s="66"/>
      <c r="N194" s="99"/>
      <c r="O194" s="99"/>
      <c r="P194" s="99"/>
    </row>
    <row r="195" spans="2:16" ht="16" customHeight="1" x14ac:dyDescent="0.15">
      <c r="B195" s="63" t="s">
        <v>119</v>
      </c>
      <c r="C195" s="53"/>
      <c r="D195" s="53"/>
      <c r="E195" s="53"/>
      <c r="F195" s="100">
        <v>25</v>
      </c>
      <c r="G195" s="100">
        <v>25</v>
      </c>
      <c r="H195" s="100">
        <v>25</v>
      </c>
      <c r="J195" s="62" t="s">
        <v>98</v>
      </c>
    </row>
    <row r="196" spans="2:16" ht="16" customHeight="1" x14ac:dyDescent="0.15">
      <c r="B196" s="63" t="s">
        <v>169</v>
      </c>
      <c r="C196" s="53"/>
      <c r="D196" s="53"/>
      <c r="E196" s="69"/>
      <c r="F196" s="70">
        <f>+F195*F194</f>
        <v>0</v>
      </c>
      <c r="G196" s="70">
        <f t="shared" ref="G196:H196" si="81">+G195*G194</f>
        <v>0</v>
      </c>
      <c r="H196" s="70">
        <f t="shared" si="81"/>
        <v>0</v>
      </c>
      <c r="J196" s="63" t="s">
        <v>181</v>
      </c>
      <c r="N196" s="97">
        <v>1.25</v>
      </c>
      <c r="O196" s="201">
        <f t="shared" ref="O196:P200" si="82">+N196</f>
        <v>1.25</v>
      </c>
      <c r="P196" s="201">
        <f t="shared" si="82"/>
        <v>1.25</v>
      </c>
    </row>
    <row r="197" spans="2:16" ht="16" customHeight="1" x14ac:dyDescent="0.15">
      <c r="B197" s="54" t="s">
        <v>19</v>
      </c>
      <c r="E197" s="60"/>
      <c r="F197" s="61"/>
      <c r="G197" s="61"/>
      <c r="H197" s="61"/>
      <c r="J197" s="63" t="s">
        <v>155</v>
      </c>
      <c r="K197" s="53"/>
      <c r="L197" s="92"/>
      <c r="M197" s="92"/>
      <c r="N197" s="98">
        <v>0.06</v>
      </c>
      <c r="O197" s="89">
        <f t="shared" si="82"/>
        <v>0.06</v>
      </c>
      <c r="P197" s="89">
        <f t="shared" si="82"/>
        <v>0.06</v>
      </c>
    </row>
    <row r="198" spans="2:16" ht="16" customHeight="1" x14ac:dyDescent="0.15">
      <c r="B198" s="63" t="s">
        <v>168</v>
      </c>
      <c r="E198" s="64"/>
      <c r="F198" s="61">
        <v>0</v>
      </c>
      <c r="G198" s="61">
        <v>0</v>
      </c>
      <c r="H198" s="61">
        <v>0</v>
      </c>
      <c r="J198" s="63" t="s">
        <v>162</v>
      </c>
      <c r="N198" s="99">
        <v>30</v>
      </c>
      <c r="O198" s="73">
        <f t="shared" si="82"/>
        <v>30</v>
      </c>
      <c r="P198" s="73">
        <f t="shared" si="82"/>
        <v>30</v>
      </c>
    </row>
    <row r="199" spans="2:16" ht="16" customHeight="1" x14ac:dyDescent="0.15">
      <c r="B199" s="63" t="s">
        <v>119</v>
      </c>
      <c r="E199" s="53"/>
      <c r="F199" s="100">
        <v>10</v>
      </c>
      <c r="G199" s="100">
        <v>10</v>
      </c>
      <c r="H199" s="100">
        <v>10</v>
      </c>
      <c r="J199" s="63" t="s">
        <v>156</v>
      </c>
      <c r="K199" s="53"/>
      <c r="L199" s="66"/>
      <c r="M199" s="66"/>
      <c r="N199" s="90">
        <v>0.01</v>
      </c>
      <c r="O199" s="133">
        <f t="shared" si="82"/>
        <v>0.01</v>
      </c>
      <c r="P199" s="133">
        <f t="shared" si="82"/>
        <v>0.01</v>
      </c>
    </row>
    <row r="200" spans="2:16" ht="16" customHeight="1" x14ac:dyDescent="0.15">
      <c r="B200" s="63" t="s">
        <v>169</v>
      </c>
      <c r="E200" s="69"/>
      <c r="F200" s="70">
        <f>+F199*F198</f>
        <v>0</v>
      </c>
      <c r="G200" s="70">
        <f t="shared" ref="G200:H200" si="83">+G199*G198</f>
        <v>0</v>
      </c>
      <c r="H200" s="70">
        <f t="shared" si="83"/>
        <v>0</v>
      </c>
      <c r="J200" s="63" t="s">
        <v>185</v>
      </c>
      <c r="N200" s="91">
        <v>0.5</v>
      </c>
      <c r="O200" s="67">
        <f t="shared" si="82"/>
        <v>0.5</v>
      </c>
      <c r="P200" s="67">
        <f t="shared" si="82"/>
        <v>0.5</v>
      </c>
    </row>
    <row r="201" spans="2:16" ht="16" customHeight="1" x14ac:dyDescent="0.15">
      <c r="B201" s="74" t="s">
        <v>179</v>
      </c>
      <c r="C201" s="75"/>
      <c r="D201" s="75"/>
      <c r="E201" s="76">
        <f>+SUM(F201:H201)</f>
        <v>28511432.397270143</v>
      </c>
      <c r="F201" s="77">
        <f>+F192+F196+F200</f>
        <v>9841651.2000000011</v>
      </c>
      <c r="G201" s="77">
        <f t="shared" ref="G201:H201" si="84">+G192+G196+G200</f>
        <v>3369322.9152000002</v>
      </c>
      <c r="H201" s="77">
        <f t="shared" si="84"/>
        <v>15300458.282070141</v>
      </c>
      <c r="J201" s="63"/>
      <c r="N201" s="91"/>
      <c r="O201" s="67"/>
      <c r="P201" s="67"/>
    </row>
    <row r="202" spans="2:16" ht="16" customHeight="1" x14ac:dyDescent="0.15">
      <c r="B202" s="78" t="s">
        <v>134</v>
      </c>
      <c r="C202" s="79"/>
      <c r="D202" s="79"/>
      <c r="E202" s="80">
        <f>+SUM(F202:H202)</f>
        <v>1133974.8999999999</v>
      </c>
      <c r="F202" s="81">
        <f>+F190+F194+F198</f>
        <v>410068.80000000005</v>
      </c>
      <c r="G202" s="81">
        <f t="shared" ref="G202:H202" si="85">+G190+G194+G198</f>
        <v>134937</v>
      </c>
      <c r="H202" s="81">
        <f t="shared" si="85"/>
        <v>588969.09999999986</v>
      </c>
      <c r="J202" s="62" t="s">
        <v>326</v>
      </c>
    </row>
    <row r="203" spans="2:16" ht="16" customHeight="1" x14ac:dyDescent="0.15">
      <c r="B203" s="83" t="s">
        <v>137</v>
      </c>
      <c r="C203" s="84"/>
      <c r="D203" s="84"/>
      <c r="E203" s="94">
        <f>+IFERROR(E201/E202,"")</f>
        <v>25.142913125564018</v>
      </c>
      <c r="F203" s="95">
        <f>+IFERROR(F201/F202,"")</f>
        <v>24</v>
      </c>
      <c r="G203" s="95">
        <f t="shared" ref="G203:H203" si="86">+IFERROR(G201/G202,"")</f>
        <v>24.9696</v>
      </c>
      <c r="H203" s="95">
        <f t="shared" si="86"/>
        <v>25.978371840000001</v>
      </c>
      <c r="J203" s="63" t="s">
        <v>34</v>
      </c>
      <c r="N203" s="101">
        <v>0</v>
      </c>
      <c r="O203" s="101">
        <v>0</v>
      </c>
      <c r="P203" s="101">
        <v>0</v>
      </c>
    </row>
    <row r="204" spans="2:16" ht="16" customHeight="1" x14ac:dyDescent="0.15">
      <c r="J204" s="63"/>
      <c r="N204" s="101"/>
      <c r="O204" s="101"/>
      <c r="P204" s="101"/>
    </row>
    <row r="205" spans="2:16" ht="16" customHeight="1" thickBot="1" x14ac:dyDescent="0.2">
      <c r="B205" s="1048" t="s">
        <v>209</v>
      </c>
      <c r="C205" s="1048"/>
      <c r="D205" s="53"/>
      <c r="E205" s="49" t="s">
        <v>63</v>
      </c>
      <c r="F205" s="49" t="str">
        <f>+F$42</f>
        <v>I</v>
      </c>
      <c r="G205" s="49" t="str">
        <f>+G$42</f>
        <v>II</v>
      </c>
      <c r="H205" s="49" t="str">
        <f>+H$42</f>
        <v>III</v>
      </c>
      <c r="J205" s="50" t="s">
        <v>615</v>
      </c>
    </row>
    <row r="206" spans="2:16" ht="16" customHeight="1" x14ac:dyDescent="0.15">
      <c r="B206" s="54" t="s">
        <v>212</v>
      </c>
      <c r="C206" s="53"/>
      <c r="D206" s="53"/>
      <c r="E206" s="60"/>
      <c r="F206" s="61"/>
      <c r="G206" s="61"/>
      <c r="H206" s="61"/>
      <c r="J206" s="63" t="s">
        <v>170</v>
      </c>
      <c r="N206" s="101">
        <v>100000</v>
      </c>
      <c r="O206" s="752">
        <f>+N206</f>
        <v>100000</v>
      </c>
      <c r="P206" s="752">
        <f>+N206</f>
        <v>100000</v>
      </c>
    </row>
    <row r="207" spans="2:16" ht="16" customHeight="1" x14ac:dyDescent="0.15">
      <c r="B207" s="63" t="s">
        <v>216</v>
      </c>
      <c r="C207" s="53"/>
      <c r="D207" s="53"/>
      <c r="E207" s="60"/>
      <c r="F207" s="369">
        <f>+'Parcel Breakdown'!AP50</f>
        <v>251.5151515151515</v>
      </c>
      <c r="G207" s="369">
        <f>+'Parcel Breakdown'!AP51</f>
        <v>321.21212121212119</v>
      </c>
      <c r="H207" s="369">
        <f>+'Parcel Breakdown'!AP52</f>
        <v>145.45454545454547</v>
      </c>
      <c r="J207" s="63" t="s">
        <v>171</v>
      </c>
      <c r="N207" s="102">
        <f>+N206*F77</f>
        <v>14958548.694075393</v>
      </c>
      <c r="O207" s="102">
        <f>+O206*G77</f>
        <v>10390987.91818182</v>
      </c>
      <c r="P207" s="102">
        <f>+P206*H77</f>
        <v>12500031.533931557</v>
      </c>
    </row>
    <row r="208" spans="2:16" ht="16" customHeight="1" x14ac:dyDescent="0.15">
      <c r="B208" s="63" t="s">
        <v>217</v>
      </c>
      <c r="C208" s="53"/>
      <c r="D208" s="53"/>
      <c r="E208" s="60"/>
      <c r="F208" s="61">
        <v>330</v>
      </c>
      <c r="G208" s="65">
        <f>+F208</f>
        <v>330</v>
      </c>
      <c r="H208" s="65">
        <f>+G208</f>
        <v>330</v>
      </c>
      <c r="J208" s="63" t="s">
        <v>363</v>
      </c>
      <c r="N208" s="103">
        <v>0.85</v>
      </c>
      <c r="O208" s="103">
        <v>0.85</v>
      </c>
      <c r="P208" s="103">
        <v>0.85</v>
      </c>
    </row>
    <row r="209" spans="1:42" ht="16" customHeight="1" x14ac:dyDescent="0.15">
      <c r="B209" s="63" t="s">
        <v>168</v>
      </c>
      <c r="C209" s="53"/>
      <c r="D209" s="53"/>
      <c r="E209" s="64"/>
      <c r="F209" s="65">
        <f>+F207*F208</f>
        <v>83000</v>
      </c>
      <c r="G209" s="65">
        <f t="shared" ref="G209:H209" si="87">+G207*G208</f>
        <v>105999.99999999999</v>
      </c>
      <c r="H209" s="65">
        <f t="shared" si="87"/>
        <v>48000.000000000007</v>
      </c>
      <c r="J209" s="63"/>
      <c r="N209" s="103"/>
      <c r="O209" s="103"/>
      <c r="P209" s="103"/>
    </row>
    <row r="210" spans="1:42" ht="16" customHeight="1" x14ac:dyDescent="0.15">
      <c r="B210" s="63"/>
      <c r="C210" s="53"/>
      <c r="D210" s="53"/>
      <c r="E210" s="64"/>
      <c r="F210" s="100"/>
      <c r="G210" s="100"/>
      <c r="H210" s="100"/>
      <c r="J210" s="50" t="s">
        <v>614</v>
      </c>
    </row>
    <row r="211" spans="1:42" ht="16" customHeight="1" x14ac:dyDescent="0.15">
      <c r="A211" s="535"/>
      <c r="B211" s="63" t="s">
        <v>218</v>
      </c>
      <c r="C211" s="53"/>
      <c r="D211" s="53"/>
      <c r="E211" s="53"/>
      <c r="F211" s="100">
        <v>135</v>
      </c>
      <c r="G211" s="100">
        <f>+F211*(1+0.02)^2</f>
        <v>140.45400000000001</v>
      </c>
      <c r="H211" s="100">
        <f>+F211*(1+0.02)^4</f>
        <v>146.1283416</v>
      </c>
      <c r="J211" s="134" t="s">
        <v>620</v>
      </c>
      <c r="N211" s="90">
        <v>0.2</v>
      </c>
      <c r="O211" s="90">
        <v>0.2</v>
      </c>
      <c r="P211" s="90">
        <v>0.2</v>
      </c>
    </row>
    <row r="212" spans="1:42" ht="16" customHeight="1" x14ac:dyDescent="0.15">
      <c r="A212" s="535"/>
      <c r="B212" s="63" t="s">
        <v>169</v>
      </c>
      <c r="C212" s="53"/>
      <c r="D212" s="53"/>
      <c r="E212" s="69"/>
      <c r="F212" s="70">
        <f>+F211*F207*12</f>
        <v>407454.54545454547</v>
      </c>
      <c r="G212" s="70">
        <f>+G211*G207*12</f>
        <v>541386.32727272727</v>
      </c>
      <c r="H212" s="70">
        <f>+H211*H207*12</f>
        <v>255060.37806545454</v>
      </c>
      <c r="J212" s="63" t="s">
        <v>623</v>
      </c>
      <c r="N212" s="102">
        <f ca="1">+Acquisition!$E$56*'Parcel Breakdown'!$W$20*(1+Budget!$D$44)*(1+Budget!$D$79)</f>
        <v>19154886.867513154</v>
      </c>
      <c r="O212" s="102">
        <v>0</v>
      </c>
      <c r="P212" s="102">
        <v>0</v>
      </c>
      <c r="R212" s="535"/>
    </row>
    <row r="213" spans="1:42" ht="16" customHeight="1" x14ac:dyDescent="0.15">
      <c r="B213" s="54" t="s">
        <v>213</v>
      </c>
      <c r="C213" s="53"/>
      <c r="D213" s="53"/>
      <c r="E213" s="60"/>
      <c r="F213" s="61"/>
      <c r="G213" s="61"/>
      <c r="H213" s="61"/>
      <c r="J213" s="63" t="s">
        <v>174</v>
      </c>
      <c r="N213" s="102">
        <f ca="1">+N212*N211</f>
        <v>3830977.3735026307</v>
      </c>
      <c r="O213" s="102">
        <f>+O212*O211</f>
        <v>0</v>
      </c>
      <c r="P213" s="102">
        <f>+P212*P211</f>
        <v>0</v>
      </c>
    </row>
    <row r="214" spans="1:42" ht="16" customHeight="1" x14ac:dyDescent="0.15">
      <c r="B214" s="63" t="s">
        <v>216</v>
      </c>
      <c r="C214" s="53"/>
      <c r="D214" s="53"/>
      <c r="E214" s="60"/>
      <c r="F214" s="61">
        <v>0</v>
      </c>
      <c r="G214" s="61">
        <v>0</v>
      </c>
      <c r="H214" s="61">
        <v>0</v>
      </c>
      <c r="J214" s="63" t="s">
        <v>363</v>
      </c>
      <c r="N214" s="103">
        <v>0.85</v>
      </c>
      <c r="O214" s="103">
        <v>0.85</v>
      </c>
      <c r="P214" s="103">
        <v>0.85</v>
      </c>
    </row>
    <row r="215" spans="1:42" ht="16" customHeight="1" x14ac:dyDescent="0.15">
      <c r="B215" s="63" t="s">
        <v>217</v>
      </c>
      <c r="C215" s="53"/>
      <c r="D215" s="53"/>
      <c r="E215" s="60"/>
      <c r="F215" s="65">
        <f>+F$208</f>
        <v>330</v>
      </c>
      <c r="G215" s="65">
        <f t="shared" ref="G215:H215" si="88">+G$208</f>
        <v>330</v>
      </c>
      <c r="H215" s="65">
        <f t="shared" si="88"/>
        <v>330</v>
      </c>
      <c r="J215" s="63"/>
      <c r="N215" s="103"/>
      <c r="O215" s="103"/>
      <c r="P215" s="103"/>
    </row>
    <row r="216" spans="1:42" ht="16" customHeight="1" x14ac:dyDescent="0.15">
      <c r="B216" s="63" t="s">
        <v>168</v>
      </c>
      <c r="C216" s="53"/>
      <c r="D216" s="53"/>
      <c r="E216" s="64"/>
      <c r="F216" s="65">
        <f>+F214*F215</f>
        <v>0</v>
      </c>
      <c r="G216" s="65">
        <f t="shared" ref="G216" si="89">+G214*G215</f>
        <v>0</v>
      </c>
      <c r="H216" s="65">
        <f t="shared" ref="H216" si="90">+H214*H215</f>
        <v>0</v>
      </c>
      <c r="J216" s="50" t="s">
        <v>616</v>
      </c>
    </row>
    <row r="217" spans="1:42" ht="16" customHeight="1" x14ac:dyDescent="0.15">
      <c r="B217" s="63"/>
      <c r="C217" s="53"/>
      <c r="D217" s="53"/>
      <c r="E217" s="64"/>
      <c r="F217" s="91"/>
      <c r="G217" s="91"/>
      <c r="H217" s="91"/>
      <c r="J217" s="63" t="s">
        <v>173</v>
      </c>
      <c r="N217" s="101">
        <v>15000000</v>
      </c>
      <c r="O217" s="101">
        <v>1E-4</v>
      </c>
      <c r="P217" s="752">
        <f>+N217</f>
        <v>15000000</v>
      </c>
    </row>
    <row r="218" spans="1:42" ht="16" customHeight="1" x14ac:dyDescent="0.15">
      <c r="B218" s="63" t="s">
        <v>218</v>
      </c>
      <c r="C218" s="53"/>
      <c r="D218" s="53"/>
      <c r="E218" s="53"/>
      <c r="F218" s="100">
        <v>0</v>
      </c>
      <c r="G218" s="100">
        <v>0</v>
      </c>
      <c r="H218" s="100">
        <v>0</v>
      </c>
      <c r="J218" s="63" t="s">
        <v>174</v>
      </c>
      <c r="N218" s="102">
        <f>+N217*0.39</f>
        <v>5850000</v>
      </c>
      <c r="O218" s="102">
        <f>+O217*0.39</f>
        <v>3.9000000000000006E-5</v>
      </c>
      <c r="P218" s="102">
        <f>+P217*0.39</f>
        <v>5850000</v>
      </c>
    </row>
    <row r="219" spans="1:42" ht="16" customHeight="1" x14ac:dyDescent="0.15">
      <c r="B219" s="63" t="s">
        <v>169</v>
      </c>
      <c r="C219" s="53"/>
      <c r="D219" s="53"/>
      <c r="E219" s="69"/>
      <c r="F219" s="70">
        <f>+F218*F214*12</f>
        <v>0</v>
      </c>
      <c r="G219" s="70">
        <f>+G218*G214*12</f>
        <v>0</v>
      </c>
      <c r="H219" s="70">
        <f>+H218*H214*12</f>
        <v>0</v>
      </c>
      <c r="J219" s="63" t="s">
        <v>172</v>
      </c>
      <c r="N219" s="103">
        <v>0.9</v>
      </c>
      <c r="O219" s="103">
        <v>0.9</v>
      </c>
      <c r="P219" s="103">
        <v>0.9</v>
      </c>
      <c r="AI219" s="51" t="s">
        <v>779</v>
      </c>
      <c r="AL219" s="762">
        <f ca="1">+'Summary II'!O15</f>
        <v>3.749012778894238</v>
      </c>
    </row>
    <row r="220" spans="1:42" ht="16" customHeight="1" x14ac:dyDescent="0.15">
      <c r="B220" s="54" t="s">
        <v>214</v>
      </c>
      <c r="C220" s="53"/>
      <c r="D220" s="53"/>
      <c r="E220" s="60"/>
      <c r="F220" s="61"/>
      <c r="G220" s="61"/>
      <c r="H220" s="61"/>
      <c r="J220" s="63"/>
      <c r="N220" s="103"/>
      <c r="O220" s="103"/>
      <c r="P220" s="103"/>
    </row>
    <row r="221" spans="1:42" ht="16" customHeight="1" x14ac:dyDescent="0.15">
      <c r="B221" s="63" t="s">
        <v>216</v>
      </c>
      <c r="C221" s="53"/>
      <c r="D221" s="53"/>
      <c r="E221" s="60"/>
      <c r="F221" s="61">
        <v>0</v>
      </c>
      <c r="G221" s="61">
        <v>0</v>
      </c>
      <c r="H221" s="369">
        <f>+'Parcel Breakdown'!AR52</f>
        <v>454.54545454545456</v>
      </c>
      <c r="J221" s="50" t="s">
        <v>617</v>
      </c>
    </row>
    <row r="222" spans="1:42" ht="16" customHeight="1" x14ac:dyDescent="0.15">
      <c r="B222" s="63" t="s">
        <v>217</v>
      </c>
      <c r="C222" s="53"/>
      <c r="D222" s="53"/>
      <c r="E222" s="60"/>
      <c r="F222" s="65">
        <f t="shared" ref="F222:H222" si="91">+F$208</f>
        <v>330</v>
      </c>
      <c r="G222" s="65">
        <f t="shared" si="91"/>
        <v>330</v>
      </c>
      <c r="H222" s="65">
        <f t="shared" si="91"/>
        <v>330</v>
      </c>
      <c r="J222" s="63" t="s">
        <v>173</v>
      </c>
      <c r="N222" s="101">
        <v>1000000</v>
      </c>
      <c r="O222" s="101">
        <v>1E-4</v>
      </c>
      <c r="P222" s="101">
        <v>1000000</v>
      </c>
    </row>
    <row r="223" spans="1:42" ht="18" customHeight="1" x14ac:dyDescent="0.15">
      <c r="B223" s="63" t="s">
        <v>168</v>
      </c>
      <c r="C223" s="53"/>
      <c r="D223" s="53"/>
      <c r="E223" s="64"/>
      <c r="F223" s="65">
        <f>+F221*F222</f>
        <v>0</v>
      </c>
      <c r="G223" s="65">
        <f t="shared" ref="G223" si="92">+G221*G222</f>
        <v>0</v>
      </c>
      <c r="H223" s="65">
        <f t="shared" ref="H223" si="93">+H221*H222</f>
        <v>150000</v>
      </c>
      <c r="J223" s="63" t="s">
        <v>174</v>
      </c>
      <c r="N223" s="102">
        <f>+N222*0.39</f>
        <v>390000</v>
      </c>
      <c r="O223" s="102">
        <f>+O222*0.39</f>
        <v>3.9000000000000006E-5</v>
      </c>
      <c r="P223" s="102">
        <f>+P222*0.39</f>
        <v>390000</v>
      </c>
      <c r="AC223" s="1045" t="s">
        <v>776</v>
      </c>
      <c r="AD223" s="1045"/>
      <c r="AE223" s="1045"/>
      <c r="AF223" s="1045"/>
      <c r="AG223" s="1045"/>
      <c r="AL223" s="1045" t="s">
        <v>777</v>
      </c>
      <c r="AM223" s="1045"/>
      <c r="AN223" s="1045"/>
      <c r="AO223" s="1045"/>
      <c r="AP223" s="1045"/>
    </row>
    <row r="224" spans="1:42" ht="18" customHeight="1" thickBot="1" x14ac:dyDescent="0.2">
      <c r="B224" s="63" t="s">
        <v>218</v>
      </c>
      <c r="C224" s="53"/>
      <c r="D224" s="53"/>
      <c r="E224" s="53"/>
      <c r="F224" s="100">
        <v>135</v>
      </c>
      <c r="G224" s="100">
        <f>+F224*(1+0.02)^2</f>
        <v>140.45400000000001</v>
      </c>
      <c r="H224" s="100">
        <f>+F224*(1+0.02)^4</f>
        <v>146.1283416</v>
      </c>
      <c r="J224" s="63" t="s">
        <v>172</v>
      </c>
      <c r="N224" s="103">
        <v>0.7</v>
      </c>
      <c r="O224" s="103">
        <v>0.7</v>
      </c>
      <c r="P224" s="103">
        <v>0.7</v>
      </c>
      <c r="AC224" s="1046" t="s">
        <v>774</v>
      </c>
      <c r="AD224" s="1046"/>
      <c r="AE224" s="1046"/>
      <c r="AF224" s="1046"/>
      <c r="AG224" s="1046"/>
      <c r="AL224" s="1046" t="s">
        <v>774</v>
      </c>
      <c r="AM224" s="1046"/>
      <c r="AN224" s="1046"/>
      <c r="AO224" s="1046"/>
      <c r="AP224" s="1046"/>
    </row>
    <row r="225" spans="2:42" ht="18" customHeight="1" x14ac:dyDescent="0.15">
      <c r="B225" s="63" t="s">
        <v>169</v>
      </c>
      <c r="C225" s="53"/>
      <c r="D225" s="53"/>
      <c r="E225" s="69"/>
      <c r="F225" s="70">
        <f>+F224*F221*12</f>
        <v>0</v>
      </c>
      <c r="G225" s="70">
        <f>+G224*G221*12</f>
        <v>0</v>
      </c>
      <c r="H225" s="70">
        <f>+H224*H221*12</f>
        <v>797063.68145454547</v>
      </c>
      <c r="J225" s="63"/>
      <c r="N225" s="103"/>
      <c r="O225" s="103"/>
      <c r="P225" s="103"/>
      <c r="AB225" s="753">
        <f ca="1">+$E$3</f>
        <v>0.22085344333029133</v>
      </c>
      <c r="AC225" s="755">
        <v>25000</v>
      </c>
      <c r="AD225" s="755">
        <f>+AC225+25000</f>
        <v>50000</v>
      </c>
      <c r="AE225" s="755">
        <f t="shared" ref="AE225:AG225" si="94">+AD225+25000</f>
        <v>75000</v>
      </c>
      <c r="AF225" s="756">
        <f t="shared" si="94"/>
        <v>100000</v>
      </c>
      <c r="AG225" s="755">
        <f t="shared" si="94"/>
        <v>125000</v>
      </c>
      <c r="AK225" s="753">
        <f ca="1">+$E$4</f>
        <v>0.12945660144928284</v>
      </c>
      <c r="AL225" s="755">
        <f>+AC225</f>
        <v>25000</v>
      </c>
      <c r="AM225" s="755">
        <f t="shared" ref="AM225:AP225" si="95">+AD225</f>
        <v>50000</v>
      </c>
      <c r="AN225" s="755">
        <f t="shared" si="95"/>
        <v>75000</v>
      </c>
      <c r="AO225" s="756">
        <f t="shared" si="95"/>
        <v>100000</v>
      </c>
      <c r="AP225" s="755">
        <f t="shared" si="95"/>
        <v>125000</v>
      </c>
    </row>
    <row r="226" spans="2:42" ht="18" customHeight="1" x14ac:dyDescent="0.15">
      <c r="B226" s="54" t="s">
        <v>215</v>
      </c>
      <c r="C226" s="53"/>
      <c r="D226" s="53"/>
      <c r="E226" s="60"/>
      <c r="F226" s="61"/>
      <c r="G226" s="61"/>
      <c r="H226" s="61"/>
      <c r="J226" s="62" t="s">
        <v>404</v>
      </c>
      <c r="Z226" s="1047" t="s">
        <v>773</v>
      </c>
      <c r="AA226" s="754">
        <f>+AB226*2/1000000</f>
        <v>0</v>
      </c>
      <c r="AB226" s="51">
        <v>0</v>
      </c>
      <c r="AC226" s="535">
        <v>0.19033453142100409</v>
      </c>
      <c r="AD226" s="535">
        <v>0.19696592769180343</v>
      </c>
      <c r="AE226" s="535">
        <v>0.2038607006208073</v>
      </c>
      <c r="AF226" s="757">
        <v>0.21103765913947314</v>
      </c>
      <c r="AG226" s="535">
        <v>0.21851748858282916</v>
      </c>
      <c r="AI226" s="1047" t="s">
        <v>773</v>
      </c>
      <c r="AJ226" s="754">
        <f>+AK226*2/1000000</f>
        <v>0</v>
      </c>
      <c r="AK226" s="51">
        <f>+AB226</f>
        <v>0</v>
      </c>
      <c r="AL226" s="535">
        <v>0.12186132617691192</v>
      </c>
      <c r="AM226" s="535">
        <v>0.12360213050895252</v>
      </c>
      <c r="AN226" s="535">
        <v>0.12535839281948813</v>
      </c>
      <c r="AO226" s="757">
        <v>0.12713034536269952</v>
      </c>
      <c r="AP226" s="535">
        <v>0.12891822493498095</v>
      </c>
    </row>
    <row r="227" spans="2:42" ht="18" customHeight="1" x14ac:dyDescent="0.15">
      <c r="B227" s="63" t="s">
        <v>216</v>
      </c>
      <c r="C227" s="53"/>
      <c r="D227" s="53"/>
      <c r="E227" s="60"/>
      <c r="F227" s="61">
        <v>0</v>
      </c>
      <c r="G227" s="61">
        <v>0</v>
      </c>
      <c r="H227" s="61">
        <v>0</v>
      </c>
      <c r="J227" s="63" t="s">
        <v>405</v>
      </c>
      <c r="K227" s="53"/>
      <c r="L227" s="66"/>
      <c r="M227" s="66">
        <v>0.21</v>
      </c>
      <c r="N227" s="67">
        <f>+M227</f>
        <v>0.21</v>
      </c>
      <c r="O227" s="67">
        <f t="shared" ref="O227:P229" si="96">+N227</f>
        <v>0.21</v>
      </c>
      <c r="P227" s="67">
        <f t="shared" si="96"/>
        <v>0.21</v>
      </c>
      <c r="Z227" s="1047"/>
      <c r="AA227" s="754">
        <f t="shared" ref="AA227:AA232" si="97">+AB227*2/1000000</f>
        <v>10</v>
      </c>
      <c r="AB227" s="51">
        <f>+AB226+5000000</f>
        <v>5000000</v>
      </c>
      <c r="AC227" s="535">
        <v>0.19318071794313352</v>
      </c>
      <c r="AD227" s="535">
        <v>0.1999252490537422</v>
      </c>
      <c r="AE227" s="535">
        <v>0.2069413225821668</v>
      </c>
      <c r="AF227" s="757">
        <v>0.21424857360054173</v>
      </c>
      <c r="AG227" s="535">
        <v>0.221868617632901</v>
      </c>
      <c r="AI227" s="1047"/>
      <c r="AJ227" s="754">
        <f t="shared" ref="AJ227:AJ232" si="98">+AK227*2/1000000</f>
        <v>10</v>
      </c>
      <c r="AK227" s="51">
        <f t="shared" ref="AK227:AK232" si="99">+AB227</f>
        <v>5000000</v>
      </c>
      <c r="AL227" s="535">
        <v>0.12261342077325565</v>
      </c>
      <c r="AM227" s="535">
        <v>0.12436089105619796</v>
      </c>
      <c r="AN227" s="535">
        <v>0.12612392132506978</v>
      </c>
      <c r="AO227" s="757">
        <v>0.12790274588231365</v>
      </c>
      <c r="AP227" s="535">
        <v>0.12969760361917282</v>
      </c>
    </row>
    <row r="228" spans="2:42" ht="18" customHeight="1" thickBot="1" x14ac:dyDescent="0.2">
      <c r="B228" s="63" t="s">
        <v>217</v>
      </c>
      <c r="C228" s="53"/>
      <c r="D228" s="53"/>
      <c r="E228" s="60"/>
      <c r="F228" s="65">
        <f t="shared" ref="F228:H228" si="100">+F$208</f>
        <v>330</v>
      </c>
      <c r="G228" s="65">
        <f t="shared" si="100"/>
        <v>330</v>
      </c>
      <c r="H228" s="65">
        <f t="shared" si="100"/>
        <v>330</v>
      </c>
      <c r="J228" s="63" t="s">
        <v>412</v>
      </c>
      <c r="L228" s="538"/>
      <c r="M228" s="538">
        <v>27.5</v>
      </c>
      <c r="N228" s="539">
        <f>+M228</f>
        <v>27.5</v>
      </c>
      <c r="O228" s="539">
        <f t="shared" si="96"/>
        <v>27.5</v>
      </c>
      <c r="P228" s="539">
        <f t="shared" si="96"/>
        <v>27.5</v>
      </c>
      <c r="Z228" s="1047"/>
      <c r="AA228" s="754">
        <f t="shared" si="97"/>
        <v>20</v>
      </c>
      <c r="AB228" s="51">
        <f t="shared" ref="AB228:AB232" si="101">+AB227+5000000</f>
        <v>10000000</v>
      </c>
      <c r="AC228" s="535">
        <v>0.19607547241377721</v>
      </c>
      <c r="AD228" s="535">
        <v>0.20293667829401474</v>
      </c>
      <c r="AE228" s="535">
        <v>0.21007795502773075</v>
      </c>
      <c r="AF228" s="757">
        <v>0.21751981031943002</v>
      </c>
      <c r="AG228" s="535">
        <v>0.22528484324432241</v>
      </c>
      <c r="AI228" s="1047"/>
      <c r="AJ228" s="754">
        <f t="shared" si="98"/>
        <v>20</v>
      </c>
      <c r="AK228" s="51">
        <f t="shared" si="99"/>
        <v>10000000</v>
      </c>
      <c r="AL228" s="535">
        <v>0.12336838947147188</v>
      </c>
      <c r="AM228" s="535">
        <v>0.12512257047811604</v>
      </c>
      <c r="AN228" s="535">
        <v>0.12689241439941634</v>
      </c>
      <c r="AO228" s="757">
        <v>0.12867815760782597</v>
      </c>
      <c r="AP228" s="535">
        <v>0.13048004111169043</v>
      </c>
    </row>
    <row r="229" spans="2:42" ht="18" customHeight="1" thickTop="1" thickBot="1" x14ac:dyDescent="0.2">
      <c r="B229" s="63" t="s">
        <v>168</v>
      </c>
      <c r="C229" s="53"/>
      <c r="D229" s="53"/>
      <c r="E229" s="64"/>
      <c r="F229" s="65">
        <f>+F227*F228</f>
        <v>0</v>
      </c>
      <c r="G229" s="65">
        <f t="shared" ref="G229" si="102">+G227*G228</f>
        <v>0</v>
      </c>
      <c r="H229" s="65">
        <f t="shared" ref="H229" si="103">+H227*H228</f>
        <v>0</v>
      </c>
      <c r="J229" s="63" t="s">
        <v>413</v>
      </c>
      <c r="L229" s="66"/>
      <c r="M229" s="66">
        <v>0.8</v>
      </c>
      <c r="N229" s="67">
        <f>+M229</f>
        <v>0.8</v>
      </c>
      <c r="O229" s="67">
        <f t="shared" si="96"/>
        <v>0.8</v>
      </c>
      <c r="P229" s="67">
        <f t="shared" si="96"/>
        <v>0.8</v>
      </c>
      <c r="Z229" s="1047"/>
      <c r="AA229" s="759">
        <f t="shared" si="97"/>
        <v>30</v>
      </c>
      <c r="AB229" s="760">
        <f t="shared" si="101"/>
        <v>15000000</v>
      </c>
      <c r="AC229" s="757">
        <v>0.19902032733363506</v>
      </c>
      <c r="AD229" s="757">
        <v>0.20600190670662433</v>
      </c>
      <c r="AE229" s="757">
        <v>0.21327246871906347</v>
      </c>
      <c r="AF229" s="761">
        <v>0.22085344333029111</v>
      </c>
      <c r="AG229" s="757">
        <v>0.22876847016911883</v>
      </c>
      <c r="AI229" s="1047"/>
      <c r="AJ229" s="759">
        <f t="shared" si="98"/>
        <v>30</v>
      </c>
      <c r="AK229" s="760">
        <f t="shared" si="99"/>
        <v>15000000</v>
      </c>
      <c r="AL229" s="757">
        <v>0.12412625191080173</v>
      </c>
      <c r="AM229" s="757">
        <v>0.12588718882737759</v>
      </c>
      <c r="AN229" s="757">
        <v>0.12766389251871724</v>
      </c>
      <c r="AO229" s="761">
        <v>0.12945660144928284</v>
      </c>
      <c r="AP229" s="757">
        <v>0.13126555876703172</v>
      </c>
    </row>
    <row r="230" spans="2:42" ht="18" customHeight="1" thickTop="1" x14ac:dyDescent="0.15">
      <c r="B230" s="63"/>
      <c r="C230" s="53"/>
      <c r="D230" s="53"/>
      <c r="E230" s="64"/>
      <c r="F230" s="91"/>
      <c r="G230" s="91"/>
      <c r="H230" s="91"/>
      <c r="Z230" s="1047"/>
      <c r="AA230" s="754">
        <f t="shared" si="97"/>
        <v>40</v>
      </c>
      <c r="AB230" s="51">
        <f t="shared" si="101"/>
        <v>20000000</v>
      </c>
      <c r="AC230" s="535">
        <v>0.202016884560557</v>
      </c>
      <c r="AD230" s="535">
        <v>0.20912270409707889</v>
      </c>
      <c r="AE230" s="535">
        <v>0.21652682349918728</v>
      </c>
      <c r="AF230" s="757">
        <v>0.22425164797342001</v>
      </c>
      <c r="AG230" s="535">
        <v>0.23232191862360629</v>
      </c>
      <c r="AI230" s="1047"/>
      <c r="AJ230" s="754">
        <f t="shared" si="98"/>
        <v>40</v>
      </c>
      <c r="AK230" s="51">
        <f t="shared" si="99"/>
        <v>20000000</v>
      </c>
      <c r="AL230" s="535">
        <v>0.12488702791561979</v>
      </c>
      <c r="AM230" s="535">
        <v>0.12665476634644168</v>
      </c>
      <c r="AN230" s="535">
        <v>0.12843837635372624</v>
      </c>
      <c r="AO230" s="757">
        <v>0.13023809851619661</v>
      </c>
      <c r="AP230" s="535">
        <v>0.13205417814418574</v>
      </c>
    </row>
    <row r="231" spans="2:42" ht="18" customHeight="1" thickBot="1" x14ac:dyDescent="0.2">
      <c r="B231" s="63" t="s">
        <v>218</v>
      </c>
      <c r="C231" s="53"/>
      <c r="D231" s="53"/>
      <c r="E231" s="53"/>
      <c r="F231" s="100">
        <v>0</v>
      </c>
      <c r="G231" s="100">
        <v>0</v>
      </c>
      <c r="H231" s="100">
        <v>0</v>
      </c>
      <c r="J231" s="1048" t="s">
        <v>233</v>
      </c>
      <c r="K231" s="1048"/>
      <c r="L231" s="53"/>
      <c r="M231" s="49" t="s">
        <v>63</v>
      </c>
      <c r="N231" s="49" t="str">
        <f>+F$42</f>
        <v>I</v>
      </c>
      <c r="O231" s="49" t="str">
        <f>+G$42</f>
        <v>II</v>
      </c>
      <c r="P231" s="49" t="str">
        <f>+H$42</f>
        <v>III</v>
      </c>
      <c r="Z231" s="1047"/>
      <c r="AA231" s="754">
        <f t="shared" si="97"/>
        <v>50</v>
      </c>
      <c r="AB231" s="51">
        <f t="shared" si="101"/>
        <v>25000000</v>
      </c>
      <c r="AC231" s="535">
        <v>0.20506681934749671</v>
      </c>
      <c r="AD231" s="535">
        <v>0.2123009234561386</v>
      </c>
      <c r="AE231" s="535">
        <v>0.21984307371289047</v>
      </c>
      <c r="AF231" s="757">
        <v>0.22771670719247594</v>
      </c>
      <c r="AG231" s="535">
        <v>0.23594773161526983</v>
      </c>
      <c r="AI231" s="1047"/>
      <c r="AJ231" s="754">
        <f t="shared" si="98"/>
        <v>50</v>
      </c>
      <c r="AK231" s="51">
        <f t="shared" si="99"/>
        <v>25000000</v>
      </c>
      <c r="AL231" s="535">
        <v>0.12565073749757016</v>
      </c>
      <c r="AM231" s="535">
        <v>0.12742532346974955</v>
      </c>
      <c r="AN231" s="535">
        <v>0.1292158867720159</v>
      </c>
      <c r="AO231" s="757">
        <v>0.13102267011985935</v>
      </c>
      <c r="AP231" s="535">
        <v>0.1328459210090136</v>
      </c>
    </row>
    <row r="232" spans="2:42" ht="18" customHeight="1" x14ac:dyDescent="0.15">
      <c r="B232" s="63" t="s">
        <v>169</v>
      </c>
      <c r="C232" s="53"/>
      <c r="D232" s="53"/>
      <c r="E232" s="69"/>
      <c r="F232" s="70">
        <f>+F231*F227*12</f>
        <v>0</v>
      </c>
      <c r="G232" s="70">
        <f>+G231*G227*12</f>
        <v>0</v>
      </c>
      <c r="H232" s="70">
        <f>+H231*H227*12</f>
        <v>0</v>
      </c>
      <c r="J232" s="54" t="s">
        <v>485</v>
      </c>
      <c r="K232" s="53"/>
      <c r="L232" s="53"/>
      <c r="M232" s="60"/>
      <c r="N232" s="61"/>
      <c r="O232" s="61"/>
      <c r="P232" s="61"/>
      <c r="Z232" s="1047"/>
      <c r="AA232" s="754">
        <f t="shared" si="97"/>
        <v>60</v>
      </c>
      <c r="AB232" s="51">
        <f t="shared" si="101"/>
        <v>30000000</v>
      </c>
      <c r="AC232" s="535">
        <v>0.20817188466435521</v>
      </c>
      <c r="AD232" s="535">
        <v>0.21553850596820445</v>
      </c>
      <c r="AE232" s="535">
        <v>0.22322337402187364</v>
      </c>
      <c r="AF232" s="757">
        <v>0.23125101829774408</v>
      </c>
      <c r="AG232" s="535">
        <v>0.23964858281954804</v>
      </c>
      <c r="AI232" s="1047"/>
      <c r="AJ232" s="754">
        <f t="shared" si="98"/>
        <v>60</v>
      </c>
      <c r="AK232" s="51">
        <f t="shared" si="99"/>
        <v>30000000</v>
      </c>
      <c r="AL232" s="535">
        <v>0.12641740085773301</v>
      </c>
      <c r="AM232" s="535">
        <v>0.1281988808259511</v>
      </c>
      <c r="AN232" s="535">
        <v>0.12999644484026418</v>
      </c>
      <c r="AO232" s="757">
        <v>0.13181033777569184</v>
      </c>
      <c r="AP232" s="535">
        <v>0.13364080933665723</v>
      </c>
    </row>
    <row r="233" spans="2:42" ht="18" customHeight="1" x14ac:dyDescent="0.15">
      <c r="B233" s="74" t="s">
        <v>211</v>
      </c>
      <c r="C233" s="75"/>
      <c r="D233" s="75"/>
      <c r="E233" s="76">
        <f>+SUM(F233:H233)</f>
        <v>2000964.9322472729</v>
      </c>
      <c r="F233" s="77">
        <f>+F212+F219+F225+F232</f>
        <v>407454.54545454547</v>
      </c>
      <c r="G233" s="77">
        <f>+G212+G219+G225+G232</f>
        <v>541386.32727272727</v>
      </c>
      <c r="H233" s="77">
        <f>+H212+H219+H225+H232</f>
        <v>1052124.0595200001</v>
      </c>
      <c r="J233" s="63" t="s">
        <v>168</v>
      </c>
      <c r="K233" s="53"/>
      <c r="L233" s="53"/>
      <c r="M233" s="64"/>
      <c r="N233" s="61">
        <v>9.9999999999999995E-7</v>
      </c>
      <c r="O233" s="61">
        <v>9.9999999999999995E-7</v>
      </c>
      <c r="P233" s="369">
        <f>+'Parcel Breakdown'!AV26</f>
        <v>234630</v>
      </c>
      <c r="AF233" s="758" t="s">
        <v>775</v>
      </c>
      <c r="AO233" s="758" t="s">
        <v>775</v>
      </c>
    </row>
    <row r="234" spans="2:42" ht="18" customHeight="1" x14ac:dyDescent="0.15">
      <c r="B234" s="78" t="s">
        <v>228</v>
      </c>
      <c r="C234" s="79"/>
      <c r="D234" s="79"/>
      <c r="E234" s="80">
        <f>+SUM(F234:H234)</f>
        <v>237000</v>
      </c>
      <c r="F234" s="81">
        <f>+F209+F216</f>
        <v>83000</v>
      </c>
      <c r="G234" s="81">
        <f>+G209+G216</f>
        <v>105999.99999999999</v>
      </c>
      <c r="H234" s="81">
        <f>+H209+H216</f>
        <v>48000.000000000007</v>
      </c>
      <c r="J234" s="63" t="s">
        <v>119</v>
      </c>
      <c r="K234" s="53"/>
      <c r="L234" s="53"/>
      <c r="M234" s="53"/>
      <c r="N234" s="100">
        <v>12</v>
      </c>
      <c r="O234" s="100">
        <f>+N234*(1+0.02)^2</f>
        <v>12.4848</v>
      </c>
      <c r="P234" s="100">
        <f>+O234*(1+0.02)^2</f>
        <v>12.989185920000001</v>
      </c>
    </row>
    <row r="235" spans="2:42" ht="18" customHeight="1" x14ac:dyDescent="0.15">
      <c r="B235" s="63" t="s">
        <v>229</v>
      </c>
      <c r="C235" s="52"/>
      <c r="E235" s="60">
        <f>+SUM(F235:H235)</f>
        <v>150000</v>
      </c>
      <c r="F235" s="65">
        <f>+F223+F229</f>
        <v>0</v>
      </c>
      <c r="G235" s="65">
        <f>+G223+G229</f>
        <v>0</v>
      </c>
      <c r="H235" s="65">
        <f>+H223+H229</f>
        <v>150000</v>
      </c>
      <c r="J235" s="63" t="s">
        <v>169</v>
      </c>
      <c r="K235" s="53"/>
      <c r="L235" s="53"/>
      <c r="M235" s="69"/>
      <c r="N235" s="70">
        <f>+N234*N233</f>
        <v>1.2E-5</v>
      </c>
      <c r="O235" s="70">
        <f t="shared" ref="O235:P235" si="104">+O234*O233</f>
        <v>1.2484799999999999E-5</v>
      </c>
      <c r="P235" s="70">
        <f t="shared" si="104"/>
        <v>3047652.6924096001</v>
      </c>
    </row>
    <row r="236" spans="2:42" ht="18" customHeight="1" x14ac:dyDescent="0.15">
      <c r="B236" s="83" t="s">
        <v>137</v>
      </c>
      <c r="C236" s="84"/>
      <c r="D236" s="84"/>
      <c r="E236" s="94">
        <f>+IFERROR(E233/SUM(E234:E235),"")</f>
        <v>5.1704520213107825</v>
      </c>
      <c r="F236" s="95">
        <f t="shared" ref="F236:H236" si="105">+IFERROR(F233/SUM(F234:F235),"")</f>
        <v>4.9090909090909092</v>
      </c>
      <c r="G236" s="95">
        <f t="shared" si="105"/>
        <v>5.1074181818181827</v>
      </c>
      <c r="H236" s="95">
        <f t="shared" si="105"/>
        <v>5.3137578763636366</v>
      </c>
      <c r="J236" s="54" t="s">
        <v>19</v>
      </c>
      <c r="L236" s="52"/>
      <c r="M236" s="60"/>
      <c r="N236" s="61"/>
      <c r="O236" s="61"/>
      <c r="P236" s="61"/>
      <c r="AC236" s="1045" t="s">
        <v>778</v>
      </c>
      <c r="AD236" s="1045"/>
      <c r="AE236" s="1045"/>
      <c r="AF236" s="1045"/>
      <c r="AG236" s="1045"/>
      <c r="AL236" s="1045" t="s">
        <v>354</v>
      </c>
      <c r="AM236" s="1045"/>
      <c r="AN236" s="1045"/>
      <c r="AO236" s="1045"/>
      <c r="AP236" s="1045"/>
    </row>
    <row r="237" spans="2:42" ht="18" customHeight="1" thickBot="1" x14ac:dyDescent="0.2">
      <c r="J237" s="63" t="s">
        <v>168</v>
      </c>
      <c r="L237" s="52"/>
      <c r="M237" s="64"/>
      <c r="N237" s="61">
        <v>0</v>
      </c>
      <c r="O237" s="61">
        <v>0</v>
      </c>
      <c r="P237" s="61">
        <v>0</v>
      </c>
      <c r="AC237" s="1046" t="s">
        <v>774</v>
      </c>
      <c r="AD237" s="1046"/>
      <c r="AE237" s="1046"/>
      <c r="AF237" s="1046"/>
      <c r="AG237" s="1046"/>
      <c r="AL237" s="1046" t="s">
        <v>774</v>
      </c>
      <c r="AM237" s="1046"/>
      <c r="AN237" s="1046"/>
      <c r="AO237" s="1046"/>
      <c r="AP237" s="1046"/>
    </row>
    <row r="238" spans="2:42" ht="18" customHeight="1" x14ac:dyDescent="0.15">
      <c r="D238" s="51"/>
      <c r="E238" s="51"/>
      <c r="J238" s="63" t="s">
        <v>119</v>
      </c>
      <c r="L238" s="52"/>
      <c r="M238" s="53"/>
      <c r="N238" s="100">
        <v>12</v>
      </c>
      <c r="O238" s="100">
        <v>12</v>
      </c>
      <c r="P238" s="100">
        <v>12</v>
      </c>
      <c r="AB238" s="753">
        <f ca="1">+$F$3</f>
        <v>0.30116005615140645</v>
      </c>
      <c r="AC238" s="755">
        <f>+AC225</f>
        <v>25000</v>
      </c>
      <c r="AD238" s="755">
        <f t="shared" ref="AD238:AG238" si="106">+AD225</f>
        <v>50000</v>
      </c>
      <c r="AE238" s="755">
        <f t="shared" si="106"/>
        <v>75000</v>
      </c>
      <c r="AF238" s="756">
        <f t="shared" si="106"/>
        <v>100000</v>
      </c>
      <c r="AG238" s="755">
        <f t="shared" si="106"/>
        <v>125000</v>
      </c>
      <c r="AK238" s="753">
        <f ca="1">+$AL$219</f>
        <v>3.749012778894238</v>
      </c>
      <c r="AL238" s="755">
        <f>+AC238</f>
        <v>25000</v>
      </c>
      <c r="AM238" s="755">
        <f t="shared" ref="AM238" si="107">+AD238</f>
        <v>50000</v>
      </c>
      <c r="AN238" s="755">
        <f t="shared" ref="AN238" si="108">+AE238</f>
        <v>75000</v>
      </c>
      <c r="AO238" s="756">
        <f t="shared" ref="AO238" si="109">+AF238</f>
        <v>100000</v>
      </c>
      <c r="AP238" s="755">
        <f t="shared" ref="AP238" si="110">+AG238</f>
        <v>125000</v>
      </c>
    </row>
    <row r="239" spans="2:42" ht="18" customHeight="1" x14ac:dyDescent="0.15">
      <c r="D239" s="51"/>
      <c r="E239" s="51"/>
      <c r="J239" s="63" t="s">
        <v>169</v>
      </c>
      <c r="L239" s="52"/>
      <c r="M239" s="69"/>
      <c r="N239" s="70">
        <f>+N238*N237</f>
        <v>0</v>
      </c>
      <c r="O239" s="70">
        <f t="shared" ref="O239:P239" si="111">+O238*O237</f>
        <v>0</v>
      </c>
      <c r="P239" s="70">
        <f t="shared" si="111"/>
        <v>0</v>
      </c>
      <c r="Z239" s="1047" t="s">
        <v>773</v>
      </c>
      <c r="AA239" s="754">
        <f>+AB239*2/1000000</f>
        <v>0</v>
      </c>
      <c r="AB239" s="51">
        <f>+AB226</f>
        <v>0</v>
      </c>
      <c r="AC239" s="535">
        <v>0.2589832837326369</v>
      </c>
      <c r="AD239" s="535">
        <v>0.26809387956729402</v>
      </c>
      <c r="AE239" s="535">
        <v>0.27758496163564722</v>
      </c>
      <c r="AF239" s="757">
        <v>0.28748369511605182</v>
      </c>
      <c r="AG239" s="535">
        <v>0.29781988395952763</v>
      </c>
      <c r="AI239" s="1047" t="s">
        <v>773</v>
      </c>
      <c r="AJ239" s="754">
        <f>+AK239*2/1000000</f>
        <v>0</v>
      </c>
      <c r="AK239" s="51">
        <f>+AB239</f>
        <v>0</v>
      </c>
      <c r="AL239" s="762">
        <v>3.1408864216343462</v>
      </c>
      <c r="AM239" s="762">
        <v>3.2637421268258118</v>
      </c>
      <c r="AN239" s="762">
        <v>3.3966000657360134</v>
      </c>
      <c r="AO239" s="763">
        <v>3.5407335618831097</v>
      </c>
      <c r="AP239" s="762">
        <v>3.6976416488013029</v>
      </c>
    </row>
    <row r="240" spans="2:42" ht="18" customHeight="1" x14ac:dyDescent="0.15">
      <c r="D240" s="51"/>
      <c r="E240" s="51"/>
      <c r="J240" s="74" t="s">
        <v>234</v>
      </c>
      <c r="K240" s="75"/>
      <c r="L240" s="75"/>
      <c r="M240" s="76">
        <f>+SUM(N240:P240)</f>
        <v>3047652.6924340851</v>
      </c>
      <c r="N240" s="77">
        <f>+N235+N239</f>
        <v>1.2E-5</v>
      </c>
      <c r="O240" s="77">
        <f t="shared" ref="O240:P240" si="112">+O235+O239</f>
        <v>1.2484799999999999E-5</v>
      </c>
      <c r="P240" s="77">
        <f t="shared" si="112"/>
        <v>3047652.6924096001</v>
      </c>
      <c r="Z240" s="1047"/>
      <c r="AA240" s="754">
        <f t="shared" ref="AA240:AA245" si="113">+AB240*2/1000000</f>
        <v>10</v>
      </c>
      <c r="AB240" s="51">
        <f t="shared" ref="AB240:AB245" si="114">+AB227</f>
        <v>5000000</v>
      </c>
      <c r="AC240" s="535">
        <v>0.26292559018972428</v>
      </c>
      <c r="AD240" s="535">
        <v>0.27219995012148412</v>
      </c>
      <c r="AE240" s="535">
        <v>0.28186663085107022</v>
      </c>
      <c r="AF240" s="757">
        <v>0.29195396943942165</v>
      </c>
      <c r="AG240" s="535">
        <v>0.30249308130747693</v>
      </c>
      <c r="AI240" s="1047"/>
      <c r="AJ240" s="754">
        <f t="shared" ref="AJ240:AJ245" si="115">+AK240*2/1000000</f>
        <v>10</v>
      </c>
      <c r="AK240" s="51">
        <f t="shared" ref="AK240:AK245" si="116">+AB240</f>
        <v>5000000</v>
      </c>
      <c r="AL240" s="762">
        <v>3.1933445172931352</v>
      </c>
      <c r="AM240" s="762">
        <v>3.3204213046985047</v>
      </c>
      <c r="AN240" s="762">
        <v>3.4580310992120702</v>
      </c>
      <c r="AO240" s="763">
        <v>3.6075400938419282</v>
      </c>
      <c r="AP240" s="762">
        <v>3.7705614294921306</v>
      </c>
    </row>
    <row r="241" spans="4:42" ht="18" customHeight="1" thickBot="1" x14ac:dyDescent="0.2">
      <c r="D241" s="51"/>
      <c r="E241" s="51"/>
      <c r="J241" s="78" t="s">
        <v>134</v>
      </c>
      <c r="K241" s="79"/>
      <c r="L241" s="79"/>
      <c r="M241" s="80">
        <f>+SUM(N241:P241)</f>
        <v>234630.00000199999</v>
      </c>
      <c r="N241" s="81">
        <f>+N233+N237</f>
        <v>9.9999999999999995E-7</v>
      </c>
      <c r="O241" s="81">
        <f t="shared" ref="O241:P241" si="117">+O233+O237</f>
        <v>9.9999999999999995E-7</v>
      </c>
      <c r="P241" s="81">
        <f t="shared" si="117"/>
        <v>234630</v>
      </c>
      <c r="Z241" s="1047"/>
      <c r="AA241" s="754">
        <f t="shared" si="113"/>
        <v>20</v>
      </c>
      <c r="AB241" s="51">
        <f t="shared" si="114"/>
        <v>10000000</v>
      </c>
      <c r="AC241" s="535">
        <v>0.26693834148869722</v>
      </c>
      <c r="AD241" s="535">
        <v>0.27638161365278785</v>
      </c>
      <c r="AE241" s="535">
        <v>0.28622955976645725</v>
      </c>
      <c r="AF241" s="757">
        <v>0.29651175223602816</v>
      </c>
      <c r="AG241" s="535">
        <v>0.30726068989022248</v>
      </c>
      <c r="AI241" s="1047"/>
      <c r="AJ241" s="754">
        <f t="shared" si="115"/>
        <v>20</v>
      </c>
      <c r="AK241" s="51">
        <f t="shared" si="116"/>
        <v>10000000</v>
      </c>
      <c r="AL241" s="762">
        <v>3.2475846532065105</v>
      </c>
      <c r="AM241" s="762">
        <v>3.3791038914568094</v>
      </c>
      <c r="AN241" s="762">
        <v>3.5217251495472031</v>
      </c>
      <c r="AO241" s="763">
        <v>3.6769161171423432</v>
      </c>
      <c r="AP241" s="762">
        <v>3.846415114967642</v>
      </c>
    </row>
    <row r="242" spans="4:42" ht="18" customHeight="1" thickTop="1" thickBot="1" x14ac:dyDescent="0.2">
      <c r="D242" s="51"/>
      <c r="E242" s="51"/>
      <c r="J242" s="83" t="s">
        <v>137</v>
      </c>
      <c r="K242" s="84"/>
      <c r="L242" s="84"/>
      <c r="M242" s="94">
        <f>+IFERROR(M240/M241,"")</f>
        <v>12.989185919993636</v>
      </c>
      <c r="N242" s="95">
        <f>+IFERROR(N240/N241,"")</f>
        <v>12</v>
      </c>
      <c r="O242" s="95">
        <f t="shared" ref="O242:P242" si="118">+IFERROR(O240/O241,"")</f>
        <v>12.4848</v>
      </c>
      <c r="P242" s="95">
        <f t="shared" si="118"/>
        <v>12.989185920000001</v>
      </c>
      <c r="Z242" s="1047"/>
      <c r="AA242" s="759">
        <f t="shared" si="113"/>
        <v>30</v>
      </c>
      <c r="AB242" s="760">
        <f t="shared" si="114"/>
        <v>15000000</v>
      </c>
      <c r="AC242" s="757">
        <v>0.27102377404690958</v>
      </c>
      <c r="AD242" s="757">
        <v>0.28064133533371749</v>
      </c>
      <c r="AE242" s="757">
        <v>0.29067647096660926</v>
      </c>
      <c r="AF242" s="761">
        <v>0.30116005615140645</v>
      </c>
      <c r="AG242" s="757">
        <v>0.31212604959119156</v>
      </c>
      <c r="AI242" s="1047"/>
      <c r="AJ242" s="759">
        <f t="shared" si="115"/>
        <v>30</v>
      </c>
      <c r="AK242" s="760">
        <f t="shared" si="116"/>
        <v>15000000</v>
      </c>
      <c r="AL242" s="763">
        <v>3.3036992042309938</v>
      </c>
      <c r="AM242" s="763">
        <v>3.4398980182779066</v>
      </c>
      <c r="AN242" s="763">
        <v>3.587809611906644</v>
      </c>
      <c r="AO242" s="770">
        <v>3.749012778894238</v>
      </c>
      <c r="AP242" s="763">
        <v>3.9253834076049978</v>
      </c>
    </row>
    <row r="243" spans="4:42" ht="18" customHeight="1" thickTop="1" x14ac:dyDescent="0.15">
      <c r="D243" s="51"/>
      <c r="E243" s="51"/>
      <c r="Z243" s="1047"/>
      <c r="AA243" s="754">
        <f t="shared" si="113"/>
        <v>40</v>
      </c>
      <c r="AB243" s="51">
        <f t="shared" si="114"/>
        <v>20000000</v>
      </c>
      <c r="AC243" s="535">
        <v>0.2751842248968604</v>
      </c>
      <c r="AD243" s="535">
        <v>0.28498169381601268</v>
      </c>
      <c r="AE243" s="535">
        <v>0.29521021523509727</v>
      </c>
      <c r="AF243" s="757">
        <v>0.30590203887467965</v>
      </c>
      <c r="AG243" s="535">
        <v>0.31709266460623037</v>
      </c>
      <c r="AI243" s="1047"/>
      <c r="AJ243" s="754">
        <f t="shared" si="115"/>
        <v>40</v>
      </c>
      <c r="AK243" s="51">
        <f t="shared" si="116"/>
        <v>20000000</v>
      </c>
      <c r="AL243" s="762">
        <v>3.3617870420078901</v>
      </c>
      <c r="AM243" s="762">
        <v>3.5029197405425201</v>
      </c>
      <c r="AN243" s="762">
        <v>3.6564216264977323</v>
      </c>
      <c r="AO243" s="763">
        <v>3.8239933180220134</v>
      </c>
      <c r="AP243" s="762">
        <v>4.0076621603688762</v>
      </c>
    </row>
    <row r="244" spans="4:42" ht="18" customHeight="1" x14ac:dyDescent="0.15">
      <c r="D244" s="51"/>
      <c r="E244" s="51"/>
      <c r="Z244" s="1047"/>
      <c r="AA244" s="754">
        <f t="shared" si="113"/>
        <v>50</v>
      </c>
      <c r="AB244" s="51">
        <f t="shared" si="114"/>
        <v>25000000</v>
      </c>
      <c r="AC244" s="535">
        <v>0.27942213743100136</v>
      </c>
      <c r="AD244" s="535">
        <v>0.28940538782883873</v>
      </c>
      <c r="AE244" s="535">
        <v>0.29983377913757453</v>
      </c>
      <c r="AF244" s="757">
        <v>0.31074101185588815</v>
      </c>
      <c r="AG244" s="535">
        <v>0.32216421346089064</v>
      </c>
      <c r="AI244" s="1047"/>
      <c r="AJ244" s="754">
        <f t="shared" si="115"/>
        <v>50</v>
      </c>
      <c r="AK244" s="51">
        <f t="shared" si="116"/>
        <v>25000000</v>
      </c>
      <c r="AL244" s="762">
        <v>3.4219541163393972</v>
      </c>
      <c r="AM244" s="762">
        <v>3.5682937772711769</v>
      </c>
      <c r="AN244" s="762">
        <v>3.7277090285406866</v>
      </c>
      <c r="AO244" s="763">
        <v>3.9020342991279731</v>
      </c>
      <c r="AP244" s="762">
        <v>4.0934639986401189</v>
      </c>
    </row>
    <row r="245" spans="4:42" ht="18" customHeight="1" x14ac:dyDescent="0.15">
      <c r="D245" s="51"/>
      <c r="E245" s="51"/>
      <c r="Z245" s="1047"/>
      <c r="AA245" s="754">
        <f t="shared" si="113"/>
        <v>60</v>
      </c>
      <c r="AB245" s="51">
        <f t="shared" si="114"/>
        <v>30000000</v>
      </c>
      <c r="AC245" s="535">
        <v>0.28374006753554915</v>
      </c>
      <c r="AD245" s="535">
        <v>0.29391524322896029</v>
      </c>
      <c r="AE245" s="535">
        <v>0.3045502931293661</v>
      </c>
      <c r="AF245" s="757">
        <v>0.31568044962979519</v>
      </c>
      <c r="AG245" s="535">
        <v>0.32734455972635484</v>
      </c>
      <c r="AI245" s="1047"/>
      <c r="AJ245" s="754">
        <f t="shared" si="115"/>
        <v>60</v>
      </c>
      <c r="AK245" s="51">
        <f t="shared" si="116"/>
        <v>30000000</v>
      </c>
      <c r="AL245" s="762">
        <v>3.4843141001329587</v>
      </c>
      <c r="AM245" s="762">
        <v>3.6361543349344982</v>
      </c>
      <c r="AN245" s="762">
        <v>3.8018314115756322</v>
      </c>
      <c r="AO245" s="763">
        <v>3.9833270005892403</v>
      </c>
      <c r="AP245" s="762">
        <v>4.1830201549370418</v>
      </c>
    </row>
    <row r="246" spans="4:42" ht="18" customHeight="1" x14ac:dyDescent="0.15">
      <c r="D246" s="51"/>
      <c r="E246" s="51"/>
      <c r="AF246" s="758" t="s">
        <v>775</v>
      </c>
      <c r="AO246" s="758" t="s">
        <v>775</v>
      </c>
    </row>
    <row r="247" spans="4:42" ht="18" customHeight="1" x14ac:dyDescent="0.15">
      <c r="D247" s="51"/>
      <c r="E247" s="51"/>
    </row>
    <row r="248" spans="4:42" ht="18" customHeight="1" x14ac:dyDescent="0.15">
      <c r="D248" s="51"/>
      <c r="E248" s="51"/>
    </row>
    <row r="249" spans="4:42" ht="18" customHeight="1" x14ac:dyDescent="0.15">
      <c r="D249" s="51"/>
      <c r="E249" s="51"/>
      <c r="AC249" s="1045" t="s">
        <v>776</v>
      </c>
      <c r="AD249" s="1045"/>
      <c r="AE249" s="1045"/>
      <c r="AF249" s="1045"/>
      <c r="AG249" s="1045"/>
      <c r="AL249" s="1045" t="s">
        <v>777</v>
      </c>
      <c r="AM249" s="1045"/>
      <c r="AN249" s="1045"/>
      <c r="AO249" s="1045"/>
      <c r="AP249" s="1045"/>
    </row>
    <row r="250" spans="4:42" ht="18" customHeight="1" thickBot="1" x14ac:dyDescent="0.2">
      <c r="AC250" s="1046" t="s">
        <v>780</v>
      </c>
      <c r="AD250" s="1046"/>
      <c r="AE250" s="1046"/>
      <c r="AF250" s="1046"/>
      <c r="AG250" s="1046"/>
      <c r="AL250" s="1046" t="str">
        <f>+AC250</f>
        <v>Office Rents PSF</v>
      </c>
      <c r="AM250" s="1046"/>
      <c r="AN250" s="1046"/>
      <c r="AO250" s="1046"/>
      <c r="AP250" s="1046"/>
    </row>
    <row r="251" spans="4:42" ht="16" x14ac:dyDescent="0.15">
      <c r="D251" s="51"/>
      <c r="E251" s="51"/>
      <c r="AB251" s="753">
        <f ca="1">+$E$3</f>
        <v>0.22085344333029133</v>
      </c>
      <c r="AC251" s="766">
        <f>+AD251-2</f>
        <v>18</v>
      </c>
      <c r="AD251" s="766">
        <f>+AE251-2</f>
        <v>20</v>
      </c>
      <c r="AE251" s="766">
        <f>+AF251-2</f>
        <v>22</v>
      </c>
      <c r="AF251" s="765">
        <v>24</v>
      </c>
      <c r="AG251" s="766">
        <f>+AF251+2</f>
        <v>26</v>
      </c>
      <c r="AK251" s="753">
        <f ca="1">+$E$4</f>
        <v>0.12945660144928284</v>
      </c>
      <c r="AL251" s="766">
        <f>+AC251</f>
        <v>18</v>
      </c>
      <c r="AM251" s="766">
        <f t="shared" ref="AM251" si="119">+AD251</f>
        <v>20</v>
      </c>
      <c r="AN251" s="766">
        <f t="shared" ref="AN251" si="120">+AE251</f>
        <v>22</v>
      </c>
      <c r="AO251" s="765">
        <f t="shared" ref="AO251" si="121">+AF251</f>
        <v>24</v>
      </c>
      <c r="AP251" s="766">
        <f t="shared" ref="AP251" si="122">+AG251</f>
        <v>26</v>
      </c>
    </row>
    <row r="252" spans="4:42" ht="16" x14ac:dyDescent="0.15">
      <c r="D252" s="51"/>
      <c r="E252" s="51"/>
      <c r="AB252" s="753"/>
      <c r="AC252" s="871"/>
      <c r="AD252" s="871"/>
      <c r="AE252" s="871"/>
      <c r="AF252" s="872"/>
      <c r="AG252" s="871"/>
      <c r="AK252" s="753"/>
      <c r="AL252" s="871"/>
      <c r="AM252" s="871"/>
      <c r="AN252" s="871"/>
      <c r="AO252" s="872"/>
      <c r="AP252" s="871"/>
    </row>
    <row r="253" spans="4:42" ht="18" customHeight="1" x14ac:dyDescent="0.15">
      <c r="D253" s="51"/>
      <c r="E253" s="51"/>
      <c r="Z253" s="1047" t="s">
        <v>781</v>
      </c>
      <c r="AA253" s="768">
        <f>+AB253</f>
        <v>8.0000000000000016E-2</v>
      </c>
      <c r="AB253" s="227">
        <f>+AB254+0.5%</f>
        <v>8.0000000000000016E-2</v>
      </c>
      <c r="AC253" s="535">
        <v>0.14205340327421356</v>
      </c>
      <c r="AD253" s="535">
        <v>0.16051176391881805</v>
      </c>
      <c r="AE253" s="535">
        <v>0.17906202716974273</v>
      </c>
      <c r="AF253" s="757">
        <v>0.19789856268024009</v>
      </c>
      <c r="AG253" s="535">
        <v>0.21704283164269533</v>
      </c>
      <c r="AI253" s="1047" t="s">
        <v>781</v>
      </c>
      <c r="AJ253" s="768">
        <f>+AK253</f>
        <v>8.0000000000000016E-2</v>
      </c>
      <c r="AK253" s="227">
        <f>+AB253</f>
        <v>8.0000000000000016E-2</v>
      </c>
      <c r="AL253" s="535">
        <v>0.10324961181012138</v>
      </c>
      <c r="AM253" s="535">
        <v>0.10944520034180294</v>
      </c>
      <c r="AN253" s="535">
        <v>0.11553870603345895</v>
      </c>
      <c r="AO253" s="757">
        <v>0.12153151688628383</v>
      </c>
      <c r="AP253" s="535">
        <v>0.12742854118313685</v>
      </c>
    </row>
    <row r="254" spans="4:42" ht="18" customHeight="1" x14ac:dyDescent="0.15">
      <c r="D254" s="51"/>
      <c r="E254" s="51"/>
      <c r="Z254" s="1047"/>
      <c r="AA254" s="768">
        <f t="shared" ref="AA254:AA259" si="123">+AB254</f>
        <v>7.5000000000000011E-2</v>
      </c>
      <c r="AB254" s="227">
        <f>+AB255+0.5%</f>
        <v>7.5000000000000011E-2</v>
      </c>
      <c r="AC254" s="535">
        <v>0.14762342671245854</v>
      </c>
      <c r="AD254" s="535">
        <v>0.16647999113461509</v>
      </c>
      <c r="AE254" s="535">
        <v>0.18567260072908698</v>
      </c>
      <c r="AF254" s="757">
        <v>0.20522804180846244</v>
      </c>
      <c r="AG254" s="535">
        <v>0.22517205417697084</v>
      </c>
      <c r="AI254" s="1047"/>
      <c r="AJ254" s="768">
        <f t="shared" ref="AJ254:AJ259" si="124">+AK254</f>
        <v>7.5000000000000011E-2</v>
      </c>
      <c r="AK254" s="227">
        <f t="shared" ref="AK254:AK259" si="125">+AB254</f>
        <v>7.5000000000000011E-2</v>
      </c>
      <c r="AL254" s="535">
        <v>0.10512794546624549</v>
      </c>
      <c r="AM254" s="535">
        <v>0.11148628217644396</v>
      </c>
      <c r="AN254" s="535">
        <v>0.11772933598491164</v>
      </c>
      <c r="AO254" s="757">
        <v>0.12386304444416818</v>
      </c>
      <c r="AP254" s="535">
        <v>0.12989296870737377</v>
      </c>
    </row>
    <row r="255" spans="4:42" ht="18" customHeight="1" thickBot="1" x14ac:dyDescent="0.2">
      <c r="D255" s="51"/>
      <c r="E255" s="51"/>
      <c r="Z255" s="1047"/>
      <c r="AA255" s="768">
        <f t="shared" si="123"/>
        <v>7.0000000000000007E-2</v>
      </c>
      <c r="AB255" s="227">
        <f>+AB256+0.5%</f>
        <v>7.0000000000000007E-2</v>
      </c>
      <c r="AC255" s="535">
        <v>0.15339420274596938</v>
      </c>
      <c r="AD255" s="535">
        <v>0.17310479970315229</v>
      </c>
      <c r="AE255" s="535">
        <v>0.19319497016081</v>
      </c>
      <c r="AF255" s="757">
        <v>0.21349741055511062</v>
      </c>
      <c r="AG255" s="535">
        <v>0.23420496490321807</v>
      </c>
      <c r="AI255" s="1047"/>
      <c r="AJ255" s="768">
        <f t="shared" si="124"/>
        <v>7.0000000000000007E-2</v>
      </c>
      <c r="AK255" s="227">
        <f t="shared" si="125"/>
        <v>7.0000000000000007E-2</v>
      </c>
      <c r="AL255" s="535">
        <v>0.10725118357048702</v>
      </c>
      <c r="AM255" s="535">
        <v>0.11378632023663848</v>
      </c>
      <c r="AN255" s="535">
        <v>0.12019540016869867</v>
      </c>
      <c r="AO255" s="757">
        <v>0.12648522913888782</v>
      </c>
      <c r="AP255" s="535">
        <v>0.13266214537439813</v>
      </c>
    </row>
    <row r="256" spans="4:42" ht="18" customHeight="1" thickTop="1" thickBot="1" x14ac:dyDescent="0.2">
      <c r="D256" s="51"/>
      <c r="E256" s="51"/>
      <c r="Z256" s="1047"/>
      <c r="AA256" s="769">
        <f t="shared" si="123"/>
        <v>6.5000000000000002E-2</v>
      </c>
      <c r="AB256" s="767">
        <v>6.5000000000000002E-2</v>
      </c>
      <c r="AC256" s="757">
        <v>0.15915945583408053</v>
      </c>
      <c r="AD256" s="757">
        <v>0.17930248424144102</v>
      </c>
      <c r="AE256" s="757">
        <v>0.19985682314215092</v>
      </c>
      <c r="AF256" s="761">
        <v>0.22085344333004908</v>
      </c>
      <c r="AG256" s="757">
        <v>0.24232156880176947</v>
      </c>
      <c r="AI256" s="1047"/>
      <c r="AJ256" s="769">
        <f t="shared" si="124"/>
        <v>6.5000000000000002E-2</v>
      </c>
      <c r="AK256" s="767">
        <f t="shared" si="125"/>
        <v>6.5000000000000002E-2</v>
      </c>
      <c r="AL256" s="757">
        <v>0.10966529350342502</v>
      </c>
      <c r="AM256" s="757">
        <v>0.11639831723157945</v>
      </c>
      <c r="AN256" s="757">
        <v>0.12299280156227077</v>
      </c>
      <c r="AO256" s="761">
        <v>0.1294566014492422</v>
      </c>
      <c r="AP256" s="757">
        <v>0.13579698940375939</v>
      </c>
    </row>
    <row r="257" spans="4:42" ht="18" customHeight="1" thickTop="1" x14ac:dyDescent="0.15">
      <c r="D257" s="51"/>
      <c r="E257" s="51"/>
      <c r="Z257" s="1047"/>
      <c r="AA257" s="768">
        <f t="shared" si="123"/>
        <v>6.0000000000000005E-2</v>
      </c>
      <c r="AB257" s="227">
        <f>+AB256-0.5%</f>
        <v>6.0000000000000005E-2</v>
      </c>
      <c r="AC257" s="535">
        <v>0.16546106940758398</v>
      </c>
      <c r="AD257" s="535">
        <v>0.18592876123562263</v>
      </c>
      <c r="AE257" s="535">
        <v>0.20673879816243046</v>
      </c>
      <c r="AF257" s="757">
        <v>0.22792559165259152</v>
      </c>
      <c r="AG257" s="535">
        <v>0.24952159948070496</v>
      </c>
      <c r="AI257" s="1047"/>
      <c r="AJ257" s="768">
        <f t="shared" si="124"/>
        <v>6.0000000000000005E-2</v>
      </c>
      <c r="AK257" s="227">
        <f t="shared" si="125"/>
        <v>6.0000000000000005E-2</v>
      </c>
      <c r="AL257" s="535">
        <v>0.11243489139944862</v>
      </c>
      <c r="AM257" s="535">
        <v>0.11939092517684391</v>
      </c>
      <c r="AN257" s="535">
        <v>0.12619382148560643</v>
      </c>
      <c r="AO257" s="757">
        <v>0.13285271820986844</v>
      </c>
      <c r="AP257" s="535">
        <v>0.13937602388974724</v>
      </c>
    </row>
    <row r="258" spans="4:42" ht="18" customHeight="1" x14ac:dyDescent="0.15">
      <c r="D258" s="51"/>
      <c r="E258" s="51"/>
      <c r="Z258" s="1047"/>
      <c r="AA258" s="768">
        <f t="shared" si="123"/>
        <v>5.5000000000000007E-2</v>
      </c>
      <c r="AB258" s="227">
        <f t="shared" ref="AB258:AB259" si="126">+AB257-0.5%</f>
        <v>5.5000000000000007E-2</v>
      </c>
      <c r="AC258" s="535">
        <v>0.17257783812561378</v>
      </c>
      <c r="AD258" s="535">
        <v>0.19339182348688855</v>
      </c>
      <c r="AE258" s="535">
        <v>0.21447217405579155</v>
      </c>
      <c r="AF258" s="757">
        <v>0.23585794741064547</v>
      </c>
      <c r="AG258" s="535">
        <v>0.25758580318050717</v>
      </c>
      <c r="AI258" s="1047"/>
      <c r="AJ258" s="768">
        <f t="shared" si="124"/>
        <v>5.5000000000000007E-2</v>
      </c>
      <c r="AK258" s="227">
        <f t="shared" si="125"/>
        <v>5.5000000000000007E-2</v>
      </c>
      <c r="AL258" s="535">
        <v>0.1156454257825732</v>
      </c>
      <c r="AM258" s="535">
        <v>0.12285473736912178</v>
      </c>
      <c r="AN258" s="535">
        <v>0.12989365871936664</v>
      </c>
      <c r="AO258" s="757">
        <v>0.13677291750116893</v>
      </c>
      <c r="AP258" s="535">
        <v>0.14350232120393613</v>
      </c>
    </row>
    <row r="259" spans="4:42" ht="18" customHeight="1" x14ac:dyDescent="0.15">
      <c r="D259" s="51"/>
      <c r="E259" s="51"/>
      <c r="Z259" s="1047"/>
      <c r="AA259" s="768">
        <f t="shared" si="123"/>
        <v>5.000000000000001E-2</v>
      </c>
      <c r="AB259" s="227">
        <f t="shared" si="126"/>
        <v>5.000000000000001E-2</v>
      </c>
      <c r="AC259" s="535">
        <v>0.18069106574758464</v>
      </c>
      <c r="AD259" s="535">
        <v>0.20187528644449304</v>
      </c>
      <c r="AE259" s="535">
        <v>0.22324184772679745</v>
      </c>
      <c r="AF259" s="757">
        <v>0.24483591117641179</v>
      </c>
      <c r="AG259" s="535">
        <v>0.266699483608692</v>
      </c>
      <c r="AI259" s="1047"/>
      <c r="AJ259" s="768">
        <f t="shared" si="124"/>
        <v>5.000000000000001E-2</v>
      </c>
      <c r="AK259" s="227">
        <f t="shared" si="125"/>
        <v>5.000000000000001E-2</v>
      </c>
      <c r="AL259" s="535">
        <v>0.11941239031191664</v>
      </c>
      <c r="AM259" s="535">
        <v>0.12691191450877692</v>
      </c>
      <c r="AN259" s="535">
        <v>0.1342204122414743</v>
      </c>
      <c r="AO259" s="757">
        <v>0.14135061121847281</v>
      </c>
      <c r="AP259" s="535">
        <v>0.14831406654695889</v>
      </c>
    </row>
    <row r="260" spans="4:42" ht="18" customHeight="1" x14ac:dyDescent="0.15">
      <c r="D260" s="51"/>
      <c r="E260" s="51"/>
      <c r="AF260" s="758" t="s">
        <v>775</v>
      </c>
      <c r="AO260" s="758" t="s">
        <v>775</v>
      </c>
    </row>
    <row r="261" spans="4:42" ht="18" customHeight="1" x14ac:dyDescent="0.15">
      <c r="D261" s="51"/>
      <c r="E261" s="51"/>
    </row>
    <row r="262" spans="4:42" ht="18" customHeight="1" x14ac:dyDescent="0.15">
      <c r="D262" s="51"/>
      <c r="E262" s="51"/>
    </row>
    <row r="263" spans="4:42" ht="18" customHeight="1" x14ac:dyDescent="0.15">
      <c r="D263" s="51"/>
      <c r="E263" s="51"/>
      <c r="AC263" s="1045" t="s">
        <v>778</v>
      </c>
      <c r="AD263" s="1045"/>
      <c r="AE263" s="1045"/>
      <c r="AF263" s="1045"/>
      <c r="AG263" s="1045"/>
      <c r="AL263" s="1045" t="s">
        <v>354</v>
      </c>
      <c r="AM263" s="1045"/>
      <c r="AN263" s="1045"/>
      <c r="AO263" s="1045"/>
      <c r="AP263" s="1045"/>
    </row>
    <row r="264" spans="4:42" ht="18" customHeight="1" thickBot="1" x14ac:dyDescent="0.2">
      <c r="D264" s="51"/>
      <c r="E264" s="51"/>
      <c r="AC264" s="1046" t="str">
        <f>+AC250</f>
        <v>Office Rents PSF</v>
      </c>
      <c r="AD264" s="1046"/>
      <c r="AE264" s="1046"/>
      <c r="AF264" s="1046"/>
      <c r="AG264" s="1046"/>
      <c r="AL264" s="1046" t="str">
        <f>+AC264</f>
        <v>Office Rents PSF</v>
      </c>
      <c r="AM264" s="1046"/>
      <c r="AN264" s="1046"/>
      <c r="AO264" s="1046"/>
      <c r="AP264" s="1046"/>
    </row>
    <row r="265" spans="4:42" ht="18" customHeight="1" x14ac:dyDescent="0.15">
      <c r="D265" s="51"/>
      <c r="E265" s="51"/>
      <c r="AB265" s="753">
        <f ca="1">+$F$3</f>
        <v>0.30116005615140645</v>
      </c>
      <c r="AC265" s="766">
        <f>+AC251</f>
        <v>18</v>
      </c>
      <c r="AD265" s="766">
        <f t="shared" ref="AD265:AG265" si="127">+AD251</f>
        <v>20</v>
      </c>
      <c r="AE265" s="766">
        <f t="shared" si="127"/>
        <v>22</v>
      </c>
      <c r="AF265" s="765">
        <f t="shared" si="127"/>
        <v>24</v>
      </c>
      <c r="AG265" s="766">
        <f t="shared" si="127"/>
        <v>26</v>
      </c>
      <c r="AK265" s="753">
        <f ca="1">+$AL$219</f>
        <v>3.749012778894238</v>
      </c>
      <c r="AL265" s="766">
        <f>+AC265</f>
        <v>18</v>
      </c>
      <c r="AM265" s="766">
        <f t="shared" ref="AM265" si="128">+AD265</f>
        <v>20</v>
      </c>
      <c r="AN265" s="766">
        <f t="shared" ref="AN265" si="129">+AE265</f>
        <v>22</v>
      </c>
      <c r="AO265" s="765">
        <f t="shared" ref="AO265" si="130">+AF265</f>
        <v>24</v>
      </c>
      <c r="AP265" s="766">
        <f t="shared" ref="AP265" si="131">+AG265</f>
        <v>26</v>
      </c>
    </row>
    <row r="266" spans="4:42" ht="18" customHeight="1" x14ac:dyDescent="0.15">
      <c r="D266" s="51"/>
      <c r="E266" s="51"/>
      <c r="Z266" s="1047" t="s">
        <v>781</v>
      </c>
      <c r="AA266" s="768">
        <f>+AB266</f>
        <v>8.0000000000000016E-2</v>
      </c>
      <c r="AB266" s="227">
        <f>+AB253</f>
        <v>8.0000000000000016E-2</v>
      </c>
      <c r="AC266" s="535">
        <v>0.19214962742968186</v>
      </c>
      <c r="AD266" s="535">
        <v>0.21697102085381317</v>
      </c>
      <c r="AE266" s="535">
        <v>0.24225731935089384</v>
      </c>
      <c r="AF266" s="757">
        <v>0.26822241566276589</v>
      </c>
      <c r="AG266" s="535">
        <v>0.29489819948751778</v>
      </c>
      <c r="AI266" s="1047" t="s">
        <v>781</v>
      </c>
      <c r="AJ266" s="768">
        <f>+AK266</f>
        <v>8.0000000000000016E-2</v>
      </c>
      <c r="AK266" s="227">
        <f>+AB266</f>
        <v>8.0000000000000016E-2</v>
      </c>
      <c r="AL266" s="762">
        <v>2.5787685371490077</v>
      </c>
      <c r="AM266" s="762">
        <v>2.8489805035075788</v>
      </c>
      <c r="AN266" s="762">
        <v>3.1133047537406564</v>
      </c>
      <c r="AO266" s="763">
        <v>3.3957551687550001</v>
      </c>
      <c r="AP266" s="762">
        <v>3.6978963967597669</v>
      </c>
    </row>
    <row r="267" spans="4:42" ht="18" customHeight="1" x14ac:dyDescent="0.15">
      <c r="D267" s="51"/>
      <c r="E267" s="51"/>
      <c r="Z267" s="1047"/>
      <c r="AA267" s="768">
        <f t="shared" ref="AA267:AA272" si="132">+AB267</f>
        <v>7.5000000000000011E-2</v>
      </c>
      <c r="AB267" s="227">
        <f t="shared" ref="AB267:AB272" si="133">+AB254</f>
        <v>7.5000000000000011E-2</v>
      </c>
      <c r="AC267" s="535">
        <v>0.19991844392113098</v>
      </c>
      <c r="AD267" s="535">
        <v>0.22545506281477137</v>
      </c>
      <c r="AE267" s="535">
        <v>0.25180209180685181</v>
      </c>
      <c r="AF267" s="757">
        <v>0.27899495493932613</v>
      </c>
      <c r="AG267" s="535">
        <v>0.30706503302780552</v>
      </c>
      <c r="AI267" s="1047"/>
      <c r="AJ267" s="768">
        <f t="shared" ref="AJ267:AJ272" si="134">+AK267</f>
        <v>7.5000000000000011E-2</v>
      </c>
      <c r="AK267" s="227">
        <f t="shared" ref="AK267:AK272" si="135">+AB267</f>
        <v>7.5000000000000011E-2</v>
      </c>
      <c r="AL267" s="762">
        <v>2.6660642110852217</v>
      </c>
      <c r="AM267" s="762">
        <v>2.9244586257282545</v>
      </c>
      <c r="AN267" s="762">
        <v>3.1993292255477082</v>
      </c>
      <c r="AO267" s="763">
        <v>3.4922785180077383</v>
      </c>
      <c r="AP267" s="762">
        <v>3.8051281723069796</v>
      </c>
    </row>
    <row r="268" spans="4:42" ht="18" customHeight="1" thickBot="1" x14ac:dyDescent="0.2">
      <c r="D268" s="51"/>
      <c r="E268" s="51"/>
      <c r="Z268" s="1047"/>
      <c r="AA268" s="768">
        <f t="shared" si="132"/>
        <v>7.0000000000000007E-2</v>
      </c>
      <c r="AB268" s="227">
        <f t="shared" si="133"/>
        <v>7.0000000000000007E-2</v>
      </c>
      <c r="AC268" s="535">
        <v>0.20783165352162031</v>
      </c>
      <c r="AD268" s="535">
        <v>0.23483486619010635</v>
      </c>
      <c r="AE268" s="535">
        <v>0.26273523253133879</v>
      </c>
      <c r="AF268" s="757">
        <v>0.29119699941892024</v>
      </c>
      <c r="AG268" s="535">
        <v>0.32058494121365183</v>
      </c>
      <c r="AI268" s="1047"/>
      <c r="AJ268" s="768">
        <f t="shared" si="134"/>
        <v>7.0000000000000007E-2</v>
      </c>
      <c r="AK268" s="227">
        <f t="shared" si="135"/>
        <v>7.0000000000000007E-2</v>
      </c>
      <c r="AL268" s="762">
        <v>2.7447340437321404</v>
      </c>
      <c r="AM268" s="762">
        <v>3.0123962844849856</v>
      </c>
      <c r="AN268" s="762">
        <v>3.2976429076129117</v>
      </c>
      <c r="AO268" s="763">
        <v>3.6034316330734608</v>
      </c>
      <c r="AP268" s="762">
        <v>3.9299872264050215</v>
      </c>
    </row>
    <row r="269" spans="4:42" ht="18" customHeight="1" thickTop="1" thickBot="1" x14ac:dyDescent="0.2">
      <c r="D269" s="51"/>
      <c r="E269" s="51"/>
      <c r="Z269" s="1047"/>
      <c r="AA269" s="769">
        <f t="shared" si="132"/>
        <v>6.5000000000000002E-2</v>
      </c>
      <c r="AB269" s="767">
        <f t="shared" si="133"/>
        <v>6.5000000000000002E-2</v>
      </c>
      <c r="AC269" s="757">
        <v>0.21519512681645375</v>
      </c>
      <c r="AD269" s="757">
        <v>0.24285599006537431</v>
      </c>
      <c r="AE269" s="757">
        <v>0.27149695541135299</v>
      </c>
      <c r="AF269" s="761">
        <v>0.30116005615213415</v>
      </c>
      <c r="AG269" s="757">
        <v>0.33188042238514598</v>
      </c>
      <c r="AI269" s="1047"/>
      <c r="AJ269" s="769">
        <f t="shared" si="134"/>
        <v>6.5000000000000002E-2</v>
      </c>
      <c r="AK269" s="767">
        <f t="shared" si="135"/>
        <v>6.5000000000000002E-2</v>
      </c>
      <c r="AL269" s="763">
        <v>2.8477255084898303</v>
      </c>
      <c r="AM269" s="763">
        <v>3.1296094127256966</v>
      </c>
      <c r="AN269" s="763">
        <v>3.4294556406246799</v>
      </c>
      <c r="AO269" s="770">
        <v>3.7490127788896173</v>
      </c>
      <c r="AP269" s="763">
        <v>4.0902682933338363</v>
      </c>
    </row>
    <row r="270" spans="4:42" ht="18" customHeight="1" thickTop="1" x14ac:dyDescent="0.15">
      <c r="D270" s="51"/>
      <c r="E270" s="51"/>
      <c r="Z270" s="1047"/>
      <c r="AA270" s="768">
        <f t="shared" si="132"/>
        <v>6.0000000000000005E-2</v>
      </c>
      <c r="AB270" s="227">
        <f t="shared" si="133"/>
        <v>6.0000000000000005E-2</v>
      </c>
      <c r="AC270" s="535">
        <v>0.22309899854141008</v>
      </c>
      <c r="AD270" s="535">
        <v>0.25119623136155278</v>
      </c>
      <c r="AE270" s="535">
        <v>0.28017238722131244</v>
      </c>
      <c r="AF270" s="757">
        <v>0.3100703716814035</v>
      </c>
      <c r="AG270" s="535">
        <v>0.34092696308949061</v>
      </c>
      <c r="AI270" s="1047"/>
      <c r="AJ270" s="768">
        <f t="shared" si="134"/>
        <v>6.0000000000000005E-2</v>
      </c>
      <c r="AK270" s="227">
        <f t="shared" si="135"/>
        <v>6.0000000000000005E-2</v>
      </c>
      <c r="AL270" s="762">
        <v>2.9721007967467394</v>
      </c>
      <c r="AM270" s="762">
        <v>3.2728081821843902</v>
      </c>
      <c r="AN270" s="762">
        <v>3.5926665885213587</v>
      </c>
      <c r="AO270" s="763">
        <v>3.9335417417158083</v>
      </c>
      <c r="AP270" s="762">
        <v>4.2975540080013825</v>
      </c>
    </row>
    <row r="271" spans="4:42" ht="18" customHeight="1" x14ac:dyDescent="0.15">
      <c r="O271" s="220"/>
      <c r="Z271" s="1047"/>
      <c r="AA271" s="768">
        <f t="shared" si="132"/>
        <v>5.5000000000000007E-2</v>
      </c>
      <c r="AB271" s="227">
        <f t="shared" si="133"/>
        <v>5.5000000000000007E-2</v>
      </c>
      <c r="AC271" s="535">
        <v>0.23203959555970569</v>
      </c>
      <c r="AD271" s="535">
        <v>0.26060221257676214</v>
      </c>
      <c r="AE271" s="535">
        <v>0.28993176868174197</v>
      </c>
      <c r="AF271" s="757">
        <v>0.32007369089724547</v>
      </c>
      <c r="AG271" s="535">
        <v>0.35106782300000833</v>
      </c>
      <c r="AI271" s="1047"/>
      <c r="AJ271" s="768">
        <f t="shared" si="134"/>
        <v>5.5000000000000007E-2</v>
      </c>
      <c r="AK271" s="227">
        <f t="shared" si="135"/>
        <v>5.5000000000000007E-2</v>
      </c>
      <c r="AL271" s="762">
        <v>3.1190897737776324</v>
      </c>
      <c r="AM271" s="762">
        <v>3.4420430915446643</v>
      </c>
      <c r="AN271" s="762">
        <v>3.7855522542174334</v>
      </c>
      <c r="AO271" s="763">
        <v>4.1516214250558532</v>
      </c>
      <c r="AP271" s="762">
        <v>4.542528034426665</v>
      </c>
    </row>
    <row r="272" spans="4:42" ht="18" customHeight="1" x14ac:dyDescent="0.15">
      <c r="O272" s="220"/>
      <c r="Z272" s="1047"/>
      <c r="AA272" s="768">
        <f t="shared" si="132"/>
        <v>5.000000000000001E-2</v>
      </c>
      <c r="AB272" s="227">
        <f t="shared" si="133"/>
        <v>5.000000000000001E-2</v>
      </c>
      <c r="AC272" s="535">
        <v>0.24224926660054544</v>
      </c>
      <c r="AD272" s="535">
        <v>0.27130913185462008</v>
      </c>
      <c r="AE272" s="535">
        <v>0.30101151021393691</v>
      </c>
      <c r="AF272" s="757">
        <v>0.33140639614597933</v>
      </c>
      <c r="AG272" s="535">
        <v>0.36253840390883729</v>
      </c>
      <c r="AI272" s="1047"/>
      <c r="AJ272" s="768">
        <f t="shared" si="134"/>
        <v>5.000000000000001E-2</v>
      </c>
      <c r="AK272" s="227">
        <f t="shared" si="135"/>
        <v>5.000000000000001E-2</v>
      </c>
      <c r="AL272" s="762">
        <v>3.2954765462147031</v>
      </c>
      <c r="AM272" s="762">
        <v>3.645124982776994</v>
      </c>
      <c r="AN272" s="762">
        <v>4.0170150530527238</v>
      </c>
      <c r="AO272" s="763">
        <v>4.4133170450639057</v>
      </c>
      <c r="AP272" s="762">
        <v>4.8364968661370025</v>
      </c>
    </row>
    <row r="273" spans="26:42" ht="18" customHeight="1" x14ac:dyDescent="0.15">
      <c r="AF273" s="758" t="s">
        <v>775</v>
      </c>
      <c r="AO273" s="758" t="s">
        <v>775</v>
      </c>
    </row>
    <row r="276" spans="26:42" ht="18" customHeight="1" x14ac:dyDescent="0.15">
      <c r="AC276" s="1045" t="s">
        <v>776</v>
      </c>
      <c r="AD276" s="1045"/>
      <c r="AE276" s="1045"/>
      <c r="AF276" s="1045"/>
      <c r="AG276" s="1045"/>
      <c r="AL276" s="1045" t="s">
        <v>777</v>
      </c>
      <c r="AM276" s="1045"/>
      <c r="AN276" s="1045"/>
      <c r="AO276" s="1045"/>
      <c r="AP276" s="1045"/>
    </row>
    <row r="277" spans="26:42" ht="18" customHeight="1" thickBot="1" x14ac:dyDescent="0.2">
      <c r="AC277" s="1046" t="s">
        <v>795</v>
      </c>
      <c r="AD277" s="1046"/>
      <c r="AE277" s="1046"/>
      <c r="AF277" s="1046"/>
      <c r="AG277" s="1046"/>
      <c r="AL277" s="1046" t="str">
        <f>+AC277</f>
        <v>Industrial Rents PSF</v>
      </c>
      <c r="AM277" s="1046"/>
      <c r="AN277" s="1046"/>
      <c r="AO277" s="1046"/>
      <c r="AP277" s="1046"/>
    </row>
    <row r="278" spans="26:42" ht="18" customHeight="1" x14ac:dyDescent="0.15">
      <c r="AB278" s="753">
        <f ca="1">+$E$3</f>
        <v>0.22085344333029133</v>
      </c>
      <c r="AC278" s="766">
        <f>+AD278-2</f>
        <v>8</v>
      </c>
      <c r="AD278" s="766">
        <f>+AE278-2</f>
        <v>10</v>
      </c>
      <c r="AE278" s="765">
        <v>12</v>
      </c>
      <c r="AF278" s="766">
        <f>+AE278+2</f>
        <v>14</v>
      </c>
      <c r="AG278" s="766">
        <f>+AF278+2</f>
        <v>16</v>
      </c>
      <c r="AK278" s="753">
        <f ca="1">+$E$4</f>
        <v>0.12945660144928284</v>
      </c>
      <c r="AL278" s="766">
        <f>+AC278</f>
        <v>8</v>
      </c>
      <c r="AM278" s="766">
        <f t="shared" ref="AM278" si="136">+AD278</f>
        <v>10</v>
      </c>
      <c r="AN278" s="765">
        <f t="shared" ref="AN278" si="137">+AE278</f>
        <v>12</v>
      </c>
      <c r="AO278" s="766">
        <f t="shared" ref="AO278" si="138">+AF278</f>
        <v>14</v>
      </c>
      <c r="AP278" s="766">
        <f t="shared" ref="AP278" si="139">+AG278</f>
        <v>16</v>
      </c>
    </row>
    <row r="279" spans="26:42" ht="18" customHeight="1" x14ac:dyDescent="0.15">
      <c r="Z279" s="1047" t="s">
        <v>796</v>
      </c>
      <c r="AA279" s="768">
        <f>+AB279</f>
        <v>7.0000000000000007E-2</v>
      </c>
      <c r="AB279" s="227">
        <f>+AB280+0.5%</f>
        <v>7.0000000000000007E-2</v>
      </c>
      <c r="AC279" s="535">
        <v>0.21114929229294699</v>
      </c>
      <c r="AD279" s="535">
        <v>0.21423074495512573</v>
      </c>
      <c r="AE279" s="757">
        <v>0.21727227020985129</v>
      </c>
      <c r="AF279" s="535">
        <v>0.22027511219435869</v>
      </c>
      <c r="AG279" s="535">
        <v>0.22324044270415899</v>
      </c>
      <c r="AI279" s="1047" t="str">
        <f>+Z279</f>
        <v>Industrial Exit Cap Rate</v>
      </c>
      <c r="AJ279" s="768">
        <f>+AK279</f>
        <v>7.0000000000000007E-2</v>
      </c>
      <c r="AK279" s="227">
        <f>+AB279</f>
        <v>7.0000000000000007E-2</v>
      </c>
      <c r="AL279" s="535">
        <v>0.12598196236355119</v>
      </c>
      <c r="AM279" s="535">
        <v>0.12709697718049817</v>
      </c>
      <c r="AN279" s="757">
        <v>0.12820084384275265</v>
      </c>
      <c r="AO279" s="535">
        <v>0.12929393747408646</v>
      </c>
      <c r="AP279" s="535">
        <v>0.13037660876887691</v>
      </c>
    </row>
    <row r="280" spans="26:42" ht="18" customHeight="1" x14ac:dyDescent="0.15">
      <c r="Z280" s="1047"/>
      <c r="AA280" s="768">
        <f t="shared" ref="AA280:AA285" si="140">+AB280</f>
        <v>6.5000000000000002E-2</v>
      </c>
      <c r="AB280" s="227">
        <f>+AB281+0.5%</f>
        <v>6.5000000000000002E-2</v>
      </c>
      <c r="AC280" s="535">
        <v>0.21183786724171472</v>
      </c>
      <c r="AD280" s="535">
        <v>0.21508345848270793</v>
      </c>
      <c r="AE280" s="757">
        <v>0.21828607522867483</v>
      </c>
      <c r="AF280" s="535">
        <v>0.22144703555919443</v>
      </c>
      <c r="AG280" s="535">
        <v>0.2245675832837557</v>
      </c>
      <c r="AI280" s="1047"/>
      <c r="AJ280" s="768">
        <f t="shared" ref="AJ280:AJ285" si="141">+AK280</f>
        <v>6.5000000000000002E-2</v>
      </c>
      <c r="AK280" s="227">
        <f t="shared" ref="AK280:AK285" si="142">+AB280</f>
        <v>6.5000000000000002E-2</v>
      </c>
      <c r="AL280" s="535">
        <v>0.1262221112629085</v>
      </c>
      <c r="AM280" s="535">
        <v>0.12739506026820457</v>
      </c>
      <c r="AN280" s="757">
        <v>0.12855606368813777</v>
      </c>
      <c r="AO280" s="535">
        <v>0.12970551678360054</v>
      </c>
      <c r="AP280" s="535">
        <v>0.13084378950287223</v>
      </c>
    </row>
    <row r="281" spans="26:42" ht="18" customHeight="1" thickBot="1" x14ac:dyDescent="0.2">
      <c r="Z281" s="1047"/>
      <c r="AA281" s="768">
        <f t="shared" si="140"/>
        <v>0.06</v>
      </c>
      <c r="AB281" s="227">
        <f>+AB282+0.5%</f>
        <v>0.06</v>
      </c>
      <c r="AC281" s="535">
        <v>0.21263951348367116</v>
      </c>
      <c r="AD281" s="535">
        <v>0.21607568125992738</v>
      </c>
      <c r="AE281" s="757">
        <v>0.21946513699823211</v>
      </c>
      <c r="AF281" s="535">
        <v>0.22280929274665318</v>
      </c>
      <c r="AG281" s="535">
        <v>0.22610948391474683</v>
      </c>
      <c r="AI281" s="1047"/>
      <c r="AJ281" s="768">
        <f t="shared" si="141"/>
        <v>0.06</v>
      </c>
      <c r="AK281" s="227">
        <f t="shared" si="142"/>
        <v>0.06</v>
      </c>
      <c r="AL281" s="535">
        <v>0.12650181468647181</v>
      </c>
      <c r="AM281" s="535">
        <v>0.12774210002644315</v>
      </c>
      <c r="AN281" s="757">
        <v>0.12896945992796693</v>
      </c>
      <c r="AO281" s="535">
        <v>0.13018431537163533</v>
      </c>
      <c r="AP281" s="535">
        <v>0.13138706088634544</v>
      </c>
    </row>
    <row r="282" spans="26:42" ht="18" customHeight="1" thickTop="1" thickBot="1" x14ac:dyDescent="0.2">
      <c r="Z282" s="1047"/>
      <c r="AA282" s="769">
        <f t="shared" si="140"/>
        <v>5.5E-2</v>
      </c>
      <c r="AB282" s="767">
        <v>5.5E-2</v>
      </c>
      <c r="AC282" s="757">
        <v>0.21358457187585977</v>
      </c>
      <c r="AD282" s="757">
        <v>0.2172446974017721</v>
      </c>
      <c r="AE282" s="761">
        <v>0.22085344333000378</v>
      </c>
      <c r="AF282" s="757">
        <v>0.22441234405604948</v>
      </c>
      <c r="AG282" s="757">
        <v>0.22792285435416382</v>
      </c>
      <c r="AI282" s="1047"/>
      <c r="AJ282" s="769">
        <f t="shared" si="141"/>
        <v>5.5E-2</v>
      </c>
      <c r="AK282" s="767">
        <f t="shared" si="142"/>
        <v>5.5E-2</v>
      </c>
      <c r="AL282" s="757">
        <v>0.12683172283378963</v>
      </c>
      <c r="AM282" s="757">
        <v>0.12815123772918824</v>
      </c>
      <c r="AN282" s="761">
        <v>0.12945660144922999</v>
      </c>
      <c r="AO282" s="757">
        <v>0.13074826860976674</v>
      </c>
      <c r="AP282" s="757">
        <v>0.13202666586315548</v>
      </c>
    </row>
    <row r="283" spans="26:42" ht="18" customHeight="1" thickTop="1" x14ac:dyDescent="0.15">
      <c r="Z283" s="1047"/>
      <c r="AA283" s="768">
        <f t="shared" si="140"/>
        <v>0.05</v>
      </c>
      <c r="AB283" s="227">
        <f>+AB282-0.5%</f>
        <v>0.05</v>
      </c>
      <c r="AC283" s="535">
        <v>0.21450622549134679</v>
      </c>
      <c r="AD283" s="535">
        <v>0.21837780448761213</v>
      </c>
      <c r="AE283" s="757">
        <v>0.22219104223899655</v>
      </c>
      <c r="AF283" s="535">
        <v>0.22594775824978486</v>
      </c>
      <c r="AG283" s="535">
        <v>0.22964967883065657</v>
      </c>
      <c r="AI283" s="1047"/>
      <c r="AJ283" s="768">
        <f t="shared" si="141"/>
        <v>0.05</v>
      </c>
      <c r="AK283" s="227">
        <f t="shared" si="142"/>
        <v>0.05</v>
      </c>
      <c r="AL283" s="535">
        <v>0.12722668672208792</v>
      </c>
      <c r="AM283" s="535">
        <v>0.12864078078421426</v>
      </c>
      <c r="AN283" s="757">
        <v>0.130039157637861</v>
      </c>
      <c r="AO283" s="535">
        <v>0.13142231713470087</v>
      </c>
      <c r="AP283" s="535">
        <v>0.13279072908527301</v>
      </c>
    </row>
    <row r="284" spans="26:42" ht="18" customHeight="1" x14ac:dyDescent="0.15">
      <c r="Z284" s="1047"/>
      <c r="AA284" s="768">
        <f t="shared" si="140"/>
        <v>4.5000000000000005E-2</v>
      </c>
      <c r="AB284" s="227">
        <f t="shared" ref="AB284:AB285" si="143">+AB283-0.5%</f>
        <v>4.5000000000000005E-2</v>
      </c>
      <c r="AC284" s="535">
        <v>0.21553799983431166</v>
      </c>
      <c r="AD284" s="535">
        <v>0.21964129726329285</v>
      </c>
      <c r="AE284" s="757">
        <v>0.22367679229039727</v>
      </c>
      <c r="AF284" s="535">
        <v>0.22764676697820452</v>
      </c>
      <c r="AG284" s="535">
        <v>0.23155338369351153</v>
      </c>
      <c r="AI284" s="1047"/>
      <c r="AJ284" s="768">
        <f t="shared" si="141"/>
        <v>4.5000000000000005E-2</v>
      </c>
      <c r="AK284" s="227">
        <f t="shared" si="142"/>
        <v>4.5000000000000005E-2</v>
      </c>
      <c r="AL284" s="535">
        <v>0.12770805619104775</v>
      </c>
      <c r="AM284" s="535">
        <v>0.12923701852455216</v>
      </c>
      <c r="AN284" s="757">
        <v>0.13074821162618222</v>
      </c>
      <c r="AO284" s="535">
        <v>0.13224219826523509</v>
      </c>
      <c r="AP284" s="535">
        <v>0.13371950819094658</v>
      </c>
    </row>
    <row r="285" spans="26:42" ht="18" customHeight="1" x14ac:dyDescent="0.15">
      <c r="Z285" s="1047"/>
      <c r="AA285" s="768">
        <f t="shared" si="140"/>
        <v>4.0000000000000008E-2</v>
      </c>
      <c r="AB285" s="227">
        <f t="shared" si="143"/>
        <v>4.0000000000000008E-2</v>
      </c>
      <c r="AC285" s="535">
        <v>0.21681737035576742</v>
      </c>
      <c r="AD285" s="535">
        <v>0.22120514571898364</v>
      </c>
      <c r="AE285" s="757">
        <v>0.22551252306266956</v>
      </c>
      <c r="AF285" s="535">
        <v>0.22974247066527553</v>
      </c>
      <c r="AG285" s="535">
        <v>0.23389779247440678</v>
      </c>
      <c r="AI285" s="1047"/>
      <c r="AJ285" s="768">
        <f t="shared" si="141"/>
        <v>4.0000000000000008E-2</v>
      </c>
      <c r="AK285" s="227">
        <f t="shared" si="142"/>
        <v>4.0000000000000008E-2</v>
      </c>
      <c r="AL285" s="535">
        <v>0.12830767195476134</v>
      </c>
      <c r="AM285" s="535">
        <v>0.12997910542100266</v>
      </c>
      <c r="AN285" s="757">
        <v>0.13162999670479869</v>
      </c>
      <c r="AO285" s="535">
        <v>0.13326099975465211</v>
      </c>
      <c r="AP285" s="535">
        <v>0.13487273099849761</v>
      </c>
    </row>
    <row r="286" spans="26:42" ht="18" customHeight="1" x14ac:dyDescent="0.15">
      <c r="AE286" s="758" t="s">
        <v>775</v>
      </c>
      <c r="AN286" s="758" t="s">
        <v>775</v>
      </c>
    </row>
    <row r="289" spans="26:42" ht="18" customHeight="1" x14ac:dyDescent="0.15">
      <c r="AC289" s="1045" t="s">
        <v>778</v>
      </c>
      <c r="AD289" s="1045"/>
      <c r="AE289" s="1045"/>
      <c r="AF289" s="1045"/>
      <c r="AG289" s="1045"/>
      <c r="AL289" s="1045" t="s">
        <v>354</v>
      </c>
      <c r="AM289" s="1045"/>
      <c r="AN289" s="1045"/>
      <c r="AO289" s="1045"/>
      <c r="AP289" s="1045"/>
    </row>
    <row r="290" spans="26:42" ht="18" customHeight="1" thickBot="1" x14ac:dyDescent="0.2">
      <c r="AC290" s="1046" t="str">
        <f>+AC277</f>
        <v>Industrial Rents PSF</v>
      </c>
      <c r="AD290" s="1046"/>
      <c r="AE290" s="1046"/>
      <c r="AF290" s="1046"/>
      <c r="AG290" s="1046"/>
      <c r="AL290" s="1046" t="str">
        <f>+AC290</f>
        <v>Industrial Rents PSF</v>
      </c>
      <c r="AM290" s="1046"/>
      <c r="AN290" s="1046"/>
      <c r="AO290" s="1046"/>
      <c r="AP290" s="1046"/>
    </row>
    <row r="291" spans="26:42" ht="18" customHeight="1" x14ac:dyDescent="0.15">
      <c r="AB291" s="753">
        <f ca="1">+$F$3</f>
        <v>0.30116005615140645</v>
      </c>
      <c r="AC291" s="766">
        <f>+AC278</f>
        <v>8</v>
      </c>
      <c r="AD291" s="766">
        <f t="shared" ref="AD291:AG291" si="144">+AD278</f>
        <v>10</v>
      </c>
      <c r="AE291" s="765">
        <f t="shared" si="144"/>
        <v>12</v>
      </c>
      <c r="AF291" s="766">
        <f t="shared" si="144"/>
        <v>14</v>
      </c>
      <c r="AG291" s="766">
        <f t="shared" si="144"/>
        <v>16</v>
      </c>
      <c r="AK291" s="753">
        <f ca="1">+$AL$219</f>
        <v>3.749012778894238</v>
      </c>
      <c r="AL291" s="766">
        <f>+AC291</f>
        <v>8</v>
      </c>
      <c r="AM291" s="766">
        <f t="shared" ref="AM291" si="145">+AD291</f>
        <v>10</v>
      </c>
      <c r="AN291" s="765">
        <f t="shared" ref="AN291" si="146">+AE291</f>
        <v>12</v>
      </c>
      <c r="AO291" s="766">
        <f t="shared" ref="AO291" si="147">+AF291</f>
        <v>14</v>
      </c>
      <c r="AP291" s="766">
        <f t="shared" ref="AP291" si="148">+AG291</f>
        <v>16</v>
      </c>
    </row>
    <row r="292" spans="26:42" ht="18" customHeight="1" x14ac:dyDescent="0.15">
      <c r="Z292" s="1047" t="str">
        <f>+Z279</f>
        <v>Industrial Exit Cap Rate</v>
      </c>
      <c r="AA292" s="768">
        <f>+AB292</f>
        <v>7.0000000000000007E-2</v>
      </c>
      <c r="AB292" s="227">
        <f>+AB279</f>
        <v>7.0000000000000007E-2</v>
      </c>
      <c r="AC292" s="535">
        <v>0.28840642547205531</v>
      </c>
      <c r="AD292" s="535">
        <v>0.29241567354625547</v>
      </c>
      <c r="AE292" s="757">
        <v>0.29638019292867346</v>
      </c>
      <c r="AF292" s="535">
        <v>0.3003011509265357</v>
      </c>
      <c r="AG292" s="535">
        <v>0.30417964882799586</v>
      </c>
      <c r="AI292" s="1047" t="str">
        <f>+Z279</f>
        <v>Industrial Exit Cap Rate</v>
      </c>
      <c r="AJ292" s="768">
        <f>+AK292</f>
        <v>7.0000000000000007E-2</v>
      </c>
      <c r="AK292" s="227">
        <f>+AB292</f>
        <v>7.0000000000000007E-2</v>
      </c>
      <c r="AL292" s="762">
        <v>3.5903521609296623</v>
      </c>
      <c r="AM292" s="762">
        <v>3.6414730768423698</v>
      </c>
      <c r="AN292" s="763">
        <v>3.6924364213132423</v>
      </c>
      <c r="AO292" s="762">
        <v>3.7432506008955637</v>
      </c>
      <c r="AP292" s="762">
        <v>3.7939233861586272</v>
      </c>
    </row>
    <row r="293" spans="26:42" ht="18" customHeight="1" x14ac:dyDescent="0.15">
      <c r="Z293" s="1047"/>
      <c r="AA293" s="768">
        <f t="shared" ref="AA293:AA298" si="149">+AB293</f>
        <v>6.5000000000000002E-2</v>
      </c>
      <c r="AB293" s="227">
        <f t="shared" ref="AB293:AB298" si="150">+AB280</f>
        <v>6.5000000000000002E-2</v>
      </c>
      <c r="AC293" s="535">
        <v>0.28932107144264846</v>
      </c>
      <c r="AD293" s="535">
        <v>0.2935506740372319</v>
      </c>
      <c r="AE293" s="757">
        <v>0.29773227625903187</v>
      </c>
      <c r="AF293" s="535">
        <v>0.30186707542372487</v>
      </c>
      <c r="AG293" s="535">
        <v>0.30595620495052678</v>
      </c>
      <c r="AI293" s="1047"/>
      <c r="AJ293" s="768">
        <f t="shared" ref="AJ293:AJ298" si="151">+AK293</f>
        <v>6.5000000000000002E-2</v>
      </c>
      <c r="AK293" s="227">
        <f t="shared" ref="AK293:AK298" si="152">+AB293</f>
        <v>6.5000000000000002E-2</v>
      </c>
      <c r="AL293" s="762">
        <v>3.6009759935410597</v>
      </c>
      <c r="AM293" s="762">
        <v>3.6547620463466752</v>
      </c>
      <c r="AN293" s="763">
        <v>3.7083938555011873</v>
      </c>
      <c r="AO293" s="762">
        <v>3.7618796763140603</v>
      </c>
      <c r="AP293" s="762">
        <v>3.8152271382045222</v>
      </c>
    </row>
    <row r="294" spans="26:42" ht="18" customHeight="1" thickBot="1" x14ac:dyDescent="0.2">
      <c r="Z294" s="1047"/>
      <c r="AA294" s="768">
        <f t="shared" si="149"/>
        <v>0.06</v>
      </c>
      <c r="AB294" s="227">
        <f t="shared" si="150"/>
        <v>0.06</v>
      </c>
      <c r="AC294" s="535">
        <v>0.29038643036010253</v>
      </c>
      <c r="AD294" s="535">
        <v>0.29487214003014123</v>
      </c>
      <c r="AE294" s="757">
        <v>0.29930581809248719</v>
      </c>
      <c r="AF294" s="535">
        <v>0.30368869932631298</v>
      </c>
      <c r="AG294" s="535">
        <v>0.30802195772783142</v>
      </c>
      <c r="AI294" s="1047"/>
      <c r="AJ294" s="768">
        <f t="shared" si="151"/>
        <v>0.06</v>
      </c>
      <c r="AK294" s="227">
        <f t="shared" si="152"/>
        <v>0.06</v>
      </c>
      <c r="AL294" s="762">
        <v>3.6133704648872307</v>
      </c>
      <c r="AM294" s="762">
        <v>3.6702658441016989</v>
      </c>
      <c r="AN294" s="763">
        <v>3.7270108620537892</v>
      </c>
      <c r="AO294" s="762">
        <v>3.7836135976356386</v>
      </c>
      <c r="AP294" s="762">
        <v>3.8400815155914008</v>
      </c>
    </row>
    <row r="295" spans="26:42" ht="18" customHeight="1" thickTop="1" thickBot="1" x14ac:dyDescent="0.2">
      <c r="Z295" s="1047"/>
      <c r="AA295" s="769">
        <f t="shared" si="149"/>
        <v>5.5E-2</v>
      </c>
      <c r="AB295" s="767">
        <f t="shared" si="150"/>
        <v>5.5E-2</v>
      </c>
      <c r="AC295" s="757">
        <v>0.29164308976686038</v>
      </c>
      <c r="AD295" s="757">
        <v>0.29643011940334751</v>
      </c>
      <c r="AE295" s="761">
        <v>0.30116005615206476</v>
      </c>
      <c r="AF295" s="757">
        <v>0.30583418296627718</v>
      </c>
      <c r="AG295" s="757">
        <v>0.3104537266587617</v>
      </c>
      <c r="AI295" s="1047"/>
      <c r="AJ295" s="769">
        <f t="shared" si="151"/>
        <v>5.5E-2</v>
      </c>
      <c r="AK295" s="767">
        <f t="shared" si="152"/>
        <v>5.5E-2</v>
      </c>
      <c r="AL295" s="763">
        <v>3.6280184764781613</v>
      </c>
      <c r="AM295" s="763">
        <v>3.688588514175819</v>
      </c>
      <c r="AN295" s="770">
        <v>3.7490127788886825</v>
      </c>
      <c r="AO295" s="763">
        <v>3.8092991410156873</v>
      </c>
      <c r="AP295" s="763">
        <v>3.8694548706849843</v>
      </c>
    </row>
    <row r="296" spans="26:42" ht="18" customHeight="1" thickTop="1" x14ac:dyDescent="0.15">
      <c r="Z296" s="1047"/>
      <c r="AA296" s="768">
        <f t="shared" si="149"/>
        <v>0.05</v>
      </c>
      <c r="AB296" s="227">
        <f t="shared" si="150"/>
        <v>0.05</v>
      </c>
      <c r="AC296" s="535">
        <v>0.29275689325838655</v>
      </c>
      <c r="AD296" s="535">
        <v>0.29780176856608326</v>
      </c>
      <c r="AE296" s="757">
        <v>0.30278181593487796</v>
      </c>
      <c r="AF296" s="535">
        <v>0.30769856191172301</v>
      </c>
      <c r="AG296" s="535">
        <v>0.31255347102265346</v>
      </c>
      <c r="AI296" s="1047"/>
      <c r="AJ296" s="768">
        <f t="shared" si="151"/>
        <v>0.05</v>
      </c>
      <c r="AK296" s="227">
        <f t="shared" si="152"/>
        <v>0.05</v>
      </c>
      <c r="AL296" s="762">
        <v>3.6480539052525827</v>
      </c>
      <c r="AM296" s="762">
        <v>3.7136501103507591</v>
      </c>
      <c r="AN296" s="763">
        <v>3.7791068182703573</v>
      </c>
      <c r="AO296" s="762">
        <v>3.8444316142368873</v>
      </c>
      <c r="AP296" s="762">
        <v>3.9096315021843364</v>
      </c>
    </row>
    <row r="297" spans="26:42" ht="18" customHeight="1" x14ac:dyDescent="0.15">
      <c r="Z297" s="1047"/>
      <c r="AA297" s="768">
        <f t="shared" si="149"/>
        <v>4.5000000000000005E-2</v>
      </c>
      <c r="AB297" s="227">
        <f t="shared" si="150"/>
        <v>4.5000000000000005E-2</v>
      </c>
      <c r="AC297" s="535">
        <v>0.29394673247478381</v>
      </c>
      <c r="AD297" s="535">
        <v>0.29926035564769699</v>
      </c>
      <c r="AE297" s="757">
        <v>0.30449859970874327</v>
      </c>
      <c r="AF297" s="535">
        <v>0.30966342639300259</v>
      </c>
      <c r="AG297" s="535">
        <v>0.31475671810972383</v>
      </c>
      <c r="AI297" s="1047"/>
      <c r="AJ297" s="768">
        <f t="shared" si="151"/>
        <v>4.5000000000000005E-2</v>
      </c>
      <c r="AK297" s="227">
        <f t="shared" si="152"/>
        <v>4.5000000000000005E-2</v>
      </c>
      <c r="AL297" s="762">
        <v>3.6735775122036332</v>
      </c>
      <c r="AM297" s="762">
        <v>3.7455766709226572</v>
      </c>
      <c r="AN297" s="763">
        <v>3.8174443273605192</v>
      </c>
      <c r="AO297" s="762">
        <v>3.8891877034542395</v>
      </c>
      <c r="AP297" s="762">
        <v>3.9608134640267481</v>
      </c>
    </row>
    <row r="298" spans="26:42" ht="18" customHeight="1" x14ac:dyDescent="0.15">
      <c r="Z298" s="1047"/>
      <c r="AA298" s="768">
        <f t="shared" si="149"/>
        <v>4.0000000000000008E-2</v>
      </c>
      <c r="AB298" s="227">
        <f t="shared" si="150"/>
        <v>4.0000000000000008E-2</v>
      </c>
      <c r="AC298" s="535">
        <v>0.295423322709502</v>
      </c>
      <c r="AD298" s="535">
        <v>0.30106747429241604</v>
      </c>
      <c r="AE298" s="757">
        <v>0.30662222483221219</v>
      </c>
      <c r="AF298" s="535">
        <v>0.31209018965078933</v>
      </c>
      <c r="AG298" s="535">
        <v>0.31747387314058745</v>
      </c>
      <c r="AI298" s="1047"/>
      <c r="AJ298" s="768">
        <f t="shared" si="151"/>
        <v>4.0000000000000008E-2</v>
      </c>
      <c r="AK298" s="227">
        <f t="shared" si="152"/>
        <v>4.0000000000000008E-2</v>
      </c>
      <c r="AL298" s="762">
        <v>3.7054820208924464</v>
      </c>
      <c r="AM298" s="762">
        <v>3.7854848716375304</v>
      </c>
      <c r="AN298" s="763">
        <v>3.8653662137232225</v>
      </c>
      <c r="AO298" s="762">
        <v>3.9451328149759282</v>
      </c>
      <c r="AP298" s="762">
        <v>4.0247909163297626</v>
      </c>
    </row>
    <row r="299" spans="26:42" ht="18" customHeight="1" x14ac:dyDescent="0.15">
      <c r="AE299" s="758" t="s">
        <v>775</v>
      </c>
      <c r="AN299" s="758" t="s">
        <v>775</v>
      </c>
    </row>
    <row r="302" spans="26:42" ht="18" customHeight="1" x14ac:dyDescent="0.15">
      <c r="AC302" s="1045" t="s">
        <v>776</v>
      </c>
      <c r="AD302" s="1045"/>
      <c r="AE302" s="1045"/>
      <c r="AF302" s="1045"/>
      <c r="AG302" s="1045"/>
      <c r="AL302" s="1045" t="s">
        <v>777</v>
      </c>
      <c r="AM302" s="1045"/>
      <c r="AN302" s="1045"/>
      <c r="AO302" s="1045"/>
      <c r="AP302" s="1045"/>
    </row>
    <row r="303" spans="26:42" ht="18" customHeight="1" thickBot="1" x14ac:dyDescent="0.2">
      <c r="AC303" s="1046" t="s">
        <v>929</v>
      </c>
      <c r="AD303" s="1046"/>
      <c r="AE303" s="1046"/>
      <c r="AF303" s="1046"/>
      <c r="AG303" s="1046"/>
      <c r="AL303" s="1046" t="str">
        <f>+AC303</f>
        <v>Blended Market + WF Residential Rents PSF</v>
      </c>
      <c r="AM303" s="1046"/>
      <c r="AN303" s="1046"/>
      <c r="AO303" s="1046"/>
      <c r="AP303" s="1046"/>
    </row>
    <row r="304" spans="26:42" ht="18" hidden="1" customHeight="1" outlineLevel="1" thickBot="1" x14ac:dyDescent="0.2">
      <c r="AC304" s="218">
        <v>1250</v>
      </c>
      <c r="AD304" s="218">
        <v>1350</v>
      </c>
      <c r="AE304" s="218">
        <v>1450</v>
      </c>
      <c r="AF304" s="218">
        <v>1550</v>
      </c>
      <c r="AG304" s="218">
        <v>1650</v>
      </c>
      <c r="AL304" s="822">
        <f>+$AC$304</f>
        <v>1250</v>
      </c>
      <c r="AM304" s="822">
        <f>+$AD$304</f>
        <v>1350</v>
      </c>
      <c r="AN304" s="822">
        <f>+$AE$304</f>
        <v>1450</v>
      </c>
      <c r="AO304" s="822">
        <f>+$AF$304</f>
        <v>1550</v>
      </c>
      <c r="AP304" s="822">
        <f>+$AG$304</f>
        <v>1650</v>
      </c>
    </row>
    <row r="305" spans="26:42" ht="18" customHeight="1" collapsed="1" x14ac:dyDescent="0.15">
      <c r="AB305" s="821">
        <f>+$F$112</f>
        <v>28.83818181818182</v>
      </c>
      <c r="AC305" s="766">
        <f t="dataTable" ref="AC305:AG305" dt2D="0" dtr="1" r1="F88"/>
        <v>26.656363636363636</v>
      </c>
      <c r="AD305" s="766">
        <v>27.74727272727273</v>
      </c>
      <c r="AE305" s="765">
        <v>28.83818181818182</v>
      </c>
      <c r="AF305" s="766">
        <v>29.92909090909091</v>
      </c>
      <c r="AG305" s="766">
        <v>31.020000000000003</v>
      </c>
      <c r="AK305" s="821"/>
      <c r="AL305" s="766">
        <f>+$AC$305</f>
        <v>26.656363636363636</v>
      </c>
      <c r="AM305" s="766">
        <f>+$AD$305</f>
        <v>27.74727272727273</v>
      </c>
      <c r="AN305" s="765">
        <f>+$AE$305</f>
        <v>28.83818181818182</v>
      </c>
      <c r="AO305" s="766">
        <f>+$AF$305</f>
        <v>29.92909090909091</v>
      </c>
      <c r="AP305" s="766">
        <f>+$AG$305</f>
        <v>31.020000000000003</v>
      </c>
    </row>
    <row r="306" spans="26:42" ht="18" hidden="1" customHeight="1" outlineLevel="1" x14ac:dyDescent="0.15">
      <c r="AB306" s="753">
        <f ca="1">+$E$3</f>
        <v>0.22085344333029133</v>
      </c>
      <c r="AC306" s="766">
        <f>+AC304</f>
        <v>1250</v>
      </c>
      <c r="AD306" s="766">
        <f t="shared" ref="AD306:AG306" si="153">+AD304</f>
        <v>1350</v>
      </c>
      <c r="AE306" s="766">
        <f t="shared" si="153"/>
        <v>1450</v>
      </c>
      <c r="AF306" s="766">
        <f t="shared" si="153"/>
        <v>1550</v>
      </c>
      <c r="AG306" s="766">
        <f t="shared" si="153"/>
        <v>1650</v>
      </c>
      <c r="AK306" s="753">
        <f ca="1">+$E$3</f>
        <v>0.22085344333029133</v>
      </c>
      <c r="AL306" s="766">
        <f>+AL304</f>
        <v>1250</v>
      </c>
      <c r="AM306" s="766">
        <f t="shared" ref="AM306:AP306" si="154">+AM304</f>
        <v>1350</v>
      </c>
      <c r="AN306" s="766">
        <f t="shared" si="154"/>
        <v>1450</v>
      </c>
      <c r="AO306" s="766">
        <f t="shared" si="154"/>
        <v>1550</v>
      </c>
      <c r="AP306" s="766">
        <f t="shared" si="154"/>
        <v>1650</v>
      </c>
    </row>
    <row r="307" spans="26:42" ht="18" customHeight="1" collapsed="1" x14ac:dyDescent="0.15">
      <c r="Z307" s="1047" t="s">
        <v>797</v>
      </c>
      <c r="AA307" s="823">
        <f>+AB307</f>
        <v>6.5000000000000002E-2</v>
      </c>
      <c r="AB307" s="227">
        <f t="shared" ref="AB307:AB308" si="155">+AB308+0.25%</f>
        <v>6.5000000000000002E-2</v>
      </c>
      <c r="AC307" s="535">
        <v>0.19082048609232571</v>
      </c>
      <c r="AD307" s="535">
        <v>0.19637216220348375</v>
      </c>
      <c r="AE307" s="757">
        <v>0.20202827431320713</v>
      </c>
      <c r="AF307" s="535">
        <v>0.20779323405399164</v>
      </c>
      <c r="AG307" s="535">
        <v>0.21367165494398765</v>
      </c>
      <c r="AI307" s="1047" t="str">
        <f>+Z307</f>
        <v>Market Rate Resi Exit Cap Rate</v>
      </c>
      <c r="AJ307" s="823">
        <f>+AK307</f>
        <v>6.5000000000000002E-2</v>
      </c>
      <c r="AK307" s="227">
        <f>+AB307</f>
        <v>6.5000000000000002E-2</v>
      </c>
      <c r="AL307" s="535">
        <v>0.19082048609232571</v>
      </c>
      <c r="AM307" s="535">
        <v>0.19637216220348375</v>
      </c>
      <c r="AN307" s="757">
        <v>0.20202827431320713</v>
      </c>
      <c r="AO307" s="535">
        <v>0.20779323405399164</v>
      </c>
      <c r="AP307" s="535">
        <v>0.21367165494398765</v>
      </c>
    </row>
    <row r="308" spans="26:42" ht="18" customHeight="1" x14ac:dyDescent="0.15">
      <c r="Z308" s="1047"/>
      <c r="AA308" s="823">
        <f t="shared" ref="AA308:AA313" si="156">+AB308</f>
        <v>6.25E-2</v>
      </c>
      <c r="AB308" s="227">
        <f t="shared" si="155"/>
        <v>6.25E-2</v>
      </c>
      <c r="AC308" s="535">
        <v>0.19531264609452892</v>
      </c>
      <c r="AD308" s="535">
        <v>0.20102935194972527</v>
      </c>
      <c r="AE308" s="757">
        <v>0.20685665535116571</v>
      </c>
      <c r="AF308" s="535">
        <v>0.21279929031759326</v>
      </c>
      <c r="AG308" s="535">
        <v>0.21886220751008101</v>
      </c>
      <c r="AI308" s="1047"/>
      <c r="AJ308" s="823">
        <f t="shared" ref="AJ308:AJ313" si="157">+AK308</f>
        <v>6.25E-2</v>
      </c>
      <c r="AK308" s="227">
        <f t="shared" ref="AK308:AK313" si="158">+AB308</f>
        <v>6.25E-2</v>
      </c>
      <c r="AL308" s="535">
        <v>0.19531264609452892</v>
      </c>
      <c r="AM308" s="535">
        <v>0.20102935194972527</v>
      </c>
      <c r="AN308" s="757">
        <v>0.20685665535116571</v>
      </c>
      <c r="AO308" s="535">
        <v>0.21279929031759326</v>
      </c>
      <c r="AP308" s="535">
        <v>0.21886220751008101</v>
      </c>
    </row>
    <row r="309" spans="26:42" ht="18" customHeight="1" x14ac:dyDescent="0.15">
      <c r="Z309" s="1047"/>
      <c r="AA309" s="823">
        <f t="shared" si="156"/>
        <v>6.0000000000000005E-2</v>
      </c>
      <c r="AB309" s="227">
        <f>+AB310+0.25%</f>
        <v>6.0000000000000005E-2</v>
      </c>
      <c r="AC309" s="535">
        <v>0.20018822596705266</v>
      </c>
      <c r="AD309" s="535">
        <v>0.20608650141791252</v>
      </c>
      <c r="AE309" s="757">
        <v>0.21210230511462114</v>
      </c>
      <c r="AF309" s="535">
        <v>0.21824073486493734</v>
      </c>
      <c r="AG309" s="535">
        <v>0.22450712118026428</v>
      </c>
      <c r="AI309" s="1047"/>
      <c r="AJ309" s="823">
        <f t="shared" si="157"/>
        <v>6.0000000000000005E-2</v>
      </c>
      <c r="AK309" s="227">
        <f t="shared" si="158"/>
        <v>6.0000000000000005E-2</v>
      </c>
      <c r="AL309" s="535">
        <v>0.20018822596705266</v>
      </c>
      <c r="AM309" s="535">
        <v>0.20608650141791252</v>
      </c>
      <c r="AN309" s="757">
        <v>0.21210230511462114</v>
      </c>
      <c r="AO309" s="535">
        <v>0.21824073486493734</v>
      </c>
      <c r="AP309" s="535">
        <v>0.22450712118026428</v>
      </c>
    </row>
    <row r="310" spans="26:42" ht="18" customHeight="1" thickBot="1" x14ac:dyDescent="0.2">
      <c r="Z310" s="1047"/>
      <c r="AA310" s="823">
        <f t="shared" si="156"/>
        <v>5.7500000000000002E-2</v>
      </c>
      <c r="AB310" s="227">
        <f>+AB311+0.25%</f>
        <v>5.7500000000000002E-2</v>
      </c>
      <c r="AC310" s="535">
        <v>0.20495154458745413</v>
      </c>
      <c r="AD310" s="535">
        <v>0.21090195800106382</v>
      </c>
      <c r="AE310" s="757">
        <v>0.21696398007268924</v>
      </c>
      <c r="AF310" s="535">
        <v>0.22314242889059277</v>
      </c>
      <c r="AG310" s="535">
        <v>0.22944233188953778</v>
      </c>
      <c r="AI310" s="1047"/>
      <c r="AJ310" s="823">
        <f t="shared" si="157"/>
        <v>5.7500000000000002E-2</v>
      </c>
      <c r="AK310" s="227">
        <f t="shared" si="158"/>
        <v>5.7500000000000002E-2</v>
      </c>
      <c r="AL310" s="535">
        <v>0.20495154458745413</v>
      </c>
      <c r="AM310" s="535">
        <v>0.21090195800106382</v>
      </c>
      <c r="AN310" s="757">
        <v>0.21696398007268924</v>
      </c>
      <c r="AO310" s="535">
        <v>0.22314242889059255</v>
      </c>
      <c r="AP310" s="535">
        <v>0.22944233188953778</v>
      </c>
    </row>
    <row r="311" spans="26:42" ht="18" customHeight="1" thickTop="1" thickBot="1" x14ac:dyDescent="0.2">
      <c r="Z311" s="1047"/>
      <c r="AA311" s="824">
        <f t="shared" si="156"/>
        <v>5.5E-2</v>
      </c>
      <c r="AB311" s="767">
        <v>5.5E-2</v>
      </c>
      <c r="AC311" s="757">
        <v>0.20876080160114885</v>
      </c>
      <c r="AD311" s="757">
        <v>0.21475237023653504</v>
      </c>
      <c r="AE311" s="761">
        <v>0.22085344333029022</v>
      </c>
      <c r="AF311" s="757">
        <v>0.22706877095331923</v>
      </c>
      <c r="AG311" s="757">
        <v>0.23340330596128989</v>
      </c>
      <c r="AI311" s="1047"/>
      <c r="AJ311" s="824">
        <f t="shared" si="157"/>
        <v>5.5E-2</v>
      </c>
      <c r="AK311" s="767">
        <f t="shared" si="158"/>
        <v>5.5E-2</v>
      </c>
      <c r="AL311" s="757">
        <v>0.20876080160114885</v>
      </c>
      <c r="AM311" s="757">
        <v>0.21475237023653504</v>
      </c>
      <c r="AN311" s="761">
        <v>0.22085344333029022</v>
      </c>
      <c r="AO311" s="757">
        <v>0.22706877095331923</v>
      </c>
      <c r="AP311" s="757">
        <v>0.23340330596128989</v>
      </c>
    </row>
    <row r="312" spans="26:42" ht="18" customHeight="1" thickTop="1" x14ac:dyDescent="0.15">
      <c r="Z312" s="1047"/>
      <c r="AA312" s="823">
        <f t="shared" si="156"/>
        <v>5.2499999999999998E-2</v>
      </c>
      <c r="AB312" s="227">
        <f t="shared" ref="AB312:AB313" si="159">+AB311-0.25%</f>
        <v>5.2499999999999998E-2</v>
      </c>
      <c r="AC312" s="535">
        <v>0.2127275833670137</v>
      </c>
      <c r="AD312" s="535">
        <v>0.2187573669097822</v>
      </c>
      <c r="AE312" s="757">
        <v>0.2248944093656513</v>
      </c>
      <c r="AF312" s="535">
        <v>0.2311433929111395</v>
      </c>
      <c r="AG312" s="535">
        <v>0.23750919605531839</v>
      </c>
      <c r="AI312" s="1047"/>
      <c r="AJ312" s="823">
        <f t="shared" si="157"/>
        <v>5.2499999999999998E-2</v>
      </c>
      <c r="AK312" s="227">
        <f t="shared" si="158"/>
        <v>5.2499999999999998E-2</v>
      </c>
      <c r="AL312" s="535">
        <v>0.21272758336701347</v>
      </c>
      <c r="AM312" s="535">
        <v>0.2187573669097822</v>
      </c>
      <c r="AN312" s="757">
        <v>0.2248944093656513</v>
      </c>
      <c r="AO312" s="535">
        <v>0.2311433929111395</v>
      </c>
      <c r="AP312" s="535">
        <v>0.23750919605531862</v>
      </c>
    </row>
    <row r="313" spans="26:42" ht="18" customHeight="1" x14ac:dyDescent="0.15">
      <c r="Z313" s="1047"/>
      <c r="AA313" s="823">
        <f t="shared" si="156"/>
        <v>4.9999999999999996E-2</v>
      </c>
      <c r="AB313" s="227">
        <f t="shared" si="159"/>
        <v>4.9999999999999996E-2</v>
      </c>
      <c r="AC313" s="535">
        <v>0.21696803848330393</v>
      </c>
      <c r="AD313" s="535">
        <v>0.22303737445560134</v>
      </c>
      <c r="AE313" s="757">
        <v>0.22921159522150014</v>
      </c>
      <c r="AF313" s="535">
        <v>0.23549531497263132</v>
      </c>
      <c r="AG313" s="535">
        <v>0.24189333752044373</v>
      </c>
      <c r="AI313" s="1047"/>
      <c r="AJ313" s="823">
        <f t="shared" si="157"/>
        <v>4.9999999999999996E-2</v>
      </c>
      <c r="AK313" s="227">
        <f t="shared" si="158"/>
        <v>4.9999999999999996E-2</v>
      </c>
      <c r="AL313" s="535">
        <v>0.21696803848330393</v>
      </c>
      <c r="AM313" s="535">
        <v>0.22303737445560134</v>
      </c>
      <c r="AN313" s="757">
        <v>0.22921159522150014</v>
      </c>
      <c r="AO313" s="535">
        <v>0.23549531497263154</v>
      </c>
      <c r="AP313" s="535">
        <v>0.24189333752044373</v>
      </c>
    </row>
    <row r="314" spans="26:42" ht="18" customHeight="1" x14ac:dyDescent="0.15">
      <c r="AE314" s="758" t="s">
        <v>775</v>
      </c>
      <c r="AN314" s="758" t="s">
        <v>775</v>
      </c>
    </row>
    <row r="317" spans="26:42" ht="18" customHeight="1" x14ac:dyDescent="0.15">
      <c r="AC317" s="1045" t="s">
        <v>778</v>
      </c>
      <c r="AD317" s="1045"/>
      <c r="AE317" s="1045"/>
      <c r="AF317" s="1045"/>
      <c r="AG317" s="1045"/>
      <c r="AL317" s="1045" t="s">
        <v>354</v>
      </c>
      <c r="AM317" s="1045"/>
      <c r="AN317" s="1045"/>
      <c r="AO317" s="1045"/>
      <c r="AP317" s="1045"/>
    </row>
    <row r="318" spans="26:42" ht="18" customHeight="1" thickBot="1" x14ac:dyDescent="0.2">
      <c r="AC318" s="1046" t="str">
        <f>+AC303</f>
        <v>Blended Market + WF Residential Rents PSF</v>
      </c>
      <c r="AD318" s="1046"/>
      <c r="AE318" s="1046"/>
      <c r="AF318" s="1046"/>
      <c r="AG318" s="1046"/>
      <c r="AL318" s="1046" t="str">
        <f>+AC318</f>
        <v>Blended Market + WF Residential Rents PSF</v>
      </c>
      <c r="AM318" s="1046"/>
      <c r="AN318" s="1046"/>
      <c r="AO318" s="1046"/>
      <c r="AP318" s="1046"/>
    </row>
    <row r="319" spans="26:42" ht="18" hidden="1" customHeight="1" outlineLevel="1" thickBot="1" x14ac:dyDescent="0.2">
      <c r="AC319" s="822">
        <f>+$AC$304</f>
        <v>1250</v>
      </c>
      <c r="AD319" s="822">
        <f>+$AD$304</f>
        <v>1350</v>
      </c>
      <c r="AE319" s="822">
        <f>+$AE$304</f>
        <v>1450</v>
      </c>
      <c r="AF319" s="822">
        <f>+$AF$304</f>
        <v>1550</v>
      </c>
      <c r="AG319" s="822">
        <f>+$AG$304</f>
        <v>1650</v>
      </c>
      <c r="AL319" s="822">
        <f>+$AC$304</f>
        <v>1250</v>
      </c>
      <c r="AM319" s="822">
        <f>+$AD$304</f>
        <v>1350</v>
      </c>
      <c r="AN319" s="822">
        <f>+$AE$304</f>
        <v>1450</v>
      </c>
      <c r="AO319" s="822">
        <f>+$AF$304</f>
        <v>1550</v>
      </c>
      <c r="AP319" s="822">
        <f>+$AG$304</f>
        <v>1650</v>
      </c>
    </row>
    <row r="320" spans="26:42" ht="18" customHeight="1" collapsed="1" x14ac:dyDescent="0.15">
      <c r="AB320" s="821"/>
      <c r="AC320" s="766">
        <f>+$AC$305</f>
        <v>26.656363636363636</v>
      </c>
      <c r="AD320" s="766">
        <f>+$AD$305</f>
        <v>27.74727272727273</v>
      </c>
      <c r="AE320" s="765">
        <f>+$AE$305</f>
        <v>28.83818181818182</v>
      </c>
      <c r="AF320" s="766">
        <f>+$AF$305</f>
        <v>29.92909090909091</v>
      </c>
      <c r="AG320" s="766">
        <f>+$AG$305</f>
        <v>31.020000000000003</v>
      </c>
      <c r="AK320" s="821"/>
      <c r="AL320" s="766">
        <f>+$AC$305</f>
        <v>26.656363636363636</v>
      </c>
      <c r="AM320" s="766">
        <f>+$AD$305</f>
        <v>27.74727272727273</v>
      </c>
      <c r="AN320" s="765">
        <f>+$AE$305</f>
        <v>28.83818181818182</v>
      </c>
      <c r="AO320" s="766">
        <f>+$AF$305</f>
        <v>29.92909090909091</v>
      </c>
      <c r="AP320" s="766">
        <f>+$AG$305</f>
        <v>31.020000000000003</v>
      </c>
    </row>
    <row r="321" spans="26:42" ht="18" hidden="1" customHeight="1" outlineLevel="1" x14ac:dyDescent="0.15">
      <c r="AB321" s="753">
        <f ca="1">+$F$3</f>
        <v>0.30116005615140645</v>
      </c>
      <c r="AC321" s="766">
        <f>+AC319</f>
        <v>1250</v>
      </c>
      <c r="AD321" s="766">
        <f t="shared" ref="AD321:AG321" si="160">+AD319</f>
        <v>1350</v>
      </c>
      <c r="AE321" s="766">
        <f t="shared" si="160"/>
        <v>1450</v>
      </c>
      <c r="AF321" s="766">
        <f t="shared" si="160"/>
        <v>1550</v>
      </c>
      <c r="AG321" s="766">
        <f t="shared" si="160"/>
        <v>1650</v>
      </c>
      <c r="AK321" s="753">
        <f ca="1">+$AL$219</f>
        <v>3.749012778894238</v>
      </c>
      <c r="AL321" s="766">
        <f>+AL319</f>
        <v>1250</v>
      </c>
      <c r="AM321" s="766">
        <f t="shared" ref="AM321:AP321" si="161">+AM319</f>
        <v>1350</v>
      </c>
      <c r="AN321" s="766">
        <f t="shared" si="161"/>
        <v>1450</v>
      </c>
      <c r="AO321" s="766">
        <f t="shared" si="161"/>
        <v>1550</v>
      </c>
      <c r="AP321" s="766">
        <f t="shared" si="161"/>
        <v>1650</v>
      </c>
    </row>
    <row r="322" spans="26:42" ht="18" customHeight="1" collapsed="1" x14ac:dyDescent="0.15">
      <c r="Z322" s="1047" t="str">
        <f>+Z307</f>
        <v>Market Rate Resi Exit Cap Rate</v>
      </c>
      <c r="AA322" s="823">
        <f>+AB322</f>
        <v>6.5000000000000002E-2</v>
      </c>
      <c r="AB322" s="227">
        <f t="shared" ref="AB322:AB328" si="162">+AB307</f>
        <v>6.5000000000000002E-2</v>
      </c>
      <c r="AC322" s="535">
        <v>0.25702798233876656</v>
      </c>
      <c r="AD322" s="535">
        <v>0.26529403669205998</v>
      </c>
      <c r="AE322" s="757">
        <v>0.27374171316026297</v>
      </c>
      <c r="AF322" s="535">
        <v>0.28237951230089281</v>
      </c>
      <c r="AG322" s="535">
        <v>0.29121634472214453</v>
      </c>
      <c r="AI322" s="1047" t="str">
        <f>+Z307</f>
        <v>Market Rate Resi Exit Cap Rate</v>
      </c>
      <c r="AJ322" s="823">
        <f>+AK322</f>
        <v>6.5000000000000002E-2</v>
      </c>
      <c r="AK322" s="227">
        <f>+AB322</f>
        <v>6.5000000000000002E-2</v>
      </c>
      <c r="AL322" s="762">
        <v>3.3302192988064188</v>
      </c>
      <c r="AM322" s="762">
        <v>3.3954035762388721</v>
      </c>
      <c r="AN322" s="763">
        <v>3.4613862239842526</v>
      </c>
      <c r="AO322" s="762">
        <v>3.5281819999552186</v>
      </c>
      <c r="AP322" s="762">
        <v>3.5958060280538704</v>
      </c>
    </row>
    <row r="323" spans="26:42" ht="18" customHeight="1" x14ac:dyDescent="0.15">
      <c r="Z323" s="1047"/>
      <c r="AA323" s="823">
        <f t="shared" ref="AA323:AA328" si="163">+AB323</f>
        <v>6.25E-2</v>
      </c>
      <c r="AB323" s="227">
        <f t="shared" si="162"/>
        <v>6.25E-2</v>
      </c>
      <c r="AC323" s="535">
        <v>0.26373557408682907</v>
      </c>
      <c r="AD323" s="535">
        <v>0.27229844377259033</v>
      </c>
      <c r="AE323" s="757">
        <v>0.28105540061391993</v>
      </c>
      <c r="AF323" s="535">
        <v>0.2900156458555555</v>
      </c>
      <c r="AG323" s="535">
        <v>0.29918881921978285</v>
      </c>
      <c r="AI323" s="1047"/>
      <c r="AJ323" s="823">
        <f t="shared" ref="AJ323:AJ328" si="164">+AK323</f>
        <v>6.25E-2</v>
      </c>
      <c r="AK323" s="227">
        <f t="shared" ref="AK323:AK328" si="165">+AB323</f>
        <v>6.25E-2</v>
      </c>
      <c r="AL323" s="762">
        <v>3.3844338720037914</v>
      </c>
      <c r="AM323" s="762">
        <v>3.451069386851092</v>
      </c>
      <c r="AN323" s="763">
        <v>3.5185210466175079</v>
      </c>
      <c r="AO323" s="762">
        <v>3.5868039377802252</v>
      </c>
      <c r="AP323" s="762">
        <v>3.6559335209540218</v>
      </c>
    </row>
    <row r="324" spans="26:42" ht="18" customHeight="1" x14ac:dyDescent="0.15">
      <c r="Z324" s="1047"/>
      <c r="AA324" s="823">
        <f t="shared" si="163"/>
        <v>6.0000000000000005E-2</v>
      </c>
      <c r="AB324" s="227">
        <f t="shared" si="162"/>
        <v>6.0000000000000005E-2</v>
      </c>
      <c r="AC324" s="535">
        <v>0.27104870761701466</v>
      </c>
      <c r="AD324" s="535">
        <v>0.27993974825863627</v>
      </c>
      <c r="AE324" s="757">
        <v>0.28903897130597389</v>
      </c>
      <c r="AF324" s="535">
        <v>0.29835636687444506</v>
      </c>
      <c r="AG324" s="535">
        <v>0.30790239226482929</v>
      </c>
      <c r="AI324" s="1047"/>
      <c r="AJ324" s="823">
        <f t="shared" si="164"/>
        <v>6.0000000000000005E-2</v>
      </c>
      <c r="AK324" s="227">
        <f t="shared" si="165"/>
        <v>6.0000000000000005E-2</v>
      </c>
      <c r="AL324" s="762">
        <v>3.4431663263010455</v>
      </c>
      <c r="AM324" s="762">
        <v>3.5113740150143284</v>
      </c>
      <c r="AN324" s="763">
        <v>3.5804171044702002</v>
      </c>
      <c r="AO324" s="762">
        <v>3.6503110370906491</v>
      </c>
      <c r="AP324" s="762">
        <v>3.7210716382625209</v>
      </c>
    </row>
    <row r="325" spans="26:42" ht="18" customHeight="1" thickBot="1" x14ac:dyDescent="0.2">
      <c r="Z325" s="1047"/>
      <c r="AA325" s="823">
        <f t="shared" si="163"/>
        <v>5.7500000000000002E-2</v>
      </c>
      <c r="AB325" s="227">
        <f t="shared" si="162"/>
        <v>5.7500000000000002E-2</v>
      </c>
      <c r="AC325" s="535">
        <v>0.27798971633336239</v>
      </c>
      <c r="AD325" s="535">
        <v>0.28695877776073081</v>
      </c>
      <c r="AE325" s="757">
        <v>0.29612527286863272</v>
      </c>
      <c r="AF325" s="535">
        <v>0.30549855274262827</v>
      </c>
      <c r="AG325" s="535">
        <v>0.31508837819509838</v>
      </c>
      <c r="AI325" s="1047"/>
      <c r="AJ325" s="823">
        <f t="shared" si="164"/>
        <v>5.7500000000000002E-2</v>
      </c>
      <c r="AK325" s="227">
        <f t="shared" si="165"/>
        <v>5.7500000000000002E-2</v>
      </c>
      <c r="AL325" s="762">
        <v>3.5126566136826107</v>
      </c>
      <c r="AM325" s="762">
        <v>3.5835316956322174</v>
      </c>
      <c r="AN325" s="763">
        <v>3.6552748482818256</v>
      </c>
      <c r="AO325" s="762">
        <v>3.727902117959121</v>
      </c>
      <c r="AP325" s="762">
        <v>3.8014299489332317</v>
      </c>
    </row>
    <row r="326" spans="26:42" ht="18" customHeight="1" thickTop="1" thickBot="1" x14ac:dyDescent="0.2">
      <c r="Z326" s="1047"/>
      <c r="AA326" s="824">
        <f t="shared" si="163"/>
        <v>5.5E-2</v>
      </c>
      <c r="AB326" s="767">
        <f t="shared" si="162"/>
        <v>5.5E-2</v>
      </c>
      <c r="AC326" s="757">
        <v>0.28290840931159572</v>
      </c>
      <c r="AD326" s="757">
        <v>0.29193745747487998</v>
      </c>
      <c r="AE326" s="761">
        <v>0.30116005615140845</v>
      </c>
      <c r="AF326" s="757">
        <v>0.31058539535263224</v>
      </c>
      <c r="AG326" s="757">
        <v>0.32022305949838054</v>
      </c>
      <c r="AI326" s="1047"/>
      <c r="AJ326" s="824">
        <f t="shared" si="164"/>
        <v>5.5E-2</v>
      </c>
      <c r="AK326" s="767">
        <f t="shared" si="165"/>
        <v>5.5E-2</v>
      </c>
      <c r="AL326" s="763">
        <v>3.6012961653467497</v>
      </c>
      <c r="AM326" s="763">
        <v>3.6747049206852256</v>
      </c>
      <c r="AN326" s="770">
        <v>3.7490127788942202</v>
      </c>
      <c r="AO326" s="763">
        <v>3.8242363599325526</v>
      </c>
      <c r="AP326" s="763">
        <v>3.9003926959262678</v>
      </c>
    </row>
    <row r="327" spans="26:42" ht="18" customHeight="1" thickTop="1" x14ac:dyDescent="0.15">
      <c r="Z327" s="1047"/>
      <c r="AA327" s="823">
        <f t="shared" si="163"/>
        <v>5.2499999999999998E-2</v>
      </c>
      <c r="AB327" s="227">
        <f t="shared" si="162"/>
        <v>5.2499999999999998E-2</v>
      </c>
      <c r="AC327" s="535">
        <v>0.28796628060262353</v>
      </c>
      <c r="AD327" s="535">
        <v>0.29704981053403623</v>
      </c>
      <c r="AE327" s="757">
        <v>0.30632275439180606</v>
      </c>
      <c r="AF327" s="535">
        <v>0.31579414444256693</v>
      </c>
      <c r="AG327" s="535">
        <v>0.32547339286569288</v>
      </c>
      <c r="AI327" s="1047"/>
      <c r="AJ327" s="823">
        <f t="shared" si="164"/>
        <v>5.2499999999999998E-2</v>
      </c>
      <c r="AK327" s="227">
        <f t="shared" si="165"/>
        <v>5.2499999999999998E-2</v>
      </c>
      <c r="AL327" s="762">
        <v>3.7000127991382428</v>
      </c>
      <c r="AM327" s="762">
        <v>3.7762064831442119</v>
      </c>
      <c r="AN327" s="763">
        <v>3.8533333795399831</v>
      </c>
      <c r="AO327" s="762">
        <v>3.9314107388004444</v>
      </c>
      <c r="AP327" s="762">
        <v>4.0104562392042142</v>
      </c>
    </row>
    <row r="328" spans="26:42" ht="18" customHeight="1" x14ac:dyDescent="0.15">
      <c r="Z328" s="1047"/>
      <c r="AA328" s="823">
        <f t="shared" si="163"/>
        <v>4.9999999999999996E-2</v>
      </c>
      <c r="AB328" s="227">
        <f t="shared" si="162"/>
        <v>4.9999999999999996E-2</v>
      </c>
      <c r="AC328" s="535">
        <v>0.29337436653731902</v>
      </c>
      <c r="AD328" s="535">
        <v>0.30251419875559005</v>
      </c>
      <c r="AE328" s="757">
        <v>0.31183907141558548</v>
      </c>
      <c r="AF328" s="535">
        <v>0.32135785851072313</v>
      </c>
      <c r="AG328" s="535">
        <v>0.33107979895836942</v>
      </c>
      <c r="AI328" s="1047"/>
      <c r="AJ328" s="823">
        <f t="shared" si="164"/>
        <v>4.9999999999999996E-2</v>
      </c>
      <c r="AK328" s="227">
        <f t="shared" si="165"/>
        <v>4.9999999999999996E-2</v>
      </c>
      <c r="AL328" s="762">
        <v>3.808601096308887</v>
      </c>
      <c r="AM328" s="762">
        <v>3.8878582018490961</v>
      </c>
      <c r="AN328" s="763">
        <v>3.9680860402503222</v>
      </c>
      <c r="AO328" s="762">
        <v>4.0493025555551254</v>
      </c>
      <c r="AP328" s="762">
        <v>4.1315261368099563</v>
      </c>
    </row>
    <row r="329" spans="26:42" ht="18" customHeight="1" x14ac:dyDescent="0.15">
      <c r="AE329" s="758" t="s">
        <v>775</v>
      </c>
      <c r="AN329" s="758" t="s">
        <v>775</v>
      </c>
    </row>
    <row r="341" ht="18" hidden="1" customHeight="1" x14ac:dyDescent="0.15"/>
    <row r="354" ht="18" hidden="1" customHeight="1" x14ac:dyDescent="0.15"/>
  </sheetData>
  <mergeCells count="63">
    <mergeCell ref="AC317:AG317"/>
    <mergeCell ref="AL317:AP317"/>
    <mergeCell ref="AC318:AG318"/>
    <mergeCell ref="AL318:AP318"/>
    <mergeCell ref="Z322:Z328"/>
    <mergeCell ref="AI322:AI328"/>
    <mergeCell ref="AC302:AG302"/>
    <mergeCell ref="AL302:AP302"/>
    <mergeCell ref="AC303:AG303"/>
    <mergeCell ref="AL303:AP303"/>
    <mergeCell ref="Z307:Z313"/>
    <mergeCell ref="AI307:AI313"/>
    <mergeCell ref="AC236:AG236"/>
    <mergeCell ref="AC237:AG237"/>
    <mergeCell ref="Z239:Z245"/>
    <mergeCell ref="AL236:AP236"/>
    <mergeCell ref="AL237:AP237"/>
    <mergeCell ref="AI239:AI245"/>
    <mergeCell ref="Z226:Z232"/>
    <mergeCell ref="AC224:AG224"/>
    <mergeCell ref="AC223:AG223"/>
    <mergeCell ref="AL223:AP223"/>
    <mergeCell ref="AL224:AP224"/>
    <mergeCell ref="AI226:AI232"/>
    <mergeCell ref="R42:S42"/>
    <mergeCell ref="F41:H41"/>
    <mergeCell ref="B42:C42"/>
    <mergeCell ref="B54:C54"/>
    <mergeCell ref="J73:K73"/>
    <mergeCell ref="B81:C81"/>
    <mergeCell ref="J41:K41"/>
    <mergeCell ref="J231:K231"/>
    <mergeCell ref="B121:C121"/>
    <mergeCell ref="J163:K163"/>
    <mergeCell ref="B153:C153"/>
    <mergeCell ref="B170:C170"/>
    <mergeCell ref="B188:C188"/>
    <mergeCell ref="B205:C205"/>
    <mergeCell ref="J151:K151"/>
    <mergeCell ref="AC249:AG249"/>
    <mergeCell ref="AL249:AP249"/>
    <mergeCell ref="AC250:AG250"/>
    <mergeCell ref="AL250:AP250"/>
    <mergeCell ref="Z253:Z259"/>
    <mergeCell ref="AI253:AI259"/>
    <mergeCell ref="AC263:AG263"/>
    <mergeCell ref="AL263:AP263"/>
    <mergeCell ref="AC264:AG264"/>
    <mergeCell ref="AL264:AP264"/>
    <mergeCell ref="Z266:Z272"/>
    <mergeCell ref="AI266:AI272"/>
    <mergeCell ref="AC276:AG276"/>
    <mergeCell ref="AL276:AP276"/>
    <mergeCell ref="AC277:AG277"/>
    <mergeCell ref="AL277:AP277"/>
    <mergeCell ref="Z279:Z285"/>
    <mergeCell ref="AI279:AI285"/>
    <mergeCell ref="AC289:AG289"/>
    <mergeCell ref="AL289:AP289"/>
    <mergeCell ref="AC290:AG290"/>
    <mergeCell ref="AL290:AP290"/>
    <mergeCell ref="Z292:Z298"/>
    <mergeCell ref="AI292:AI298"/>
  </mergeCells>
  <phoneticPr fontId="62" type="noConversion"/>
  <pageMargins left="0.7" right="0.7" top="0.75" bottom="0.75" header="0.3" footer="0.3"/>
  <pageSetup scale="12" orientation="portrait" copies="1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F0"/>
  </sheetPr>
  <dimension ref="A1:BA53"/>
  <sheetViews>
    <sheetView showGridLines="0" topLeftCell="AD1" zoomScale="70" zoomScaleNormal="70" workbookViewId="0">
      <selection activeCell="AW23" sqref="AW23:AX23"/>
    </sheetView>
  </sheetViews>
  <sheetFormatPr baseColWidth="10" defaultColWidth="8.83203125" defaultRowHeight="16" customHeight="1" x14ac:dyDescent="0.2"/>
  <cols>
    <col min="1" max="1" width="8.83203125" style="40"/>
    <col min="2" max="2" width="11.5" style="40" customWidth="1"/>
    <col min="3" max="3" width="14.5" style="40" customWidth="1"/>
    <col min="4" max="4" width="16.5" style="324" customWidth="1"/>
    <col min="5" max="8" width="14.5" style="324" customWidth="1"/>
    <col min="9" max="9" width="4" style="324" customWidth="1"/>
    <col min="10" max="10" width="4.1640625" style="324" customWidth="1"/>
    <col min="11" max="11" width="12.5" style="40" bestFit="1" customWidth="1"/>
    <col min="12" max="12" width="7.5" style="324" customWidth="1"/>
    <col min="13" max="24" width="16.5" style="324" customWidth="1"/>
    <col min="25" max="25" width="7.5" style="324" customWidth="1"/>
    <col min="26" max="26" width="16.5" style="40" customWidth="1"/>
    <col min="27" max="27" width="16.1640625" style="40" customWidth="1"/>
    <col min="28" max="35" width="16.5" style="40" customWidth="1"/>
    <col min="36" max="38" width="8.83203125" style="40"/>
    <col min="39" max="39" width="12.5" style="40" customWidth="1"/>
    <col min="40" max="40" width="8.83203125" style="40"/>
    <col min="41" max="50" width="16.5" style="40" customWidth="1"/>
    <col min="51" max="51" width="11.5" style="40" bestFit="1" customWidth="1"/>
    <col min="52" max="52" width="8.83203125" style="40"/>
    <col min="53" max="53" width="13.5" style="40" customWidth="1"/>
    <col min="54" max="16384" width="8.83203125" style="40"/>
  </cols>
  <sheetData>
    <row r="1" spans="1:53" ht="16" customHeight="1" x14ac:dyDescent="0.2">
      <c r="M1" s="145">
        <v>0</v>
      </c>
      <c r="N1" s="145">
        <f>+M1+1</f>
        <v>1</v>
      </c>
      <c r="O1" s="145">
        <f t="shared" ref="O1" si="0">+N1+1</f>
        <v>2</v>
      </c>
      <c r="P1" s="145">
        <f t="shared" ref="P1" si="1">+O1+1</f>
        <v>3</v>
      </c>
      <c r="Q1" s="145">
        <f t="shared" ref="Q1" si="2">+P1+1</f>
        <v>4</v>
      </c>
      <c r="R1" s="145">
        <f t="shared" ref="R1" si="3">+Q1+1</f>
        <v>5</v>
      </c>
      <c r="S1" s="145">
        <f t="shared" ref="S1" si="4">+R1+1</f>
        <v>6</v>
      </c>
      <c r="T1" s="145">
        <f t="shared" ref="T1" si="5">+S1+1</f>
        <v>7</v>
      </c>
      <c r="U1" s="145">
        <f t="shared" ref="U1" si="6">+T1+1</f>
        <v>8</v>
      </c>
      <c r="V1" s="145"/>
      <c r="W1" s="145"/>
      <c r="Z1" s="145">
        <v>0</v>
      </c>
      <c r="AA1" s="145">
        <f>+Z1+1</f>
        <v>1</v>
      </c>
      <c r="AB1" s="145">
        <f t="shared" ref="AB1:AI1" si="7">+AA1+1</f>
        <v>2</v>
      </c>
      <c r="AC1" s="145">
        <f t="shared" si="7"/>
        <v>3</v>
      </c>
      <c r="AD1" s="145">
        <f t="shared" si="7"/>
        <v>4</v>
      </c>
      <c r="AE1" s="145">
        <f t="shared" si="7"/>
        <v>5</v>
      </c>
      <c r="AF1" s="145">
        <f t="shared" si="7"/>
        <v>6</v>
      </c>
      <c r="AG1" s="145">
        <f t="shared" si="7"/>
        <v>7</v>
      </c>
      <c r="AH1" s="145">
        <f t="shared" si="7"/>
        <v>8</v>
      </c>
      <c r="AI1" s="145">
        <f t="shared" si="7"/>
        <v>9</v>
      </c>
    </row>
    <row r="2" spans="1:53" ht="16" customHeight="1" x14ac:dyDescent="0.2">
      <c r="M2" s="541">
        <f ca="1">+OFFSET(Budget!$D$35,'Parcel Breakdown'!M1,0)</f>
        <v>170</v>
      </c>
      <c r="N2" s="541">
        <f ca="1">+OFFSET(Budget!$D$35,'Parcel Breakdown'!N1,0)</f>
        <v>180</v>
      </c>
      <c r="O2" s="541">
        <f ca="1">+OFFSET(Budget!$D$35,'Parcel Breakdown'!O1,0)</f>
        <v>165</v>
      </c>
      <c r="P2" s="541">
        <f ca="1">+OFFSET(Budget!$D$35,'Parcel Breakdown'!P1,0)</f>
        <v>185</v>
      </c>
      <c r="Q2" s="541">
        <f ca="1">+OFFSET(Budget!$D$35,'Parcel Breakdown'!Q1,0)</f>
        <v>165</v>
      </c>
      <c r="R2" s="541">
        <f ca="1">+OFFSET(Budget!$D$35,'Parcel Breakdown'!R1,0)</f>
        <v>165</v>
      </c>
      <c r="S2" s="541">
        <f ca="1">+OFFSET(Budget!$D$35,'Parcel Breakdown'!S1,0)</f>
        <v>110</v>
      </c>
      <c r="T2" s="541">
        <f ca="1">+OFFSET(Budget!$D$35,'Parcel Breakdown'!T1,0)</f>
        <v>50</v>
      </c>
      <c r="U2" s="541">
        <f ca="1">+OFFSET(Budget!$D$35,'Parcel Breakdown'!U1,0)</f>
        <v>10</v>
      </c>
      <c r="V2" s="541"/>
      <c r="W2" s="541"/>
      <c r="Z2" s="145"/>
      <c r="AA2" s="145"/>
      <c r="AB2" s="145"/>
      <c r="AC2" s="145"/>
      <c r="AD2" s="145"/>
      <c r="AE2" s="145"/>
      <c r="AF2" s="145"/>
      <c r="AG2" s="145"/>
      <c r="AH2" s="145"/>
      <c r="AI2" s="145"/>
    </row>
    <row r="3" spans="1:53" ht="16" customHeight="1" x14ac:dyDescent="0.2">
      <c r="M3" s="1051" t="s">
        <v>609</v>
      </c>
      <c r="N3" s="1051"/>
      <c r="O3" s="1051"/>
      <c r="P3" s="1051"/>
      <c r="Q3" s="1051"/>
      <c r="R3" s="1051"/>
      <c r="S3" s="1051"/>
      <c r="T3" s="1051"/>
      <c r="U3" s="1051"/>
      <c r="V3" s="1051" t="s">
        <v>610</v>
      </c>
      <c r="W3" s="1051"/>
      <c r="Z3" s="1051" t="s">
        <v>467</v>
      </c>
      <c r="AA3" s="1051"/>
      <c r="AB3" s="1051"/>
      <c r="AC3" s="1051"/>
      <c r="AD3" s="1051"/>
      <c r="AE3" s="1051"/>
      <c r="AF3" s="1051"/>
      <c r="AG3" s="1051"/>
      <c r="AH3" s="1051"/>
      <c r="AI3" s="321"/>
      <c r="AK3" s="1051" t="s">
        <v>470</v>
      </c>
      <c r="AL3" s="1051"/>
      <c r="AM3" s="1051"/>
      <c r="AP3" s="1051" t="s">
        <v>468</v>
      </c>
      <c r="AQ3" s="1051"/>
      <c r="AR3" s="1051"/>
      <c r="AS3" s="1051"/>
      <c r="AT3" s="1051"/>
      <c r="AU3" s="1051"/>
      <c r="AV3" s="1051"/>
      <c r="AW3" s="1051"/>
      <c r="AX3" s="1051"/>
    </row>
    <row r="4" spans="1:53" ht="53.25" customHeight="1" x14ac:dyDescent="0.2">
      <c r="B4" s="208" t="s">
        <v>446</v>
      </c>
      <c r="C4" s="208" t="s">
        <v>242</v>
      </c>
      <c r="D4" s="208" t="s">
        <v>487</v>
      </c>
      <c r="E4" s="401" t="s">
        <v>556</v>
      </c>
      <c r="F4" s="321" t="s">
        <v>464</v>
      </c>
      <c r="G4" s="321" t="s">
        <v>465</v>
      </c>
      <c r="H4" s="321" t="s">
        <v>466</v>
      </c>
      <c r="I4" s="327"/>
      <c r="J4" s="327"/>
      <c r="K4" s="209" t="s">
        <v>227</v>
      </c>
      <c r="L4" s="327"/>
      <c r="M4" s="540" t="str">
        <f ca="1">+OFFSET(Budget!$B$35,M1,0)</f>
        <v>Affordable Residential</v>
      </c>
      <c r="N4" s="540" t="str">
        <f ca="1">+OFFSET(Budget!$B$35,N1,0)</f>
        <v>Market Rate and WF Residential</v>
      </c>
      <c r="O4" s="540" t="str">
        <f ca="1">+OFFSET(Budget!$B$35,O1,0)</f>
        <v>Retail</v>
      </c>
      <c r="P4" s="540" t="str">
        <f ca="1">+OFFSET(Budget!$B$35,P1,0)</f>
        <v>Hotel</v>
      </c>
      <c r="Q4" s="540" t="str">
        <f ca="1">+OFFSET(Budget!$B$35,Q1,0)</f>
        <v>Community Facility</v>
      </c>
      <c r="R4" s="540" t="str">
        <f ca="1">+OFFSET(Budget!$B$35,R1,0)</f>
        <v>Office</v>
      </c>
      <c r="S4" s="540" t="str">
        <f ca="1">+OFFSET(Budget!$B$35,S1,0)</f>
        <v>Industrial</v>
      </c>
      <c r="T4" s="540" t="str">
        <f ca="1">+OFFSET(Budget!$B$35,T1,0)</f>
        <v>Structural Parking</v>
      </c>
      <c r="U4" s="540" t="str">
        <f ca="1">+OFFSET(Budget!$B$35,U1,0)</f>
        <v>Surface Parking</v>
      </c>
      <c r="V4" s="540" t="s">
        <v>611</v>
      </c>
      <c r="W4" s="540" t="s">
        <v>612</v>
      </c>
      <c r="X4" s="327"/>
      <c r="Y4" s="327"/>
      <c r="Z4" s="209" t="str">
        <f ca="1">+OFFSET(Budget!$B$35,Z1,0)</f>
        <v>Affordable Residential</v>
      </c>
      <c r="AA4" s="321" t="str">
        <f ca="1">+OFFSET(Budget!$B$35,AA1,0)</f>
        <v>Market Rate and WF Residential</v>
      </c>
      <c r="AB4" s="321" t="str">
        <f ca="1">+OFFSET(Budget!$B$35,AB1,0)</f>
        <v>Retail</v>
      </c>
      <c r="AC4" s="321" t="str">
        <f ca="1">+OFFSET(Budget!$B$35,AC1,0)</f>
        <v>Hotel</v>
      </c>
      <c r="AD4" s="321" t="str">
        <f ca="1">+OFFSET(Budget!$B$35,AD1,0)</f>
        <v>Community Facility</v>
      </c>
      <c r="AE4" s="321" t="str">
        <f ca="1">+OFFSET(Budget!$B$35,AE1,0)</f>
        <v>Office</v>
      </c>
      <c r="AF4" s="321" t="str">
        <f ca="1">+OFFSET(Budget!$B$35,AF1,0)</f>
        <v>Industrial</v>
      </c>
      <c r="AG4" s="321" t="str">
        <f ca="1">+OFFSET(Budget!$B$35,AG1,0)</f>
        <v>Structural Parking</v>
      </c>
      <c r="AH4" s="321" t="str">
        <f ca="1">+OFFSET(Budget!$B$35,AH1,0)</f>
        <v>Surface Parking</v>
      </c>
      <c r="AI4" s="363" t="s">
        <v>472</v>
      </c>
      <c r="AK4" s="321" t="s">
        <v>469</v>
      </c>
      <c r="AL4" s="321" t="s">
        <v>26</v>
      </c>
      <c r="AM4" s="321" t="s">
        <v>471</v>
      </c>
      <c r="AN4" s="328"/>
      <c r="AO4" s="321" t="s">
        <v>226</v>
      </c>
      <c r="AP4" s="321" t="str">
        <f ca="1">+Z4</f>
        <v>Affordable Residential</v>
      </c>
      <c r="AQ4" s="321" t="str">
        <f t="shared" ref="AQ4:AX4" ca="1" si="8">+AA4</f>
        <v>Market Rate and WF Residential</v>
      </c>
      <c r="AR4" s="321" t="str">
        <f t="shared" ca="1" si="8"/>
        <v>Retail</v>
      </c>
      <c r="AS4" s="321" t="str">
        <f t="shared" ca="1" si="8"/>
        <v>Hotel</v>
      </c>
      <c r="AT4" s="321" t="str">
        <f t="shared" ca="1" si="8"/>
        <v>Community Facility</v>
      </c>
      <c r="AU4" s="321" t="str">
        <f t="shared" ca="1" si="8"/>
        <v>Office</v>
      </c>
      <c r="AV4" s="321" t="str">
        <f t="shared" ca="1" si="8"/>
        <v>Industrial</v>
      </c>
      <c r="AW4" s="321" t="str">
        <f t="shared" ca="1" si="8"/>
        <v>Structural Parking</v>
      </c>
      <c r="AX4" s="321" t="str">
        <f t="shared" ca="1" si="8"/>
        <v>Surface Parking</v>
      </c>
      <c r="BA4" s="401" t="s">
        <v>571</v>
      </c>
    </row>
    <row r="5" spans="1:53" s="204" customFormat="1" ht="31.5" customHeight="1" x14ac:dyDescent="0.2">
      <c r="B5" s="325"/>
      <c r="C5" s="325"/>
      <c r="D5" s="327"/>
      <c r="E5" s="327"/>
      <c r="F5" s="327"/>
      <c r="G5" s="327"/>
      <c r="H5" s="327"/>
      <c r="I5" s="327"/>
      <c r="J5" s="327"/>
      <c r="K5" s="327"/>
      <c r="L5" s="327"/>
      <c r="M5" s="360"/>
      <c r="N5" s="360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60">
        <v>0.2</v>
      </c>
      <c r="AA5" s="360">
        <v>0.8</v>
      </c>
      <c r="AB5" s="327"/>
      <c r="AC5" s="327"/>
      <c r="AD5" s="327"/>
      <c r="AE5" s="327"/>
      <c r="AF5" s="327"/>
      <c r="AG5" s="327"/>
      <c r="AH5" s="327"/>
      <c r="AI5" s="327"/>
      <c r="AO5" s="327"/>
      <c r="AP5" s="327"/>
      <c r="AQ5" s="327"/>
      <c r="AR5" s="327"/>
      <c r="AS5" s="327"/>
      <c r="AT5" s="327"/>
      <c r="AU5" s="327"/>
      <c r="AV5" s="327"/>
      <c r="AW5" s="327"/>
      <c r="AX5" s="327"/>
      <c r="BA5" s="327"/>
    </row>
    <row r="6" spans="1:53" ht="16" customHeight="1" x14ac:dyDescent="0.2">
      <c r="A6" s="523" t="str">
        <f>RIGHT(B6,2)</f>
        <v>A1</v>
      </c>
      <c r="B6" s="349" t="s">
        <v>460</v>
      </c>
      <c r="C6" s="350" t="s">
        <v>241</v>
      </c>
      <c r="D6" s="350" t="s">
        <v>486</v>
      </c>
      <c r="E6" s="351">
        <v>53728</v>
      </c>
      <c r="F6" s="351">
        <v>139509</v>
      </c>
      <c r="G6" s="351">
        <v>102611</v>
      </c>
      <c r="H6" s="351">
        <v>0</v>
      </c>
      <c r="I6" s="339"/>
      <c r="J6" s="339"/>
      <c r="K6" s="352">
        <f>+SUM(F6:H6)</f>
        <v>242120</v>
      </c>
      <c r="L6" s="339"/>
      <c r="M6" s="542">
        <f ca="1">+M$2*Z6*(1+'Assumptions and Sensis'!$P$107)^'Assumptions and Sensis'!$P$108</f>
        <v>8285022.3472127998</v>
      </c>
      <c r="N6" s="542">
        <f ca="1">+N$2*AA6*(1+'Assumptions and Sensis'!$P$107)^'Assumptions and Sensis'!$P$108</f>
        <v>35089506.411724798</v>
      </c>
      <c r="O6" s="542">
        <f ca="1">+O$2*AB6*(1+'Assumptions and Sensis'!$P$107)^'Assumptions and Sensis'!$P$108</f>
        <v>3036222.2088000001</v>
      </c>
      <c r="P6" s="542">
        <f ca="1">+P$2*AC6*(1+'Assumptions and Sensis'!$P$107)^'Assumptions and Sensis'!$P$108</f>
        <v>0</v>
      </c>
      <c r="Q6" s="542">
        <f ca="1">+Q$2*AD6*(1+'Assumptions and Sensis'!$P$107)^'Assumptions and Sensis'!$P$108</f>
        <v>0</v>
      </c>
      <c r="R6" s="542">
        <f ca="1">+R$2*AE6*(1+'Assumptions and Sensis'!$P$107)^'Assumptions and Sensis'!$P$108</f>
        <v>0</v>
      </c>
      <c r="S6" s="542">
        <f ca="1">+S$2*AF6*(1+'Assumptions and Sensis'!$P$107)^'Assumptions and Sensis'!$P$108</f>
        <v>0</v>
      </c>
      <c r="T6" s="542">
        <f ca="1">+T$2*AG6*(1+'Assumptions and Sensis'!$P$107)^'Assumptions and Sensis'!$P$108</f>
        <v>0</v>
      </c>
      <c r="U6" s="542">
        <f ca="1">+U$2*AH6*(1+'Assumptions and Sensis'!$P$107)^'Assumptions and Sensis'!$P$108</f>
        <v>0</v>
      </c>
      <c r="V6" s="542">
        <f ca="1">+SUM(M6:U6)/K6</f>
        <v>191.68491230686271</v>
      </c>
      <c r="W6" s="542">
        <f ca="1">+SUM(M6:S6)/SUM(F6:G6)</f>
        <v>191.68491230686271</v>
      </c>
      <c r="X6" s="339"/>
      <c r="Y6" s="339"/>
      <c r="Z6" s="352">
        <f t="shared" ref="Z6:AA22" si="9">+($K6-SUM($AB6:$AH6))*Z$5</f>
        <v>45024</v>
      </c>
      <c r="AA6" s="352">
        <f t="shared" si="9"/>
        <v>180096</v>
      </c>
      <c r="AB6" s="351">
        <v>17000</v>
      </c>
      <c r="AC6" s="351">
        <v>0</v>
      </c>
      <c r="AD6" s="351">
        <v>0</v>
      </c>
      <c r="AE6" s="351">
        <v>0</v>
      </c>
      <c r="AF6" s="351">
        <v>0</v>
      </c>
      <c r="AG6" s="351">
        <f t="shared" ref="AG6:AG21" si="10">+H6</f>
        <v>0</v>
      </c>
      <c r="AH6" s="351">
        <v>0</v>
      </c>
      <c r="AI6" s="364">
        <f t="shared" ref="AI6:AI26" si="11">+K6-SUM(Z6:AH6)</f>
        <v>0</v>
      </c>
      <c r="AJ6" s="204"/>
      <c r="AK6" s="356">
        <v>0.83047752309879197</v>
      </c>
      <c r="AL6" s="356"/>
      <c r="AM6" s="361">
        <f t="shared" ref="AM6:AM22" si="12">+SUM(AP6:AV6)/SUM(Z6:AF6)</f>
        <v>0.83535891293573461</v>
      </c>
      <c r="AN6" s="356"/>
      <c r="AO6" s="357">
        <f>+SUM(AP6:AX6)</f>
        <v>202257.10000000006</v>
      </c>
      <c r="AP6" s="352">
        <f t="shared" ref="AP6:AP22" si="13">+Z6*$AK6</f>
        <v>37391.420000000013</v>
      </c>
      <c r="AQ6" s="352">
        <f t="shared" ref="AQ6:AQ22" si="14">+AA6*$AK6</f>
        <v>149565.68000000005</v>
      </c>
      <c r="AR6" s="352">
        <f>+AB6*0.9</f>
        <v>15300</v>
      </c>
      <c r="AS6" s="352">
        <f t="shared" ref="AS6:AS8" si="15">+AC6*0.75</f>
        <v>0</v>
      </c>
      <c r="AT6" s="352">
        <f t="shared" ref="AT6:AT7" si="16">+AD6</f>
        <v>0</v>
      </c>
      <c r="AU6" s="352">
        <f t="shared" ref="AU6" si="17">+AE6*0.9</f>
        <v>0</v>
      </c>
      <c r="AV6" s="352">
        <f>+AF6</f>
        <v>0</v>
      </c>
      <c r="AW6" s="352">
        <f>+AG6</f>
        <v>0</v>
      </c>
      <c r="AX6" s="352">
        <f t="shared" ref="AX6:AX22" si="18">+AH6</f>
        <v>0</v>
      </c>
      <c r="BA6" s="352">
        <f>IFERROR(VLOOKUP(A6,Acquisition!$C$5:$E$10,3,FALSE),0)+1</f>
        <v>1</v>
      </c>
    </row>
    <row r="7" spans="1:53" ht="16" customHeight="1" x14ac:dyDescent="0.2">
      <c r="A7" s="523" t="str">
        <f t="shared" ref="A7:A9" si="19">RIGHT(B7,2)</f>
        <v>A2</v>
      </c>
      <c r="B7" s="349" t="s">
        <v>461</v>
      </c>
      <c r="C7" s="350" t="s">
        <v>241</v>
      </c>
      <c r="D7" s="350" t="s">
        <v>486</v>
      </c>
      <c r="E7" s="351">
        <v>53502</v>
      </c>
      <c r="F7" s="351">
        <v>175805</v>
      </c>
      <c r="G7" s="351">
        <v>249599</v>
      </c>
      <c r="H7" s="351">
        <v>0</v>
      </c>
      <c r="I7" s="339"/>
      <c r="J7" s="339"/>
      <c r="K7" s="352">
        <f t="shared" ref="K7:K22" si="20">+SUM(F7:H7)</f>
        <v>425404</v>
      </c>
      <c r="L7" s="339"/>
      <c r="M7" s="542">
        <f ca="1">+M$2*Z7*(1+'Assumptions and Sensis'!$P$107)^'Assumptions and Sensis'!$P$108</f>
        <v>6061178.7042192044</v>
      </c>
      <c r="N7" s="542">
        <f ca="1">+N$2*AA7*(1+'Assumptions and Sensis'!$P$107)^'Assumptions and Sensis'!$P$108</f>
        <v>25670874.51198722</v>
      </c>
      <c r="O7" s="542">
        <f ca="1">+O$2*AB7*(1+'Assumptions and Sensis'!$P$107)^'Assumptions and Sensis'!$P$108</f>
        <v>4465032.66</v>
      </c>
      <c r="P7" s="542">
        <f ca="1">+P$2*AC7*(1+'Assumptions and Sensis'!$P$107)^'Assumptions and Sensis'!$P$108</f>
        <v>0</v>
      </c>
      <c r="Q7" s="542">
        <f ca="1">+Q$2*AD7*(1+'Assumptions and Sensis'!$P$107)^'Assumptions and Sensis'!$P$108</f>
        <v>0</v>
      </c>
      <c r="R7" s="542">
        <f ca="1">+R$2*AE7*(1+'Assumptions and Sensis'!$P$107)^'Assumptions and Sensis'!$P$108</f>
        <v>42098133.776133575</v>
      </c>
      <c r="S7" s="542">
        <f ca="1">+S$2*AF7*(1+'Assumptions and Sensis'!$P$107)^'Assumptions and Sensis'!$P$108</f>
        <v>0</v>
      </c>
      <c r="T7" s="542">
        <f ca="1">+T$2*AG7*(1+'Assumptions and Sensis'!$P$107)^'Assumptions and Sensis'!$P$108</f>
        <v>0</v>
      </c>
      <c r="U7" s="542">
        <f ca="1">+U$2*AH7*(1+'Assumptions and Sensis'!$P$107)^'Assumptions and Sensis'!$P$108</f>
        <v>0</v>
      </c>
      <c r="V7" s="542">
        <f t="shared" ref="V7:V22" ca="1" si="21">+SUM(M7:U7)/K7</f>
        <v>184.04909133985575</v>
      </c>
      <c r="W7" s="542">
        <f t="shared" ref="W7:W22" ca="1" si="22">+SUM(M7:S7)/SUM(F7:G7)</f>
        <v>184.04909133985575</v>
      </c>
      <c r="X7" s="339"/>
      <c r="Y7" s="339"/>
      <c r="Z7" s="352">
        <f t="shared" si="9"/>
        <v>32938.777777777803</v>
      </c>
      <c r="AA7" s="352">
        <f t="shared" si="9"/>
        <v>131755.11111111121</v>
      </c>
      <c r="AB7" s="351">
        <v>25000</v>
      </c>
      <c r="AC7" s="351">
        <v>0</v>
      </c>
      <c r="AD7" s="351">
        <v>0</v>
      </c>
      <c r="AE7" s="351">
        <v>235710.11111111101</v>
      </c>
      <c r="AF7" s="351">
        <v>0</v>
      </c>
      <c r="AG7" s="351">
        <f t="shared" si="10"/>
        <v>0</v>
      </c>
      <c r="AH7" s="351">
        <v>0</v>
      </c>
      <c r="AI7" s="365">
        <f t="shared" si="11"/>
        <v>0</v>
      </c>
      <c r="AJ7" s="204"/>
      <c r="AK7" s="356">
        <v>0.85</v>
      </c>
      <c r="AL7" s="359"/>
      <c r="AM7" s="361">
        <f t="shared" si="12"/>
        <v>0.88064264923591595</v>
      </c>
      <c r="AN7" s="359"/>
      <c r="AO7" s="357">
        <f t="shared" ref="AO7:AO10" si="23">+SUM(AP7:AX7)</f>
        <v>374628.9055555556</v>
      </c>
      <c r="AP7" s="352">
        <f t="shared" si="13"/>
        <v>27997.96111111113</v>
      </c>
      <c r="AQ7" s="352">
        <f t="shared" si="14"/>
        <v>111991.84444444452</v>
      </c>
      <c r="AR7" s="352">
        <f t="shared" ref="AR7:AR22" si="24">+AB7*0.9</f>
        <v>22500</v>
      </c>
      <c r="AS7" s="352">
        <f t="shared" si="15"/>
        <v>0</v>
      </c>
      <c r="AT7" s="352">
        <f t="shared" si="16"/>
        <v>0</v>
      </c>
      <c r="AU7" s="352">
        <f t="shared" ref="AU7:AU14" si="25">+AE7*0.9</f>
        <v>212139.09999999992</v>
      </c>
      <c r="AV7" s="352">
        <f t="shared" ref="AV7:AV22" si="26">+AF7</f>
        <v>0</v>
      </c>
      <c r="AW7" s="352">
        <f t="shared" ref="AW7:AW22" si="27">+AG7</f>
        <v>0</v>
      </c>
      <c r="AX7" s="352">
        <f t="shared" si="18"/>
        <v>0</v>
      </c>
      <c r="BA7" s="352">
        <f>IFERROR(VLOOKUP(A7,Acquisition!$C$5:$E$10,3,FALSE),0)</f>
        <v>0</v>
      </c>
    </row>
    <row r="8" spans="1:53" ht="16" customHeight="1" x14ac:dyDescent="0.2">
      <c r="A8" s="523" t="str">
        <f t="shared" si="19"/>
        <v>A3</v>
      </c>
      <c r="B8" s="341" t="s">
        <v>462</v>
      </c>
      <c r="C8" s="342" t="s">
        <v>202</v>
      </c>
      <c r="D8" s="342" t="s">
        <v>486</v>
      </c>
      <c r="E8" s="343">
        <v>53024</v>
      </c>
      <c r="F8" s="343">
        <v>76500</v>
      </c>
      <c r="G8" s="343">
        <v>0</v>
      </c>
      <c r="H8" s="343">
        <v>0</v>
      </c>
      <c r="I8" s="339"/>
      <c r="J8" s="339"/>
      <c r="K8" s="344">
        <f t="shared" si="20"/>
        <v>76500</v>
      </c>
      <c r="L8" s="339"/>
      <c r="M8" s="543">
        <f t="shared" ref="M8:U10" ca="1" si="28">+M$2*Z8</f>
        <v>0</v>
      </c>
      <c r="N8" s="543">
        <f t="shared" ca="1" si="28"/>
        <v>0</v>
      </c>
      <c r="O8" s="543">
        <f t="shared" ca="1" si="28"/>
        <v>9466875</v>
      </c>
      <c r="P8" s="543">
        <f t="shared" ca="1" si="28"/>
        <v>0</v>
      </c>
      <c r="Q8" s="543">
        <f t="shared" ca="1" si="28"/>
        <v>3155625</v>
      </c>
      <c r="R8" s="543">
        <f t="shared" ca="1" si="28"/>
        <v>0</v>
      </c>
      <c r="S8" s="543">
        <f t="shared" ca="1" si="28"/>
        <v>0</v>
      </c>
      <c r="T8" s="543">
        <f t="shared" ca="1" si="28"/>
        <v>0</v>
      </c>
      <c r="U8" s="543">
        <f t="shared" ca="1" si="28"/>
        <v>0</v>
      </c>
      <c r="V8" s="543">
        <f t="shared" ca="1" si="21"/>
        <v>165</v>
      </c>
      <c r="W8" s="543">
        <f t="shared" ca="1" si="22"/>
        <v>165</v>
      </c>
      <c r="X8" s="339"/>
      <c r="Y8" s="339"/>
      <c r="Z8" s="344">
        <f t="shared" si="9"/>
        <v>0</v>
      </c>
      <c r="AA8" s="344">
        <f t="shared" si="9"/>
        <v>0</v>
      </c>
      <c r="AB8" s="343">
        <v>57375</v>
      </c>
      <c r="AC8" s="343">
        <v>0</v>
      </c>
      <c r="AD8" s="343">
        <v>19125</v>
      </c>
      <c r="AE8" s="343">
        <v>0</v>
      </c>
      <c r="AF8" s="343">
        <v>0</v>
      </c>
      <c r="AG8" s="343">
        <f t="shared" si="10"/>
        <v>0</v>
      </c>
      <c r="AH8" s="343">
        <v>0</v>
      </c>
      <c r="AI8" s="366">
        <f t="shared" si="11"/>
        <v>0</v>
      </c>
      <c r="AJ8" s="204"/>
      <c r="AK8" s="204"/>
      <c r="AL8" s="204"/>
      <c r="AM8" s="361">
        <f t="shared" si="12"/>
        <v>0.85</v>
      </c>
      <c r="AN8" s="204"/>
      <c r="AO8" s="358">
        <f t="shared" si="23"/>
        <v>65025</v>
      </c>
      <c r="AP8" s="344">
        <f t="shared" si="13"/>
        <v>0</v>
      </c>
      <c r="AQ8" s="344">
        <f t="shared" si="14"/>
        <v>0</v>
      </c>
      <c r="AR8" s="344">
        <f>+AB8*0.8</f>
        <v>45900</v>
      </c>
      <c r="AS8" s="344">
        <f t="shared" si="15"/>
        <v>0</v>
      </c>
      <c r="AT8" s="344">
        <f>+AD8</f>
        <v>19125</v>
      </c>
      <c r="AU8" s="344">
        <f t="shared" si="25"/>
        <v>0</v>
      </c>
      <c r="AV8" s="344">
        <f t="shared" si="26"/>
        <v>0</v>
      </c>
      <c r="AW8" s="344">
        <f t="shared" si="27"/>
        <v>0</v>
      </c>
      <c r="AX8" s="344">
        <f t="shared" si="18"/>
        <v>0</v>
      </c>
      <c r="BA8" s="344">
        <f>IFERROR(VLOOKUP(A8,Acquisition!$C$5:$E$10,3,FALSE),0)+1</f>
        <v>1</v>
      </c>
    </row>
    <row r="9" spans="1:53" ht="16" customHeight="1" x14ac:dyDescent="0.2">
      <c r="A9" s="523" t="str">
        <f t="shared" si="19"/>
        <v>A4</v>
      </c>
      <c r="B9" s="341" t="s">
        <v>463</v>
      </c>
      <c r="C9" s="342" t="s">
        <v>202</v>
      </c>
      <c r="D9" s="342" t="s">
        <v>486</v>
      </c>
      <c r="E9" s="343">
        <v>53564</v>
      </c>
      <c r="F9" s="343">
        <v>185243</v>
      </c>
      <c r="G9" s="343">
        <v>229674</v>
      </c>
      <c r="H9" s="343">
        <v>0</v>
      </c>
      <c r="I9" s="339"/>
      <c r="J9" s="339"/>
      <c r="K9" s="344">
        <f t="shared" si="20"/>
        <v>414917</v>
      </c>
      <c r="L9" s="339"/>
      <c r="M9" s="543">
        <f t="shared" ca="1" si="28"/>
        <v>5618262</v>
      </c>
      <c r="N9" s="543">
        <f t="shared" ca="1" si="28"/>
        <v>23794992</v>
      </c>
      <c r="O9" s="543">
        <f t="shared" ca="1" si="28"/>
        <v>3300000</v>
      </c>
      <c r="P9" s="543">
        <f t="shared" ca="1" si="28"/>
        <v>0</v>
      </c>
      <c r="Q9" s="543">
        <f t="shared" ca="1" si="28"/>
        <v>0</v>
      </c>
      <c r="R9" s="543">
        <f t="shared" ca="1" si="28"/>
        <v>37896210</v>
      </c>
      <c r="S9" s="543">
        <f t="shared" ca="1" si="28"/>
        <v>0</v>
      </c>
      <c r="T9" s="543">
        <f t="shared" ca="1" si="28"/>
        <v>0</v>
      </c>
      <c r="U9" s="543">
        <f t="shared" ca="1" si="28"/>
        <v>0</v>
      </c>
      <c r="V9" s="543">
        <f t="shared" ca="1" si="21"/>
        <v>170.17732221143024</v>
      </c>
      <c r="W9" s="543">
        <f t="shared" ca="1" si="22"/>
        <v>170.17732221143024</v>
      </c>
      <c r="X9" s="339"/>
      <c r="Y9" s="339"/>
      <c r="Z9" s="344">
        <f t="shared" si="9"/>
        <v>33048.6</v>
      </c>
      <c r="AA9" s="344">
        <f t="shared" si="9"/>
        <v>132194.4</v>
      </c>
      <c r="AB9" s="343">
        <v>20000</v>
      </c>
      <c r="AC9" s="343">
        <v>0</v>
      </c>
      <c r="AD9" s="343">
        <v>0</v>
      </c>
      <c r="AE9" s="343">
        <v>229674</v>
      </c>
      <c r="AF9" s="343">
        <v>0</v>
      </c>
      <c r="AG9" s="343">
        <f t="shared" si="10"/>
        <v>0</v>
      </c>
      <c r="AH9" s="343">
        <v>0</v>
      </c>
      <c r="AI9" s="366">
        <f t="shared" si="11"/>
        <v>0</v>
      </c>
      <c r="AJ9" s="204"/>
      <c r="AK9" s="356">
        <v>0.85</v>
      </c>
      <c r="AL9" s="356"/>
      <c r="AM9" s="361">
        <f t="shared" si="12"/>
        <v>0.88008722226372993</v>
      </c>
      <c r="AN9" s="356"/>
      <c r="AO9" s="358">
        <f t="shared" si="23"/>
        <v>365163.15</v>
      </c>
      <c r="AP9" s="344">
        <f t="shared" si="13"/>
        <v>28091.309999999998</v>
      </c>
      <c r="AQ9" s="344">
        <f t="shared" si="14"/>
        <v>112365.23999999999</v>
      </c>
      <c r="AR9" s="344">
        <f t="shared" si="24"/>
        <v>18000</v>
      </c>
      <c r="AS9" s="344">
        <f>+AC9*0.75</f>
        <v>0</v>
      </c>
      <c r="AT9" s="344">
        <f t="shared" ref="AT9:AT22" si="29">+AD9</f>
        <v>0</v>
      </c>
      <c r="AU9" s="344">
        <f t="shared" si="25"/>
        <v>206706.6</v>
      </c>
      <c r="AV9" s="344">
        <f t="shared" si="26"/>
        <v>0</v>
      </c>
      <c r="AW9" s="344">
        <f t="shared" si="27"/>
        <v>0</v>
      </c>
      <c r="AX9" s="344">
        <f t="shared" si="18"/>
        <v>0</v>
      </c>
      <c r="BA9" s="344">
        <f>IFERROR(VLOOKUP(A9,Acquisition!$C$5:$E$10,3,FALSE),0)</f>
        <v>0</v>
      </c>
    </row>
    <row r="10" spans="1:53" ht="16" customHeight="1" x14ac:dyDescent="0.2">
      <c r="A10" s="523" t="str">
        <f>RIGHT(B10,1)</f>
        <v>B</v>
      </c>
      <c r="B10" s="341" t="s">
        <v>447</v>
      </c>
      <c r="C10" s="342" t="s">
        <v>202</v>
      </c>
      <c r="D10" s="342" t="s">
        <v>486</v>
      </c>
      <c r="E10" s="343">
        <v>51667</v>
      </c>
      <c r="F10" s="343">
        <v>146317</v>
      </c>
      <c r="G10" s="343">
        <v>241425</v>
      </c>
      <c r="H10" s="343">
        <v>33000</v>
      </c>
      <c r="I10" s="339"/>
      <c r="J10" s="339"/>
      <c r="K10" s="344">
        <f t="shared" si="20"/>
        <v>420742</v>
      </c>
      <c r="L10" s="339"/>
      <c r="M10" s="543">
        <f t="shared" ca="1" si="28"/>
        <v>4238365.1999999993</v>
      </c>
      <c r="N10" s="543">
        <f t="shared" ca="1" si="28"/>
        <v>17950723.199999999</v>
      </c>
      <c r="O10" s="543">
        <f t="shared" ca="1" si="28"/>
        <v>9075000</v>
      </c>
      <c r="P10" s="543">
        <f t="shared" ca="1" si="28"/>
        <v>38495577</v>
      </c>
      <c r="Q10" s="543">
        <f t="shared" ca="1" si="28"/>
        <v>0</v>
      </c>
      <c r="R10" s="543">
        <f t="shared" ca="1" si="28"/>
        <v>0</v>
      </c>
      <c r="S10" s="543">
        <f t="shared" ca="1" si="28"/>
        <v>0</v>
      </c>
      <c r="T10" s="543">
        <f t="shared" ca="1" si="28"/>
        <v>1650000</v>
      </c>
      <c r="U10" s="543">
        <f t="shared" ca="1" si="28"/>
        <v>0</v>
      </c>
      <c r="V10" s="543">
        <f t="shared" ca="1" si="21"/>
        <v>169.72316859262924</v>
      </c>
      <c r="W10" s="543">
        <f t="shared" ca="1" si="22"/>
        <v>179.91258465680789</v>
      </c>
      <c r="X10" s="339"/>
      <c r="Y10" s="339"/>
      <c r="Z10" s="344">
        <f t="shared" si="9"/>
        <v>24931.559999999998</v>
      </c>
      <c r="AA10" s="344">
        <f t="shared" si="9"/>
        <v>99726.239999999991</v>
      </c>
      <c r="AB10" s="343">
        <v>55000</v>
      </c>
      <c r="AC10" s="343">
        <v>208084.2</v>
      </c>
      <c r="AD10" s="343">
        <v>0</v>
      </c>
      <c r="AE10" s="343">
        <v>0</v>
      </c>
      <c r="AF10" s="343">
        <v>0</v>
      </c>
      <c r="AG10" s="343">
        <f t="shared" si="10"/>
        <v>33000</v>
      </c>
      <c r="AH10" s="343">
        <v>0</v>
      </c>
      <c r="AI10" s="366">
        <f t="shared" si="11"/>
        <v>0</v>
      </c>
      <c r="AJ10" s="204"/>
      <c r="AK10" s="356">
        <v>0.87151446357233397</v>
      </c>
      <c r="AL10" s="356"/>
      <c r="AM10" s="361">
        <f t="shared" si="12"/>
        <v>0.81034354209012005</v>
      </c>
      <c r="AN10" s="356"/>
      <c r="AO10" s="358">
        <f t="shared" si="23"/>
        <v>347204.22569710732</v>
      </c>
      <c r="AP10" s="344">
        <f t="shared" si="13"/>
        <v>21728.215139421456</v>
      </c>
      <c r="AQ10" s="344">
        <f t="shared" si="14"/>
        <v>86912.860557685824</v>
      </c>
      <c r="AR10" s="344">
        <f t="shared" si="24"/>
        <v>49500</v>
      </c>
      <c r="AS10" s="344">
        <f>+AC10*0.75</f>
        <v>156063.15000000002</v>
      </c>
      <c r="AT10" s="344">
        <f t="shared" si="29"/>
        <v>0</v>
      </c>
      <c r="AU10" s="344">
        <f t="shared" si="25"/>
        <v>0</v>
      </c>
      <c r="AV10" s="344">
        <f t="shared" si="26"/>
        <v>0</v>
      </c>
      <c r="AW10" s="344">
        <f t="shared" si="27"/>
        <v>33000</v>
      </c>
      <c r="AX10" s="344">
        <f t="shared" si="18"/>
        <v>0</v>
      </c>
      <c r="BA10" s="344">
        <f>IFERROR(VLOOKUP(A10,Acquisition!$C$5:$E$10,3,FALSE),0)</f>
        <v>0</v>
      </c>
    </row>
    <row r="11" spans="1:53" ht="16" customHeight="1" x14ac:dyDescent="0.2">
      <c r="A11" s="523" t="str">
        <f t="shared" ref="A11:A22" si="30">RIGHT(B11,1)</f>
        <v>C</v>
      </c>
      <c r="B11" s="345" t="s">
        <v>448</v>
      </c>
      <c r="C11" s="346" t="s">
        <v>240</v>
      </c>
      <c r="D11" s="346" t="s">
        <v>486</v>
      </c>
      <c r="E11" s="347">
        <v>98792</v>
      </c>
      <c r="F11" s="347">
        <v>176773</v>
      </c>
      <c r="G11" s="347">
        <v>170720</v>
      </c>
      <c r="H11" s="347">
        <v>60000</v>
      </c>
      <c r="I11" s="339"/>
      <c r="J11" s="339"/>
      <c r="K11" s="348">
        <f t="shared" si="20"/>
        <v>407493</v>
      </c>
      <c r="L11" s="339"/>
      <c r="M11" s="544">
        <f ca="1">+M$2*Z11*(1+'Assumptions and Sensis'!$O$107)^'Assumptions and Sensis'!$O$108</f>
        <v>11584606.384800002</v>
      </c>
      <c r="N11" s="544">
        <f ca="1">+N$2*AA11*(1+'Assumptions and Sensis'!$O$107)^'Assumptions and Sensis'!$O$108</f>
        <v>49064215.276800007</v>
      </c>
      <c r="O11" s="544">
        <f ca="1">+O$2*AB11*(1+'Assumptions and Sensis'!$O$107)^'Assumptions and Sensis'!$O$108</f>
        <v>3433320</v>
      </c>
      <c r="P11" s="544">
        <f ca="1">+P$2*AC11*(1+'Assumptions and Sensis'!$O$107)^'Assumptions and Sensis'!$O$108</f>
        <v>0</v>
      </c>
      <c r="Q11" s="544">
        <f ca="1">+Q$2*AD11*(1+'Assumptions and Sensis'!$O$107)^'Assumptions and Sensis'!$O$108</f>
        <v>0</v>
      </c>
      <c r="R11" s="544">
        <f ca="1">+R$2*AE11*(1+'Assumptions and Sensis'!$O$107)^'Assumptions and Sensis'!$O$108</f>
        <v>0</v>
      </c>
      <c r="S11" s="544">
        <f ca="1">+S$2*AF11*(1+'Assumptions and Sensis'!$O$107)^'Assumptions and Sensis'!$O$108</f>
        <v>0</v>
      </c>
      <c r="T11" s="544">
        <f ca="1">+T$2*AG11*(1+'Assumptions and Sensis'!$O$107)^'Assumptions and Sensis'!$O$108</f>
        <v>3121200</v>
      </c>
      <c r="U11" s="544">
        <f ca="1">+U$2*AH11*(1+'Assumptions and Sensis'!$O$107)^'Assumptions and Sensis'!$O$108</f>
        <v>0</v>
      </c>
      <c r="V11" s="544">
        <f t="shared" ca="1" si="21"/>
        <v>164.91900882125586</v>
      </c>
      <c r="W11" s="544">
        <f t="shared" ca="1" si="22"/>
        <v>184.41275554212606</v>
      </c>
      <c r="X11" s="339"/>
      <c r="Y11" s="339"/>
      <c r="Z11" s="348">
        <f t="shared" si="9"/>
        <v>65498.600000000006</v>
      </c>
      <c r="AA11" s="348">
        <f t="shared" si="9"/>
        <v>261994.40000000002</v>
      </c>
      <c r="AB11" s="347">
        <v>20000</v>
      </c>
      <c r="AC11" s="347">
        <v>0</v>
      </c>
      <c r="AD11" s="347">
        <v>0</v>
      </c>
      <c r="AE11" s="347">
        <v>0</v>
      </c>
      <c r="AF11" s="347">
        <v>0</v>
      </c>
      <c r="AG11" s="347">
        <f t="shared" si="10"/>
        <v>60000</v>
      </c>
      <c r="AH11" s="347">
        <v>0</v>
      </c>
      <c r="AI11" s="367">
        <f t="shared" si="11"/>
        <v>0</v>
      </c>
      <c r="AJ11" s="204"/>
      <c r="AK11" s="356">
        <v>0.83991535696946196</v>
      </c>
      <c r="AL11" s="356"/>
      <c r="AM11" s="361">
        <f t="shared" si="12"/>
        <v>0.84337353558201178</v>
      </c>
      <c r="AN11" s="204"/>
      <c r="AO11" s="362">
        <f t="shared" ref="AO11:AO23" si="31">+SUM(AP11:AX11)</f>
        <v>353066.4</v>
      </c>
      <c r="AP11" s="348">
        <f t="shared" si="13"/>
        <v>55013.280000000006</v>
      </c>
      <c r="AQ11" s="348">
        <f t="shared" si="14"/>
        <v>220053.12000000002</v>
      </c>
      <c r="AR11" s="348">
        <f t="shared" si="24"/>
        <v>18000</v>
      </c>
      <c r="AS11" s="348">
        <f>+AC11*0.75</f>
        <v>0</v>
      </c>
      <c r="AT11" s="348">
        <f t="shared" si="29"/>
        <v>0</v>
      </c>
      <c r="AU11" s="348">
        <f t="shared" si="25"/>
        <v>0</v>
      </c>
      <c r="AV11" s="348">
        <f t="shared" si="26"/>
        <v>0</v>
      </c>
      <c r="AW11" s="348">
        <f t="shared" si="27"/>
        <v>60000</v>
      </c>
      <c r="AX11" s="348">
        <f t="shared" si="18"/>
        <v>0</v>
      </c>
      <c r="BA11" s="348">
        <f>IFERROR(VLOOKUP(A11,Acquisition!$C$5:$E$10,3,FALSE),0)+1</f>
        <v>1</v>
      </c>
    </row>
    <row r="12" spans="1:53" ht="16" customHeight="1" x14ac:dyDescent="0.2">
      <c r="A12" s="523" t="str">
        <f t="shared" si="30"/>
        <v>D</v>
      </c>
      <c r="B12" s="345" t="s">
        <v>449</v>
      </c>
      <c r="C12" s="346" t="s">
        <v>240</v>
      </c>
      <c r="D12" s="346" t="s">
        <v>486</v>
      </c>
      <c r="E12" s="347">
        <v>33780</v>
      </c>
      <c r="F12" s="347">
        <v>96434</v>
      </c>
      <c r="G12" s="347">
        <v>48000</v>
      </c>
      <c r="H12" s="347">
        <v>46000</v>
      </c>
      <c r="I12" s="339"/>
      <c r="J12" s="339"/>
      <c r="K12" s="348">
        <f t="shared" si="20"/>
        <v>190434</v>
      </c>
      <c r="L12" s="339"/>
      <c r="M12" s="544">
        <f ca="1">+M$2*Z12*(1+'Assumptions and Sensis'!$O$107)^'Assumptions and Sensis'!$O$108</f>
        <v>0</v>
      </c>
      <c r="N12" s="544">
        <f ca="1">+N$2*AA12*(1+'Assumptions and Sensis'!$O$107)^'Assumptions and Sensis'!$O$108</f>
        <v>0</v>
      </c>
      <c r="O12" s="544">
        <f ca="1">+O$2*AB12*(1+'Assumptions and Sensis'!$O$107)^'Assumptions and Sensis'!$O$108</f>
        <v>2746656</v>
      </c>
      <c r="P12" s="544">
        <f ca="1">+P$2*AC12*(1+'Assumptions and Sensis'!$O$107)^'Assumptions and Sensis'!$O$108</f>
        <v>24720205.715999998</v>
      </c>
      <c r="Q12" s="544">
        <f ca="1">+Q$2*AD12*(1+'Assumptions and Sensis'!$O$107)^'Assumptions and Sensis'!$O$108</f>
        <v>0</v>
      </c>
      <c r="R12" s="544">
        <f ca="1">+R$2*AE12*(1+'Assumptions and Sensis'!$O$107)^'Assumptions and Sensis'!$O$108</f>
        <v>0</v>
      </c>
      <c r="S12" s="544">
        <f ca="1">+S$2*AF12*(1+'Assumptions and Sensis'!$O$107)^'Assumptions and Sensis'!$O$108</f>
        <v>0</v>
      </c>
      <c r="T12" s="544">
        <f ca="1">+T$2*AG12*(1+'Assumptions and Sensis'!$O$107)^'Assumptions and Sensis'!$O$108</f>
        <v>2392920</v>
      </c>
      <c r="U12" s="544">
        <f ca="1">+U$2*AH12*(1+'Assumptions and Sensis'!$O$107)^'Assumptions and Sensis'!$O$108</f>
        <v>0</v>
      </c>
      <c r="V12" s="544">
        <f t="shared" ca="1" si="21"/>
        <v>156.79858489555434</v>
      </c>
      <c r="W12" s="544">
        <f t="shared" ca="1" si="22"/>
        <v>190.16894717310328</v>
      </c>
      <c r="X12" s="339"/>
      <c r="Y12" s="339"/>
      <c r="Z12" s="348">
        <f t="shared" si="9"/>
        <v>0</v>
      </c>
      <c r="AA12" s="348">
        <f t="shared" si="9"/>
        <v>0</v>
      </c>
      <c r="AB12" s="347">
        <v>16000</v>
      </c>
      <c r="AC12" s="347">
        <v>128434</v>
      </c>
      <c r="AD12" s="347">
        <v>0</v>
      </c>
      <c r="AE12" s="347">
        <v>0</v>
      </c>
      <c r="AF12" s="347">
        <v>0</v>
      </c>
      <c r="AG12" s="347">
        <f t="shared" si="10"/>
        <v>46000</v>
      </c>
      <c r="AH12" s="347">
        <v>0</v>
      </c>
      <c r="AI12" s="367">
        <f t="shared" si="11"/>
        <v>0</v>
      </c>
      <c r="AJ12" s="204"/>
      <c r="AK12" s="356"/>
      <c r="AL12" s="356">
        <v>0.81245776040612305</v>
      </c>
      <c r="AM12" s="361">
        <f t="shared" si="12"/>
        <v>0.82215544816317498</v>
      </c>
      <c r="AN12" s="204"/>
      <c r="AO12" s="362">
        <f t="shared" si="31"/>
        <v>164747.20000000001</v>
      </c>
      <c r="AP12" s="348">
        <f t="shared" si="13"/>
        <v>0</v>
      </c>
      <c r="AQ12" s="348">
        <f t="shared" si="14"/>
        <v>0</v>
      </c>
      <c r="AR12" s="348">
        <f t="shared" si="24"/>
        <v>14400</v>
      </c>
      <c r="AS12" s="348">
        <f>+AC12*AL12</f>
        <v>104347.20000000001</v>
      </c>
      <c r="AT12" s="348">
        <f t="shared" si="29"/>
        <v>0</v>
      </c>
      <c r="AU12" s="348">
        <f t="shared" si="25"/>
        <v>0</v>
      </c>
      <c r="AV12" s="348">
        <f t="shared" si="26"/>
        <v>0</v>
      </c>
      <c r="AW12" s="348">
        <f t="shared" si="27"/>
        <v>46000</v>
      </c>
      <c r="AX12" s="348">
        <f t="shared" si="18"/>
        <v>0</v>
      </c>
      <c r="BA12" s="348">
        <f>IFERROR(VLOOKUP(A12,Acquisition!$C$5:$E$10,3,FALSE),0)</f>
        <v>0</v>
      </c>
    </row>
    <row r="13" spans="1:53" ht="16" customHeight="1" x14ac:dyDescent="0.2">
      <c r="A13" s="523" t="str">
        <f t="shared" si="30"/>
        <v>E</v>
      </c>
      <c r="B13" s="345" t="s">
        <v>450</v>
      </c>
      <c r="C13" s="346" t="s">
        <v>240</v>
      </c>
      <c r="D13" s="346" t="s">
        <v>486</v>
      </c>
      <c r="E13" s="347">
        <v>65410</v>
      </c>
      <c r="F13" s="347">
        <v>172794</v>
      </c>
      <c r="G13" s="347">
        <v>125278</v>
      </c>
      <c r="H13" s="347">
        <v>0</v>
      </c>
      <c r="I13" s="339"/>
      <c r="J13" s="339"/>
      <c r="K13" s="348">
        <f t="shared" si="20"/>
        <v>298072</v>
      </c>
      <c r="L13" s="339"/>
      <c r="M13" s="544">
        <f ca="1">+M$2*Z13*(1+'Assumptions and Sensis'!$O$107)^'Assumptions and Sensis'!$O$108</f>
        <v>4355975.8512000004</v>
      </c>
      <c r="N13" s="544">
        <f ca="1">+N$2*AA13*(1+'Assumptions and Sensis'!$O$107)^'Assumptions and Sensis'!$O$108</f>
        <v>18448838.8992</v>
      </c>
      <c r="O13" s="544">
        <f ca="1">+O$2*AB13*(1+'Assumptions and Sensis'!$O$107)^'Assumptions and Sensis'!$O$108</f>
        <v>4291650</v>
      </c>
      <c r="P13" s="544">
        <f ca="1">+P$2*AC13*(1+'Assumptions and Sensis'!$O$107)^'Assumptions and Sensis'!$O$108</f>
        <v>0</v>
      </c>
      <c r="Q13" s="544">
        <f ca="1">+Q$2*AD13*(1+'Assumptions and Sensis'!$O$107)^'Assumptions and Sensis'!$O$108</f>
        <v>0</v>
      </c>
      <c r="R13" s="544">
        <f ca="1">+R$2*AE13*(1+'Assumptions and Sensis'!$O$107)^'Assumptions and Sensis'!$O$108</f>
        <v>25737883.379999999</v>
      </c>
      <c r="S13" s="544">
        <f ca="1">+S$2*AF13*(1+'Assumptions and Sensis'!$O$107)^'Assumptions and Sensis'!$O$108</f>
        <v>0</v>
      </c>
      <c r="T13" s="544">
        <f ca="1">+T$2*AG13*(1+'Assumptions and Sensis'!$O$107)^'Assumptions and Sensis'!$O$108</f>
        <v>0</v>
      </c>
      <c r="U13" s="544">
        <f ca="1">+U$2*AH13*(1+'Assumptions and Sensis'!$O$107)^'Assumptions and Sensis'!$O$108</f>
        <v>0</v>
      </c>
      <c r="V13" s="544">
        <f t="shared" ca="1" si="21"/>
        <v>177.25364385249202</v>
      </c>
      <c r="W13" s="544">
        <f t="shared" ca="1" si="22"/>
        <v>177.25364385249202</v>
      </c>
      <c r="X13" s="339"/>
      <c r="Y13" s="339"/>
      <c r="Z13" s="348">
        <f t="shared" si="9"/>
        <v>24628.400000000001</v>
      </c>
      <c r="AA13" s="348">
        <f t="shared" si="9"/>
        <v>98513.600000000006</v>
      </c>
      <c r="AB13" s="347">
        <v>25000</v>
      </c>
      <c r="AC13" s="347">
        <v>0</v>
      </c>
      <c r="AD13" s="347">
        <v>0</v>
      </c>
      <c r="AE13" s="347">
        <v>149930</v>
      </c>
      <c r="AF13" s="347">
        <v>0</v>
      </c>
      <c r="AG13" s="347">
        <f t="shared" si="10"/>
        <v>0</v>
      </c>
      <c r="AH13" s="347">
        <v>0</v>
      </c>
      <c r="AI13" s="367">
        <f t="shared" si="11"/>
        <v>0</v>
      </c>
      <c r="AJ13" s="204"/>
      <c r="AK13" s="356">
        <v>0.85</v>
      </c>
      <c r="AL13" s="204"/>
      <c r="AM13" s="361">
        <f t="shared" si="12"/>
        <v>0.87934358141657054</v>
      </c>
      <c r="AN13" s="204"/>
      <c r="AO13" s="362">
        <f t="shared" si="31"/>
        <v>262107.7</v>
      </c>
      <c r="AP13" s="348">
        <f t="shared" si="13"/>
        <v>20934.14</v>
      </c>
      <c r="AQ13" s="348">
        <f t="shared" si="14"/>
        <v>83736.56</v>
      </c>
      <c r="AR13" s="348">
        <f t="shared" si="24"/>
        <v>22500</v>
      </c>
      <c r="AS13" s="348">
        <f t="shared" ref="AS13:AS22" si="32">+AC13*0.75</f>
        <v>0</v>
      </c>
      <c r="AT13" s="348">
        <f t="shared" si="29"/>
        <v>0</v>
      </c>
      <c r="AU13" s="348">
        <f t="shared" si="25"/>
        <v>134937</v>
      </c>
      <c r="AV13" s="348">
        <f t="shared" si="26"/>
        <v>0</v>
      </c>
      <c r="AW13" s="348">
        <f t="shared" si="27"/>
        <v>0</v>
      </c>
      <c r="AX13" s="348">
        <f t="shared" si="18"/>
        <v>0</v>
      </c>
      <c r="BA13" s="348">
        <f>IFERROR(VLOOKUP(A13,Acquisition!$C$5:$E$10,3,FALSE),0)</f>
        <v>0</v>
      </c>
    </row>
    <row r="14" spans="1:53" ht="16" customHeight="1" x14ac:dyDescent="0.2">
      <c r="A14" s="523" t="str">
        <f t="shared" si="30"/>
        <v>F</v>
      </c>
      <c r="B14" s="341" t="s">
        <v>451</v>
      </c>
      <c r="C14" s="342" t="s">
        <v>202</v>
      </c>
      <c r="D14" s="342" t="s">
        <v>486</v>
      </c>
      <c r="E14" s="343">
        <v>65378</v>
      </c>
      <c r="F14" s="343">
        <v>75000</v>
      </c>
      <c r="G14" s="343">
        <v>0</v>
      </c>
      <c r="H14" s="343">
        <v>0</v>
      </c>
      <c r="I14" s="339"/>
      <c r="J14" s="339"/>
      <c r="K14" s="344">
        <f t="shared" si="20"/>
        <v>75000</v>
      </c>
      <c r="L14" s="339"/>
      <c r="M14" s="543">
        <f t="shared" ref="M14:U15" ca="1" si="33">+M$2*Z14</f>
        <v>0</v>
      </c>
      <c r="N14" s="543">
        <f t="shared" ca="1" si="33"/>
        <v>0</v>
      </c>
      <c r="O14" s="543">
        <f t="shared" ca="1" si="33"/>
        <v>2475000</v>
      </c>
      <c r="P14" s="543">
        <f t="shared" ca="1" si="33"/>
        <v>0</v>
      </c>
      <c r="Q14" s="543">
        <f t="shared" ca="1" si="33"/>
        <v>9900000</v>
      </c>
      <c r="R14" s="543">
        <f t="shared" ca="1" si="33"/>
        <v>0</v>
      </c>
      <c r="S14" s="543">
        <f t="shared" ca="1" si="33"/>
        <v>0</v>
      </c>
      <c r="T14" s="543">
        <f t="shared" ca="1" si="33"/>
        <v>0</v>
      </c>
      <c r="U14" s="543">
        <f t="shared" ca="1" si="33"/>
        <v>0</v>
      </c>
      <c r="V14" s="543">
        <f t="shared" ca="1" si="21"/>
        <v>165</v>
      </c>
      <c r="W14" s="543">
        <f t="shared" ca="1" si="22"/>
        <v>165</v>
      </c>
      <c r="X14" s="339"/>
      <c r="Y14" s="339"/>
      <c r="Z14" s="344">
        <f t="shared" si="9"/>
        <v>0</v>
      </c>
      <c r="AA14" s="344">
        <f t="shared" si="9"/>
        <v>0</v>
      </c>
      <c r="AB14" s="343">
        <v>15000</v>
      </c>
      <c r="AC14" s="343">
        <v>0</v>
      </c>
      <c r="AD14" s="343">
        <v>60000</v>
      </c>
      <c r="AE14" s="343">
        <v>0</v>
      </c>
      <c r="AF14" s="343">
        <v>0</v>
      </c>
      <c r="AG14" s="343">
        <f t="shared" si="10"/>
        <v>0</v>
      </c>
      <c r="AH14" s="343">
        <v>0</v>
      </c>
      <c r="AI14" s="366">
        <f t="shared" si="11"/>
        <v>0</v>
      </c>
      <c r="AJ14" s="204"/>
      <c r="AK14" s="204"/>
      <c r="AL14" s="204"/>
      <c r="AM14" s="361">
        <f t="shared" si="12"/>
        <v>0.98</v>
      </c>
      <c r="AN14" s="204"/>
      <c r="AO14" s="358">
        <f t="shared" si="31"/>
        <v>73500</v>
      </c>
      <c r="AP14" s="344">
        <f t="shared" si="13"/>
        <v>0</v>
      </c>
      <c r="AQ14" s="344">
        <f t="shared" si="14"/>
        <v>0</v>
      </c>
      <c r="AR14" s="344">
        <f t="shared" si="24"/>
        <v>13500</v>
      </c>
      <c r="AS14" s="344">
        <f t="shared" si="32"/>
        <v>0</v>
      </c>
      <c r="AT14" s="344">
        <f t="shared" si="29"/>
        <v>60000</v>
      </c>
      <c r="AU14" s="344">
        <f t="shared" si="25"/>
        <v>0</v>
      </c>
      <c r="AV14" s="344">
        <f t="shared" si="26"/>
        <v>0</v>
      </c>
      <c r="AW14" s="344">
        <f t="shared" si="27"/>
        <v>0</v>
      </c>
      <c r="AX14" s="344">
        <f t="shared" si="18"/>
        <v>0</v>
      </c>
      <c r="BA14" s="344">
        <f>IFERROR(VLOOKUP(A14,Acquisition!$C$5:$E$10,3,FALSE),0)</f>
        <v>0</v>
      </c>
    </row>
    <row r="15" spans="1:53" ht="16" customHeight="1" x14ac:dyDescent="0.2">
      <c r="A15" s="523" t="str">
        <f t="shared" si="30"/>
        <v>G</v>
      </c>
      <c r="B15" s="341" t="s">
        <v>452</v>
      </c>
      <c r="C15" s="342" t="s">
        <v>202</v>
      </c>
      <c r="D15" s="342" t="s">
        <v>486</v>
      </c>
      <c r="E15" s="343">
        <v>25388</v>
      </c>
      <c r="F15" s="343">
        <v>0</v>
      </c>
      <c r="G15" s="343">
        <v>237958</v>
      </c>
      <c r="H15" s="343">
        <v>0</v>
      </c>
      <c r="I15" s="339"/>
      <c r="J15" s="339"/>
      <c r="K15" s="344">
        <f t="shared" si="20"/>
        <v>237958</v>
      </c>
      <c r="L15" s="339"/>
      <c r="M15" s="543">
        <f t="shared" ca="1" si="33"/>
        <v>0</v>
      </c>
      <c r="N15" s="543">
        <f t="shared" ca="1" si="33"/>
        <v>0</v>
      </c>
      <c r="O15" s="543">
        <f t="shared" ca="1" si="33"/>
        <v>1980000</v>
      </c>
      <c r="P15" s="543">
        <f t="shared" ca="1" si="33"/>
        <v>0</v>
      </c>
      <c r="Q15" s="543">
        <f t="shared" ca="1" si="33"/>
        <v>0</v>
      </c>
      <c r="R15" s="543">
        <f t="shared" ca="1" si="33"/>
        <v>37283070</v>
      </c>
      <c r="S15" s="543">
        <f t="shared" ca="1" si="33"/>
        <v>0</v>
      </c>
      <c r="T15" s="543">
        <f t="shared" ca="1" si="33"/>
        <v>0</v>
      </c>
      <c r="U15" s="543">
        <f t="shared" ca="1" si="33"/>
        <v>0</v>
      </c>
      <c r="V15" s="543">
        <f t="shared" ca="1" si="21"/>
        <v>165</v>
      </c>
      <c r="W15" s="543">
        <f t="shared" ca="1" si="22"/>
        <v>165</v>
      </c>
      <c r="X15" s="339"/>
      <c r="Y15" s="339"/>
      <c r="Z15" s="344">
        <f t="shared" si="9"/>
        <v>0</v>
      </c>
      <c r="AA15" s="344">
        <f t="shared" si="9"/>
        <v>0</v>
      </c>
      <c r="AB15" s="343">
        <v>12000</v>
      </c>
      <c r="AC15" s="343">
        <v>0</v>
      </c>
      <c r="AD15" s="343">
        <v>0</v>
      </c>
      <c r="AE15" s="343">
        <v>225958</v>
      </c>
      <c r="AF15" s="343">
        <v>0</v>
      </c>
      <c r="AG15" s="343">
        <f t="shared" si="10"/>
        <v>0</v>
      </c>
      <c r="AH15" s="343">
        <v>0</v>
      </c>
      <c r="AI15" s="366">
        <f t="shared" si="11"/>
        <v>0</v>
      </c>
      <c r="AJ15" s="204"/>
      <c r="AK15" s="204"/>
      <c r="AL15" s="204"/>
      <c r="AM15" s="361">
        <f t="shared" si="12"/>
        <v>0.9</v>
      </c>
      <c r="AN15" s="204"/>
      <c r="AO15" s="358">
        <f t="shared" si="31"/>
        <v>214162.2</v>
      </c>
      <c r="AP15" s="344">
        <f t="shared" si="13"/>
        <v>0</v>
      </c>
      <c r="AQ15" s="344">
        <f t="shared" si="14"/>
        <v>0</v>
      </c>
      <c r="AR15" s="344">
        <f t="shared" si="24"/>
        <v>10800</v>
      </c>
      <c r="AS15" s="344">
        <f t="shared" si="32"/>
        <v>0</v>
      </c>
      <c r="AT15" s="344">
        <f t="shared" si="29"/>
        <v>0</v>
      </c>
      <c r="AU15" s="344">
        <f>+AE15*0.9</f>
        <v>203362.2</v>
      </c>
      <c r="AV15" s="344">
        <f t="shared" si="26"/>
        <v>0</v>
      </c>
      <c r="AW15" s="344">
        <f t="shared" si="27"/>
        <v>0</v>
      </c>
      <c r="AX15" s="344">
        <f t="shared" si="18"/>
        <v>0</v>
      </c>
      <c r="BA15" s="344">
        <f>IFERROR(VLOOKUP(A15,Acquisition!$C$5:$E$10,3,FALSE),0)</f>
        <v>0</v>
      </c>
    </row>
    <row r="16" spans="1:53" ht="16" customHeight="1" x14ac:dyDescent="0.2">
      <c r="A16" s="523" t="str">
        <f t="shared" si="30"/>
        <v>H</v>
      </c>
      <c r="B16" s="345" t="s">
        <v>453</v>
      </c>
      <c r="C16" s="346" t="s">
        <v>240</v>
      </c>
      <c r="D16" s="346" t="s">
        <v>488</v>
      </c>
      <c r="E16" s="347">
        <v>84035</v>
      </c>
      <c r="F16" s="347">
        <v>45000</v>
      </c>
      <c r="G16" s="347">
        <v>0</v>
      </c>
      <c r="H16" s="347">
        <v>0</v>
      </c>
      <c r="I16" s="339"/>
      <c r="J16" s="339"/>
      <c r="K16" s="348">
        <f t="shared" si="20"/>
        <v>45000</v>
      </c>
      <c r="L16" s="339"/>
      <c r="M16" s="544">
        <f ca="1">+M$2*Z16*(1+'Assumptions and Sensis'!$O$107)^'Assumptions and Sensis'!$O$108</f>
        <v>0</v>
      </c>
      <c r="N16" s="544">
        <f ca="1">+N$2*AA16*(1+'Assumptions and Sensis'!$O$107)^'Assumptions and Sensis'!$O$108</f>
        <v>0</v>
      </c>
      <c r="O16" s="544">
        <f ca="1">+O$2*AB16*(1+'Assumptions and Sensis'!$O$107)^'Assumptions and Sensis'!$O$108</f>
        <v>7724970</v>
      </c>
      <c r="P16" s="544">
        <f ca="1">+P$2*AC16*(1+'Assumptions and Sensis'!$O$107)^'Assumptions and Sensis'!$O$108</f>
        <v>0</v>
      </c>
      <c r="Q16" s="544">
        <f ca="1">+Q$2*AD16*(1+'Assumptions and Sensis'!$O$107)^'Assumptions and Sensis'!$O$108</f>
        <v>0</v>
      </c>
      <c r="R16" s="544">
        <f ca="1">+R$2*AE16*(1+'Assumptions and Sensis'!$O$107)^'Assumptions and Sensis'!$O$108</f>
        <v>0</v>
      </c>
      <c r="S16" s="544">
        <f ca="1">+S$2*AF16*(1+'Assumptions and Sensis'!$O$107)^'Assumptions and Sensis'!$O$108</f>
        <v>0</v>
      </c>
      <c r="T16" s="544">
        <f ca="1">+T$2*AG16*(1+'Assumptions and Sensis'!$O$107)^'Assumptions and Sensis'!$O$108</f>
        <v>0</v>
      </c>
      <c r="U16" s="544">
        <f ca="1">+U$2*AH16*(1+'Assumptions and Sensis'!$O$107)^'Assumptions and Sensis'!$O$108</f>
        <v>0</v>
      </c>
      <c r="V16" s="544">
        <f t="shared" ca="1" si="21"/>
        <v>171.666</v>
      </c>
      <c r="W16" s="544">
        <f t="shared" ca="1" si="22"/>
        <v>171.666</v>
      </c>
      <c r="X16" s="339"/>
      <c r="Y16" s="339"/>
      <c r="Z16" s="348">
        <f t="shared" si="9"/>
        <v>0</v>
      </c>
      <c r="AA16" s="348">
        <f t="shared" si="9"/>
        <v>0</v>
      </c>
      <c r="AB16" s="347">
        <v>45000</v>
      </c>
      <c r="AC16" s="347">
        <v>0</v>
      </c>
      <c r="AD16" s="347">
        <v>0</v>
      </c>
      <c r="AE16" s="347">
        <v>0</v>
      </c>
      <c r="AF16" s="347">
        <v>0</v>
      </c>
      <c r="AG16" s="347">
        <f t="shared" si="10"/>
        <v>0</v>
      </c>
      <c r="AH16" s="347">
        <v>0</v>
      </c>
      <c r="AI16" s="367">
        <f t="shared" si="11"/>
        <v>0</v>
      </c>
      <c r="AJ16" s="204"/>
      <c r="AK16" s="204"/>
      <c r="AL16" s="204"/>
      <c r="AM16" s="361">
        <f t="shared" si="12"/>
        <v>0.9</v>
      </c>
      <c r="AN16" s="204"/>
      <c r="AO16" s="362">
        <f t="shared" si="31"/>
        <v>40500</v>
      </c>
      <c r="AP16" s="348">
        <f t="shared" si="13"/>
        <v>0</v>
      </c>
      <c r="AQ16" s="348">
        <f t="shared" si="14"/>
        <v>0</v>
      </c>
      <c r="AR16" s="348">
        <f t="shared" si="24"/>
        <v>40500</v>
      </c>
      <c r="AS16" s="348">
        <f t="shared" si="32"/>
        <v>0</v>
      </c>
      <c r="AT16" s="348">
        <f t="shared" si="29"/>
        <v>0</v>
      </c>
      <c r="AU16" s="348">
        <f t="shared" ref="AU16:AU21" si="34">+AE16*0.9</f>
        <v>0</v>
      </c>
      <c r="AV16" s="348">
        <f t="shared" si="26"/>
        <v>0</v>
      </c>
      <c r="AW16" s="348">
        <f t="shared" si="27"/>
        <v>0</v>
      </c>
      <c r="AX16" s="348">
        <f t="shared" si="18"/>
        <v>0</v>
      </c>
      <c r="BA16" s="348">
        <f>IFERROR(VLOOKUP(A16,Acquisition!$C$5:$E$10,3,FALSE),0)</f>
        <v>140400</v>
      </c>
    </row>
    <row r="17" spans="1:53" ht="16" customHeight="1" x14ac:dyDescent="0.2">
      <c r="A17" s="523" t="str">
        <f t="shared" si="30"/>
        <v>I</v>
      </c>
      <c r="B17" s="345" t="s">
        <v>454</v>
      </c>
      <c r="C17" s="346" t="s">
        <v>240</v>
      </c>
      <c r="D17" s="346" t="s">
        <v>488</v>
      </c>
      <c r="E17" s="347">
        <v>103562</v>
      </c>
      <c r="F17" s="347">
        <v>18000</v>
      </c>
      <c r="G17" s="347">
        <v>0</v>
      </c>
      <c r="H17" s="347">
        <v>0</v>
      </c>
      <c r="I17" s="339"/>
      <c r="J17" s="339"/>
      <c r="K17" s="348">
        <f t="shared" si="20"/>
        <v>18000</v>
      </c>
      <c r="L17" s="339"/>
      <c r="M17" s="544">
        <f ca="1">+M$2*Z17*(1+'Assumptions and Sensis'!$O$107)^'Assumptions and Sensis'!$O$108</f>
        <v>0</v>
      </c>
      <c r="N17" s="544">
        <f ca="1">+N$2*AA17*(1+'Assumptions and Sensis'!$O$107)^'Assumptions and Sensis'!$O$108</f>
        <v>0</v>
      </c>
      <c r="O17" s="544">
        <f ca="1">+O$2*AB17*(1+'Assumptions and Sensis'!$O$107)^'Assumptions and Sensis'!$O$108</f>
        <v>3089988</v>
      </c>
      <c r="P17" s="544">
        <f ca="1">+P$2*AC17*(1+'Assumptions and Sensis'!$O$107)^'Assumptions and Sensis'!$O$108</f>
        <v>0</v>
      </c>
      <c r="Q17" s="544">
        <f ca="1">+Q$2*AD17*(1+'Assumptions and Sensis'!$O$107)^'Assumptions and Sensis'!$O$108</f>
        <v>0</v>
      </c>
      <c r="R17" s="544">
        <f ca="1">+R$2*AE17*(1+'Assumptions and Sensis'!$O$107)^'Assumptions and Sensis'!$O$108</f>
        <v>0</v>
      </c>
      <c r="S17" s="544">
        <f ca="1">+S$2*AF17*(1+'Assumptions and Sensis'!$O$107)^'Assumptions and Sensis'!$O$108</f>
        <v>0</v>
      </c>
      <c r="T17" s="544">
        <f ca="1">+T$2*AG17*(1+'Assumptions and Sensis'!$O$107)^'Assumptions and Sensis'!$O$108</f>
        <v>0</v>
      </c>
      <c r="U17" s="544">
        <f ca="1">+U$2*AH17*(1+'Assumptions and Sensis'!$O$107)^'Assumptions and Sensis'!$O$108</f>
        <v>0</v>
      </c>
      <c r="V17" s="544">
        <f t="shared" ca="1" si="21"/>
        <v>171.666</v>
      </c>
      <c r="W17" s="544">
        <f t="shared" ca="1" si="22"/>
        <v>171.666</v>
      </c>
      <c r="X17" s="339"/>
      <c r="Y17" s="339"/>
      <c r="Z17" s="348">
        <f t="shared" si="9"/>
        <v>0</v>
      </c>
      <c r="AA17" s="348">
        <f t="shared" si="9"/>
        <v>0</v>
      </c>
      <c r="AB17" s="347">
        <v>18000</v>
      </c>
      <c r="AC17" s="347">
        <v>0</v>
      </c>
      <c r="AD17" s="347">
        <v>0</v>
      </c>
      <c r="AE17" s="347">
        <v>0</v>
      </c>
      <c r="AF17" s="347">
        <v>0</v>
      </c>
      <c r="AG17" s="347">
        <f t="shared" si="10"/>
        <v>0</v>
      </c>
      <c r="AH17" s="347">
        <v>0</v>
      </c>
      <c r="AI17" s="367">
        <f t="shared" si="11"/>
        <v>0</v>
      </c>
      <c r="AJ17" s="204"/>
      <c r="AK17" s="204"/>
      <c r="AL17" s="204"/>
      <c r="AM17" s="361">
        <f t="shared" si="12"/>
        <v>0.9</v>
      </c>
      <c r="AN17" s="204"/>
      <c r="AO17" s="362">
        <f t="shared" si="31"/>
        <v>16200</v>
      </c>
      <c r="AP17" s="348">
        <f t="shared" si="13"/>
        <v>0</v>
      </c>
      <c r="AQ17" s="348">
        <f t="shared" si="14"/>
        <v>0</v>
      </c>
      <c r="AR17" s="348">
        <f t="shared" si="24"/>
        <v>16200</v>
      </c>
      <c r="AS17" s="348">
        <f t="shared" si="32"/>
        <v>0</v>
      </c>
      <c r="AT17" s="348">
        <f t="shared" si="29"/>
        <v>0</v>
      </c>
      <c r="AU17" s="348">
        <f t="shared" si="34"/>
        <v>0</v>
      </c>
      <c r="AV17" s="348">
        <f t="shared" si="26"/>
        <v>0</v>
      </c>
      <c r="AW17" s="348">
        <f t="shared" si="27"/>
        <v>0</v>
      </c>
      <c r="AX17" s="348">
        <f t="shared" si="18"/>
        <v>0</v>
      </c>
      <c r="BA17" s="348">
        <f>IFERROR(VLOOKUP(A17,Acquisition!$C$5:$E$10,3,FALSE),0)</f>
        <v>0</v>
      </c>
    </row>
    <row r="18" spans="1:53" ht="16" customHeight="1" x14ac:dyDescent="0.2">
      <c r="A18" s="523" t="str">
        <f t="shared" si="30"/>
        <v>J</v>
      </c>
      <c r="B18" s="345" t="s">
        <v>455</v>
      </c>
      <c r="C18" s="346" t="s">
        <v>240</v>
      </c>
      <c r="D18" s="346" t="s">
        <v>488</v>
      </c>
      <c r="E18" s="347">
        <v>25492</v>
      </c>
      <c r="F18" s="347">
        <v>30000</v>
      </c>
      <c r="G18" s="347">
        <v>0</v>
      </c>
      <c r="H18" s="347">
        <v>0</v>
      </c>
      <c r="I18" s="339"/>
      <c r="J18" s="339"/>
      <c r="K18" s="348">
        <f t="shared" si="20"/>
        <v>30000</v>
      </c>
      <c r="L18" s="339"/>
      <c r="M18" s="544">
        <f ca="1">+M$2*Z18*(1+'Assumptions and Sensis'!$O$107)^'Assumptions and Sensis'!$O$108</f>
        <v>0</v>
      </c>
      <c r="N18" s="544">
        <f ca="1">+N$2*AA18*(1+'Assumptions and Sensis'!$O$107)^'Assumptions and Sensis'!$O$108</f>
        <v>0</v>
      </c>
      <c r="O18" s="544">
        <f ca="1">+O$2*AB18*(1+'Assumptions and Sensis'!$O$107)^'Assumptions and Sensis'!$O$108</f>
        <v>5149980</v>
      </c>
      <c r="P18" s="544">
        <f ca="1">+P$2*AC18*(1+'Assumptions and Sensis'!$O$107)^'Assumptions and Sensis'!$O$108</f>
        <v>0</v>
      </c>
      <c r="Q18" s="544">
        <f ca="1">+Q$2*AD18*(1+'Assumptions and Sensis'!$O$107)^'Assumptions and Sensis'!$O$108</f>
        <v>0</v>
      </c>
      <c r="R18" s="544">
        <f ca="1">+R$2*AE18*(1+'Assumptions and Sensis'!$O$107)^'Assumptions and Sensis'!$O$108</f>
        <v>0</v>
      </c>
      <c r="S18" s="544">
        <f ca="1">+S$2*AF18*(1+'Assumptions and Sensis'!$O$107)^'Assumptions and Sensis'!$O$108</f>
        <v>0</v>
      </c>
      <c r="T18" s="544">
        <f ca="1">+T$2*AG18*(1+'Assumptions and Sensis'!$O$107)^'Assumptions and Sensis'!$O$108</f>
        <v>0</v>
      </c>
      <c r="U18" s="544">
        <f ca="1">+U$2*AH18*(1+'Assumptions and Sensis'!$O$107)^'Assumptions and Sensis'!$O$108</f>
        <v>0</v>
      </c>
      <c r="V18" s="544">
        <f t="shared" ca="1" si="21"/>
        <v>171.666</v>
      </c>
      <c r="W18" s="544">
        <f t="shared" ca="1" si="22"/>
        <v>171.666</v>
      </c>
      <c r="X18" s="339"/>
      <c r="Y18" s="339"/>
      <c r="Z18" s="348">
        <f t="shared" si="9"/>
        <v>0</v>
      </c>
      <c r="AA18" s="348">
        <f t="shared" si="9"/>
        <v>0</v>
      </c>
      <c r="AB18" s="347">
        <v>30000</v>
      </c>
      <c r="AC18" s="347">
        <v>0</v>
      </c>
      <c r="AD18" s="347">
        <v>0</v>
      </c>
      <c r="AE18" s="347">
        <v>0</v>
      </c>
      <c r="AF18" s="347">
        <v>0</v>
      </c>
      <c r="AG18" s="347">
        <f t="shared" si="10"/>
        <v>0</v>
      </c>
      <c r="AH18" s="347">
        <v>0</v>
      </c>
      <c r="AI18" s="367">
        <f t="shared" si="11"/>
        <v>0</v>
      </c>
      <c r="AJ18" s="204"/>
      <c r="AK18" s="204"/>
      <c r="AL18" s="204"/>
      <c r="AM18" s="361">
        <f t="shared" si="12"/>
        <v>0.9</v>
      </c>
      <c r="AN18" s="204"/>
      <c r="AO18" s="362">
        <f t="shared" si="31"/>
        <v>27000</v>
      </c>
      <c r="AP18" s="348">
        <f t="shared" si="13"/>
        <v>0</v>
      </c>
      <c r="AQ18" s="348">
        <f t="shared" si="14"/>
        <v>0</v>
      </c>
      <c r="AR18" s="348">
        <f t="shared" si="24"/>
        <v>27000</v>
      </c>
      <c r="AS18" s="348">
        <f t="shared" si="32"/>
        <v>0</v>
      </c>
      <c r="AT18" s="348">
        <f t="shared" si="29"/>
        <v>0</v>
      </c>
      <c r="AU18" s="348">
        <f t="shared" si="34"/>
        <v>0</v>
      </c>
      <c r="AV18" s="348">
        <f t="shared" si="26"/>
        <v>0</v>
      </c>
      <c r="AW18" s="348">
        <f t="shared" si="27"/>
        <v>0</v>
      </c>
      <c r="AX18" s="348">
        <f t="shared" si="18"/>
        <v>0</v>
      </c>
      <c r="BA18" s="348">
        <f>IFERROR(VLOOKUP(A18,Acquisition!$C$5:$E$10,3,FALSE),0)</f>
        <v>678572.10714285716</v>
      </c>
    </row>
    <row r="19" spans="1:53" ht="16" customHeight="1" x14ac:dyDescent="0.2">
      <c r="A19" s="523" t="str">
        <f t="shared" si="30"/>
        <v>K</v>
      </c>
      <c r="B19" s="349" t="s">
        <v>456</v>
      </c>
      <c r="C19" s="350" t="s">
        <v>241</v>
      </c>
      <c r="D19" s="350" t="s">
        <v>488</v>
      </c>
      <c r="E19" s="351">
        <v>16158</v>
      </c>
      <c r="F19" s="351">
        <v>0</v>
      </c>
      <c r="G19" s="351">
        <v>127669</v>
      </c>
      <c r="H19" s="351">
        <v>48000</v>
      </c>
      <c r="I19" s="339"/>
      <c r="J19" s="339"/>
      <c r="K19" s="352">
        <f t="shared" si="20"/>
        <v>175669</v>
      </c>
      <c r="L19" s="339"/>
      <c r="M19" s="542">
        <f ca="1">+M$2*Z19*(1+'Assumptions and Sensis'!$P$107)^'Assumptions and Sensis'!$P$108</f>
        <v>4440944.2147113606</v>
      </c>
      <c r="N19" s="542">
        <f ca="1">+N$2*AA19*(1+'Assumptions and Sensis'!$P$107)^'Assumptions and Sensis'!$P$108</f>
        <v>18808704.909365762</v>
      </c>
      <c r="O19" s="542">
        <f ca="1">+O$2*AB19*(1+'Assumptions and Sensis'!$P$107)^'Assumptions and Sensis'!$P$108</f>
        <v>1250209.1447999999</v>
      </c>
      <c r="P19" s="542">
        <f ca="1">+P$2*AC19*(1+'Assumptions and Sensis'!$P$107)^'Assumptions and Sensis'!$P$108</f>
        <v>0</v>
      </c>
      <c r="Q19" s="542">
        <f ca="1">+Q$2*AD19*(1+'Assumptions and Sensis'!$P$107)^'Assumptions and Sensis'!$P$108</f>
        <v>0</v>
      </c>
      <c r="R19" s="542">
        <f ca="1">+R$2*AE19*(1+'Assumptions and Sensis'!$P$107)^'Assumptions and Sensis'!$P$108</f>
        <v>0</v>
      </c>
      <c r="S19" s="542">
        <f ca="1">+S$2*AF19*(1+'Assumptions and Sensis'!$P$107)^'Assumptions and Sensis'!$P$108</f>
        <v>0</v>
      </c>
      <c r="T19" s="542">
        <f ca="1">+T$2*AG19*(1+'Assumptions and Sensis'!$P$107)^'Assumptions and Sensis'!$P$108</f>
        <v>2597837.1839999999</v>
      </c>
      <c r="U19" s="542">
        <f ca="1">+U$2*AH19*(1+'Assumptions and Sensis'!$P$107)^'Assumptions and Sensis'!$P$108</f>
        <v>0</v>
      </c>
      <c r="V19" s="542">
        <f t="shared" ca="1" si="21"/>
        <v>154.25428193293706</v>
      </c>
      <c r="W19" s="542">
        <f t="shared" ca="1" si="22"/>
        <v>191.90138772041078</v>
      </c>
      <c r="X19" s="339"/>
      <c r="Y19" s="339"/>
      <c r="Z19" s="352">
        <f t="shared" si="9"/>
        <v>24133.800000000003</v>
      </c>
      <c r="AA19" s="352">
        <f t="shared" si="9"/>
        <v>96535.200000000012</v>
      </c>
      <c r="AB19" s="351">
        <v>7000</v>
      </c>
      <c r="AC19" s="351">
        <v>0</v>
      </c>
      <c r="AD19" s="351">
        <v>0</v>
      </c>
      <c r="AE19" s="351">
        <v>0</v>
      </c>
      <c r="AF19" s="351">
        <v>0</v>
      </c>
      <c r="AG19" s="351">
        <f t="shared" si="10"/>
        <v>48000</v>
      </c>
      <c r="AH19" s="351">
        <v>0</v>
      </c>
      <c r="AI19" s="365">
        <f t="shared" si="11"/>
        <v>0</v>
      </c>
      <c r="AJ19" s="204"/>
      <c r="AK19" s="356">
        <v>0.89419900720151801</v>
      </c>
      <c r="AL19" s="204"/>
      <c r="AM19" s="361">
        <f t="shared" si="12"/>
        <v>0.89451707148955484</v>
      </c>
      <c r="AN19" s="204"/>
      <c r="AO19" s="357">
        <f t="shared" si="31"/>
        <v>162202.09999999998</v>
      </c>
      <c r="AP19" s="352">
        <f t="shared" si="13"/>
        <v>21580.42</v>
      </c>
      <c r="AQ19" s="352">
        <f t="shared" si="14"/>
        <v>86321.68</v>
      </c>
      <c r="AR19" s="352">
        <f t="shared" si="24"/>
        <v>6300</v>
      </c>
      <c r="AS19" s="352">
        <f t="shared" si="32"/>
        <v>0</v>
      </c>
      <c r="AT19" s="352">
        <f t="shared" si="29"/>
        <v>0</v>
      </c>
      <c r="AU19" s="352">
        <f t="shared" si="34"/>
        <v>0</v>
      </c>
      <c r="AV19" s="352">
        <f t="shared" si="26"/>
        <v>0</v>
      </c>
      <c r="AW19" s="352">
        <f t="shared" si="27"/>
        <v>48000</v>
      </c>
      <c r="AX19" s="352">
        <f t="shared" si="18"/>
        <v>0</v>
      </c>
      <c r="BA19" s="352">
        <f>IFERROR(VLOOKUP(A19,Acquisition!$C$5:$E$10,3,FALSE),0)</f>
        <v>4506350</v>
      </c>
    </row>
    <row r="20" spans="1:53" ht="16" customHeight="1" x14ac:dyDescent="0.2">
      <c r="A20" s="523" t="str">
        <f t="shared" si="30"/>
        <v>M</v>
      </c>
      <c r="B20" s="341" t="s">
        <v>457</v>
      </c>
      <c r="C20" s="342" t="s">
        <v>202</v>
      </c>
      <c r="D20" s="342" t="s">
        <v>488</v>
      </c>
      <c r="E20" s="343">
        <v>69629</v>
      </c>
      <c r="F20" s="343">
        <v>160000</v>
      </c>
      <c r="G20" s="343">
        <v>265067</v>
      </c>
      <c r="H20" s="343">
        <v>50000</v>
      </c>
      <c r="I20" s="339"/>
      <c r="J20" s="339"/>
      <c r="K20" s="344">
        <f t="shared" si="20"/>
        <v>475067</v>
      </c>
      <c r="L20" s="339"/>
      <c r="M20" s="543">
        <f t="shared" ref="M20:U20" ca="1" si="35">+M$2*Z20</f>
        <v>11562278.000000002</v>
      </c>
      <c r="N20" s="543">
        <f t="shared" ca="1" si="35"/>
        <v>48969648.000000007</v>
      </c>
      <c r="O20" s="543">
        <f t="shared" ca="1" si="35"/>
        <v>14025000</v>
      </c>
      <c r="P20" s="543">
        <f t="shared" ca="1" si="35"/>
        <v>0</v>
      </c>
      <c r="Q20" s="543">
        <f t="shared" ca="1" si="35"/>
        <v>0</v>
      </c>
      <c r="R20" s="543">
        <f t="shared" ca="1" si="35"/>
        <v>0</v>
      </c>
      <c r="S20" s="543">
        <f t="shared" ca="1" si="35"/>
        <v>0</v>
      </c>
      <c r="T20" s="543">
        <f t="shared" ca="1" si="35"/>
        <v>2500000</v>
      </c>
      <c r="U20" s="543">
        <f t="shared" ca="1" si="35"/>
        <v>0</v>
      </c>
      <c r="V20" s="543">
        <f t="shared" ca="1" si="21"/>
        <v>162.20222831726892</v>
      </c>
      <c r="W20" s="543">
        <f t="shared" ca="1" si="22"/>
        <v>175.40040981774638</v>
      </c>
      <c r="X20" s="339"/>
      <c r="Y20" s="339"/>
      <c r="Z20" s="344">
        <f t="shared" si="9"/>
        <v>68013.400000000009</v>
      </c>
      <c r="AA20" s="344">
        <f t="shared" si="9"/>
        <v>272053.60000000003</v>
      </c>
      <c r="AB20" s="343">
        <v>85000</v>
      </c>
      <c r="AC20" s="343">
        <v>0</v>
      </c>
      <c r="AD20" s="343">
        <v>0</v>
      </c>
      <c r="AE20" s="343">
        <v>0</v>
      </c>
      <c r="AF20" s="343">
        <v>0</v>
      </c>
      <c r="AG20" s="343">
        <f t="shared" si="10"/>
        <v>50000</v>
      </c>
      <c r="AH20" s="343">
        <v>0</v>
      </c>
      <c r="AI20" s="366">
        <f t="shared" si="11"/>
        <v>0</v>
      </c>
      <c r="AJ20" s="204"/>
      <c r="AK20" s="356">
        <v>0.87500492549997499</v>
      </c>
      <c r="AL20" s="204"/>
      <c r="AM20" s="361">
        <f t="shared" si="12"/>
        <v>0.88000315244420291</v>
      </c>
      <c r="AN20" s="204"/>
      <c r="AO20" s="358">
        <f t="shared" si="31"/>
        <v>424060.30000000005</v>
      </c>
      <c r="AP20" s="344">
        <f t="shared" si="13"/>
        <v>59512.060000000005</v>
      </c>
      <c r="AQ20" s="344">
        <f t="shared" si="14"/>
        <v>238048.24000000002</v>
      </c>
      <c r="AR20" s="344">
        <f t="shared" si="24"/>
        <v>76500</v>
      </c>
      <c r="AS20" s="344">
        <f t="shared" si="32"/>
        <v>0</v>
      </c>
      <c r="AT20" s="344">
        <f t="shared" si="29"/>
        <v>0</v>
      </c>
      <c r="AU20" s="344">
        <f t="shared" si="34"/>
        <v>0</v>
      </c>
      <c r="AV20" s="344">
        <f t="shared" si="26"/>
        <v>0</v>
      </c>
      <c r="AW20" s="344">
        <f t="shared" si="27"/>
        <v>50000</v>
      </c>
      <c r="AX20" s="344">
        <f t="shared" si="18"/>
        <v>0</v>
      </c>
      <c r="BA20" s="344">
        <f>IFERROR(VLOOKUP(A20,Acquisition!$C$5:$E$10,3,FALSE),0)</f>
        <v>6900150</v>
      </c>
    </row>
    <row r="21" spans="1:53" ht="16" customHeight="1" x14ac:dyDescent="0.2">
      <c r="A21" s="523" t="str">
        <f t="shared" si="30"/>
        <v>N</v>
      </c>
      <c r="B21" s="349" t="s">
        <v>458</v>
      </c>
      <c r="C21" s="350" t="s">
        <v>241</v>
      </c>
      <c r="D21" s="350" t="s">
        <v>488</v>
      </c>
      <c r="E21" s="351">
        <v>19409</v>
      </c>
      <c r="F21" s="351">
        <v>55486</v>
      </c>
      <c r="G21" s="351">
        <v>0</v>
      </c>
      <c r="H21" s="351">
        <v>0</v>
      </c>
      <c r="I21" s="339"/>
      <c r="J21" s="339"/>
      <c r="K21" s="352">
        <f t="shared" si="20"/>
        <v>55486</v>
      </c>
      <c r="L21" s="339"/>
      <c r="M21" s="542">
        <f ca="1">+M$2*Z21*(1+'Assumptions and Sensis'!$P$107)^'Assumptions and Sensis'!$P$108</f>
        <v>924461.08689415688</v>
      </c>
      <c r="N21" s="542">
        <f ca="1">+N$2*AA21*(1+'Assumptions and Sensis'!$P$107)^'Assumptions and Sensis'!$P$108</f>
        <v>3915364.6033164291</v>
      </c>
      <c r="O21" s="542">
        <f ca="1">+O$2*AB21*(1+'Assumptions and Sensis'!$P$107)^'Assumptions and Sensis'!$P$108</f>
        <v>1428810.4512</v>
      </c>
      <c r="P21" s="542">
        <f ca="1">+P$2*AC21*(1+'Assumptions and Sensis'!$P$107)^'Assumptions and Sensis'!$P$108</f>
        <v>4478913.1927226875</v>
      </c>
      <c r="Q21" s="542">
        <f ca="1">+Q$2*AD21*(1+'Assumptions and Sensis'!$P$107)^'Assumptions and Sensis'!$P$108</f>
        <v>0</v>
      </c>
      <c r="R21" s="542">
        <f ca="1">+R$2*AE21*(1+'Assumptions and Sensis'!$P$107)^'Assumptions and Sensis'!$P$108</f>
        <v>0</v>
      </c>
      <c r="S21" s="542">
        <f ca="1">+S$2*AF21*(1+'Assumptions and Sensis'!$P$107)^'Assumptions and Sensis'!$P$108</f>
        <v>0</v>
      </c>
      <c r="T21" s="542">
        <f ca="1">+T$2*AG21*(1+'Assumptions and Sensis'!$P$107)^'Assumptions and Sensis'!$P$108</f>
        <v>0</v>
      </c>
      <c r="U21" s="542">
        <f ca="1">+U$2*AH21*(1+'Assumptions and Sensis'!$P$107)^'Assumptions and Sensis'!$P$108</f>
        <v>0</v>
      </c>
      <c r="V21" s="542">
        <f t="shared" ca="1" si="21"/>
        <v>193.69839840920727</v>
      </c>
      <c r="W21" s="542">
        <f t="shared" ca="1" si="22"/>
        <v>193.69839840920727</v>
      </c>
      <c r="X21" s="339"/>
      <c r="Y21" s="339"/>
      <c r="Z21" s="352">
        <f t="shared" si="9"/>
        <v>5023.8773333333338</v>
      </c>
      <c r="AA21" s="352">
        <f t="shared" si="9"/>
        <v>20095.509333333335</v>
      </c>
      <c r="AB21" s="351">
        <v>8000</v>
      </c>
      <c r="AC21" s="351">
        <f>16774.96/0.75</f>
        <v>22366.613333333331</v>
      </c>
      <c r="AD21" s="351">
        <v>0</v>
      </c>
      <c r="AE21" s="351">
        <v>0</v>
      </c>
      <c r="AF21" s="351">
        <v>0</v>
      </c>
      <c r="AG21" s="351">
        <f t="shared" si="10"/>
        <v>0</v>
      </c>
      <c r="AH21" s="351">
        <v>0</v>
      </c>
      <c r="AI21" s="365">
        <f t="shared" si="11"/>
        <v>0</v>
      </c>
      <c r="AJ21" s="204"/>
      <c r="AK21" s="356">
        <v>0.874335761773956</v>
      </c>
      <c r="AL21" s="356"/>
      <c r="AM21" s="361">
        <f t="shared" si="12"/>
        <v>0.82791583600357843</v>
      </c>
      <c r="AN21" s="204"/>
      <c r="AO21" s="357">
        <f t="shared" si="31"/>
        <v>45937.738076494556</v>
      </c>
      <c r="AP21" s="352">
        <f t="shared" si="13"/>
        <v>4392.5556152989111</v>
      </c>
      <c r="AQ21" s="352">
        <f t="shared" si="14"/>
        <v>17570.222461195644</v>
      </c>
      <c r="AR21" s="352">
        <f t="shared" si="24"/>
        <v>7200</v>
      </c>
      <c r="AS21" s="352">
        <f t="shared" si="32"/>
        <v>16774.96</v>
      </c>
      <c r="AT21" s="352">
        <f t="shared" si="29"/>
        <v>0</v>
      </c>
      <c r="AU21" s="352">
        <f t="shared" si="34"/>
        <v>0</v>
      </c>
      <c r="AV21" s="352">
        <f t="shared" si="26"/>
        <v>0</v>
      </c>
      <c r="AW21" s="352">
        <f t="shared" si="27"/>
        <v>0</v>
      </c>
      <c r="AX21" s="352">
        <f t="shared" si="18"/>
        <v>0</v>
      </c>
      <c r="BA21" s="352">
        <f>IFERROR(VLOOKUP(A21,Acquisition!$C$5:$E$10,3,FALSE),0)</f>
        <v>3281849.9999999995</v>
      </c>
    </row>
    <row r="22" spans="1:53" ht="16" customHeight="1" x14ac:dyDescent="0.2">
      <c r="A22" s="523" t="str">
        <f t="shared" si="30"/>
        <v>O</v>
      </c>
      <c r="B22" s="349" t="s">
        <v>459</v>
      </c>
      <c r="C22" s="350" t="s">
        <v>241</v>
      </c>
      <c r="D22" s="350" t="s">
        <v>488</v>
      </c>
      <c r="E22" s="351">
        <v>139405</v>
      </c>
      <c r="F22" s="351">
        <v>711000</v>
      </c>
      <c r="G22" s="351">
        <v>0</v>
      </c>
      <c r="H22" s="351">
        <v>150000</v>
      </c>
      <c r="I22" s="339"/>
      <c r="J22" s="339"/>
      <c r="K22" s="352">
        <f t="shared" si="20"/>
        <v>861000</v>
      </c>
      <c r="L22" s="339"/>
      <c r="M22" s="542">
        <f ca="1">+M$2*Z22*(1+'Assumptions and Sensis'!$P$107)^'Assumptions and Sensis'!$P$108</f>
        <v>0</v>
      </c>
      <c r="N22" s="542">
        <f ca="1">+N$2*AA22*(1+'Assumptions and Sensis'!$P$107)^'Assumptions and Sensis'!$P$108</f>
        <v>0</v>
      </c>
      <c r="O22" s="542">
        <f ca="1">+O$2*AB22*(1+'Assumptions and Sensis'!$P$107)^'Assumptions and Sensis'!$P$108</f>
        <v>3809565.8655119999</v>
      </c>
      <c r="P22" s="542">
        <f ca="1">+P$2*AC22*(1+'Assumptions and Sensis'!$P$107)^'Assumptions and Sensis'!$P$108</f>
        <v>0</v>
      </c>
      <c r="Q22" s="542">
        <f ca="1">+Q$2*AD22*(1+'Assumptions and Sensis'!$P$107)^'Assumptions and Sensis'!$P$108</f>
        <v>13968408.173543999</v>
      </c>
      <c r="R22" s="542">
        <f ca="1">+R$2*AE22*(1+'Assumptions and Sensis'!$P$107)^'Assumptions and Sensis'!$P$108</f>
        <v>67302330.290711999</v>
      </c>
      <c r="S22" s="542">
        <f ca="1">+S$2*AF22*(1+'Assumptions and Sensis'!$P$107)^'Assumptions and Sensis'!$P$108</f>
        <v>27936816.347087998</v>
      </c>
      <c r="T22" s="542">
        <f ca="1">+T$2*AG22*(1+'Assumptions and Sensis'!$P$107)^'Assumptions and Sensis'!$P$108</f>
        <v>0</v>
      </c>
      <c r="U22" s="542">
        <f ca="1">+U$2*AH22*(1+'Assumptions and Sensis'!$P$107)^'Assumptions and Sensis'!$P$108</f>
        <v>1623648.24</v>
      </c>
      <c r="V22" s="542">
        <f t="shared" ca="1" si="21"/>
        <v>133.14839595453657</v>
      </c>
      <c r="W22" s="542">
        <f t="shared" ca="1" si="22"/>
        <v>158.955162696</v>
      </c>
      <c r="X22" s="339"/>
      <c r="Y22" s="339"/>
      <c r="Z22" s="352">
        <f t="shared" si="9"/>
        <v>0</v>
      </c>
      <c r="AA22" s="352">
        <f t="shared" si="9"/>
        <v>0</v>
      </c>
      <c r="AB22" s="351">
        <v>21330</v>
      </c>
      <c r="AC22" s="351">
        <v>0</v>
      </c>
      <c r="AD22" s="351">
        <v>78210</v>
      </c>
      <c r="AE22" s="351">
        <v>376830</v>
      </c>
      <c r="AF22" s="351">
        <v>234630</v>
      </c>
      <c r="AG22" s="351">
        <v>0</v>
      </c>
      <c r="AH22" s="351">
        <f>+H22</f>
        <v>150000</v>
      </c>
      <c r="AI22" s="365">
        <f t="shared" si="11"/>
        <v>0</v>
      </c>
      <c r="AJ22" s="204"/>
      <c r="AK22" s="204"/>
      <c r="AL22" s="356"/>
      <c r="AM22" s="361">
        <f t="shared" si="12"/>
        <v>0.997</v>
      </c>
      <c r="AN22" s="204"/>
      <c r="AO22" s="357">
        <f t="shared" si="31"/>
        <v>858867</v>
      </c>
      <c r="AP22" s="352">
        <f t="shared" si="13"/>
        <v>0</v>
      </c>
      <c r="AQ22" s="352">
        <f t="shared" si="14"/>
        <v>0</v>
      </c>
      <c r="AR22" s="352">
        <f t="shared" si="24"/>
        <v>19197</v>
      </c>
      <c r="AS22" s="352">
        <f t="shared" si="32"/>
        <v>0</v>
      </c>
      <c r="AT22" s="352">
        <f t="shared" si="29"/>
        <v>78210</v>
      </c>
      <c r="AU22" s="352">
        <f>+AE22</f>
        <v>376830</v>
      </c>
      <c r="AV22" s="352">
        <f t="shared" si="26"/>
        <v>234630</v>
      </c>
      <c r="AW22" s="352">
        <f t="shared" si="27"/>
        <v>0</v>
      </c>
      <c r="AX22" s="352">
        <f t="shared" si="18"/>
        <v>150000</v>
      </c>
      <c r="BA22" s="352">
        <f>IFERROR(VLOOKUP(A22,Acquisition!$C$5:$E$10,3,FALSE),0)</f>
        <v>1333386</v>
      </c>
    </row>
    <row r="23" spans="1:53" ht="16" customHeight="1" x14ac:dyDescent="0.2">
      <c r="B23" s="322" t="s">
        <v>17</v>
      </c>
      <c r="C23" s="223"/>
      <c r="D23" s="223"/>
      <c r="E23" s="323">
        <f>+SUM(E6:E22)</f>
        <v>1011923</v>
      </c>
      <c r="F23" s="323">
        <f>+SUM(F6:F22)</f>
        <v>2263861</v>
      </c>
      <c r="G23" s="323">
        <f>+SUM(G6:G22)</f>
        <v>1798001</v>
      </c>
      <c r="H23" s="323">
        <f>+SUM(H6:H22)</f>
        <v>387000</v>
      </c>
      <c r="I23" s="340"/>
      <c r="J23" s="340"/>
      <c r="K23" s="323">
        <f>+SUM(K6:K22)</f>
        <v>4448862</v>
      </c>
      <c r="L23" s="340"/>
      <c r="M23" s="545">
        <f t="shared" ref="M23:U23" ca="1" si="36">+SUM(M6:M22)</f>
        <v>57071093.789037518</v>
      </c>
      <c r="N23" s="545">
        <f t="shared" ca="1" si="36"/>
        <v>241712867.81239423</v>
      </c>
      <c r="O23" s="545">
        <f t="shared" ca="1" si="36"/>
        <v>80748279.330311984</v>
      </c>
      <c r="P23" s="545">
        <f t="shared" ca="1" si="36"/>
        <v>67694695.908722684</v>
      </c>
      <c r="Q23" s="545">
        <f t="shared" ca="1" si="36"/>
        <v>27024033.173543997</v>
      </c>
      <c r="R23" s="545">
        <f t="shared" ca="1" si="36"/>
        <v>210317627.44684556</v>
      </c>
      <c r="S23" s="545">
        <f t="shared" ca="1" si="36"/>
        <v>27936816.347087998</v>
      </c>
      <c r="T23" s="545">
        <f t="shared" ca="1" si="36"/>
        <v>12261957.184</v>
      </c>
      <c r="U23" s="545">
        <f t="shared" ca="1" si="36"/>
        <v>1623648.24</v>
      </c>
      <c r="V23" s="545"/>
      <c r="W23" s="545"/>
      <c r="X23" s="340"/>
      <c r="Y23" s="340"/>
      <c r="Z23" s="323">
        <f t="shared" ref="Z23:AH23" si="37">+SUM(Z6:Z22)</f>
        <v>323241.01511111116</v>
      </c>
      <c r="AA23" s="323">
        <f t="shared" si="37"/>
        <v>1292964.0604444447</v>
      </c>
      <c r="AB23" s="323">
        <f t="shared" si="37"/>
        <v>476705</v>
      </c>
      <c r="AC23" s="323">
        <f t="shared" si="37"/>
        <v>358884.81333333335</v>
      </c>
      <c r="AD23" s="323">
        <f t="shared" si="37"/>
        <v>157335</v>
      </c>
      <c r="AE23" s="323">
        <f t="shared" si="37"/>
        <v>1218102.111111111</v>
      </c>
      <c r="AF23" s="323">
        <f t="shared" si="37"/>
        <v>234630</v>
      </c>
      <c r="AG23" s="323">
        <f t="shared" si="37"/>
        <v>237000</v>
      </c>
      <c r="AH23" s="323">
        <f t="shared" si="37"/>
        <v>150000</v>
      </c>
      <c r="AI23" s="368">
        <f t="shared" si="11"/>
        <v>0</v>
      </c>
      <c r="AJ23" s="204"/>
      <c r="AK23" s="204"/>
      <c r="AL23" s="204"/>
      <c r="AM23" s="204"/>
      <c r="AN23" s="204"/>
      <c r="AO23" s="323">
        <f t="shared" si="31"/>
        <v>3996629.0193291572</v>
      </c>
      <c r="AP23" s="323">
        <f t="shared" ref="AP23:AX23" si="38">+SUM(AP6:AP22)</f>
        <v>276641.36186583148</v>
      </c>
      <c r="AQ23" s="323">
        <f t="shared" si="38"/>
        <v>1106565.4474633259</v>
      </c>
      <c r="AR23" s="323">
        <f t="shared" si="38"/>
        <v>423297</v>
      </c>
      <c r="AS23" s="323">
        <f t="shared" si="38"/>
        <v>277185.31000000006</v>
      </c>
      <c r="AT23" s="323">
        <f t="shared" si="38"/>
        <v>157335</v>
      </c>
      <c r="AU23" s="323">
        <f t="shared" si="38"/>
        <v>1133974.8999999999</v>
      </c>
      <c r="AV23" s="323">
        <f t="shared" si="38"/>
        <v>234630</v>
      </c>
      <c r="AW23" s="323">
        <f t="shared" si="38"/>
        <v>237000</v>
      </c>
      <c r="AX23" s="323">
        <f t="shared" si="38"/>
        <v>150000</v>
      </c>
      <c r="BA23" s="323">
        <f t="shared" ref="BA23" si="39">+SUM(BA6:BA22)</f>
        <v>16840711.107142858</v>
      </c>
    </row>
    <row r="24" spans="1:53" ht="16" customHeight="1" x14ac:dyDescent="0.2">
      <c r="B24" s="322" t="s">
        <v>242</v>
      </c>
      <c r="C24" s="377" t="s">
        <v>202</v>
      </c>
      <c r="D24" s="377"/>
      <c r="E24" s="323">
        <f t="shared" ref="E24:H26" si="40">+SUMIF($C$6:$C$22,$C24,E$6:E$22)</f>
        <v>318650</v>
      </c>
      <c r="F24" s="323">
        <f t="shared" si="40"/>
        <v>643060</v>
      </c>
      <c r="G24" s="323">
        <f t="shared" si="40"/>
        <v>974124</v>
      </c>
      <c r="H24" s="323">
        <f t="shared" si="40"/>
        <v>83000</v>
      </c>
      <c r="I24" s="340"/>
      <c r="J24" s="340"/>
      <c r="K24" s="323">
        <f>+SUMIF($C$6:$C$22,$C24,K$6:K$22)</f>
        <v>1700184</v>
      </c>
      <c r="L24" s="340"/>
      <c r="M24" s="545">
        <f ca="1">+SUMIF($C$6:$C$22,$C24,M$6:M$22)</f>
        <v>21418905.200000003</v>
      </c>
      <c r="N24" s="545">
        <f t="shared" ref="N24:U26" ca="1" si="41">+SUMIF($C$6:$C$22,$C24,N$6:N$22)</f>
        <v>90715363.200000018</v>
      </c>
      <c r="O24" s="545">
        <f t="shared" ca="1" si="41"/>
        <v>40321875</v>
      </c>
      <c r="P24" s="545">
        <f t="shared" ca="1" si="41"/>
        <v>38495577</v>
      </c>
      <c r="Q24" s="545">
        <f t="shared" ca="1" si="41"/>
        <v>13055625</v>
      </c>
      <c r="R24" s="545">
        <f t="shared" ca="1" si="41"/>
        <v>75179280</v>
      </c>
      <c r="S24" s="545">
        <f t="shared" ca="1" si="41"/>
        <v>0</v>
      </c>
      <c r="T24" s="545">
        <f t="shared" ca="1" si="41"/>
        <v>4150000</v>
      </c>
      <c r="U24" s="545">
        <f t="shared" ca="1" si="41"/>
        <v>0</v>
      </c>
      <c r="V24" s="545"/>
      <c r="W24" s="545"/>
      <c r="X24" s="340"/>
      <c r="Y24" s="340"/>
      <c r="Z24" s="323">
        <f t="shared" ref="Z24:AH26" si="42">+SUMIF($C$6:$C$22,$C24,Z$6:Z$22)</f>
        <v>125993.56</v>
      </c>
      <c r="AA24" s="323">
        <f t="shared" si="42"/>
        <v>503974.24</v>
      </c>
      <c r="AB24" s="323">
        <f t="shared" si="42"/>
        <v>244375</v>
      </c>
      <c r="AC24" s="323">
        <f t="shared" si="42"/>
        <v>208084.2</v>
      </c>
      <c r="AD24" s="323">
        <f t="shared" si="42"/>
        <v>79125</v>
      </c>
      <c r="AE24" s="323">
        <f t="shared" si="42"/>
        <v>455632</v>
      </c>
      <c r="AF24" s="323">
        <f t="shared" si="42"/>
        <v>0</v>
      </c>
      <c r="AG24" s="323">
        <f t="shared" si="42"/>
        <v>83000</v>
      </c>
      <c r="AH24" s="323">
        <f t="shared" si="42"/>
        <v>0</v>
      </c>
      <c r="AI24" s="368">
        <f t="shared" si="11"/>
        <v>0</v>
      </c>
      <c r="AO24" s="323">
        <f t="shared" ref="AO24:AX26" si="43">+SUMIF($C$6:$C$22,$C24,AO$6:AO$22)</f>
        <v>1489114.8756971073</v>
      </c>
      <c r="AP24" s="323">
        <f t="shared" si="43"/>
        <v>109331.58513942146</v>
      </c>
      <c r="AQ24" s="323">
        <f t="shared" si="43"/>
        <v>437326.34055768582</v>
      </c>
      <c r="AR24" s="323">
        <f t="shared" si="43"/>
        <v>214200</v>
      </c>
      <c r="AS24" s="323">
        <f t="shared" si="43"/>
        <v>156063.15000000002</v>
      </c>
      <c r="AT24" s="323">
        <f t="shared" si="43"/>
        <v>79125</v>
      </c>
      <c r="AU24" s="323">
        <f t="shared" si="43"/>
        <v>410068.80000000005</v>
      </c>
      <c r="AV24" s="323">
        <f t="shared" si="43"/>
        <v>0</v>
      </c>
      <c r="AW24" s="323">
        <f t="shared" si="43"/>
        <v>83000</v>
      </c>
      <c r="AX24" s="323">
        <f t="shared" si="43"/>
        <v>0</v>
      </c>
      <c r="BA24" s="323">
        <f t="shared" ref="BA24:BA26" si="44">+SUMIF($C$6:$C$22,$C24,BA$6:BA$22)</f>
        <v>6900151</v>
      </c>
    </row>
    <row r="25" spans="1:53" ht="16" customHeight="1" x14ac:dyDescent="0.2">
      <c r="B25" s="322" t="s">
        <v>242</v>
      </c>
      <c r="C25" s="377" t="s">
        <v>240</v>
      </c>
      <c r="D25" s="377"/>
      <c r="E25" s="323">
        <f t="shared" si="40"/>
        <v>411071</v>
      </c>
      <c r="F25" s="323">
        <f t="shared" si="40"/>
        <v>539001</v>
      </c>
      <c r="G25" s="323">
        <f t="shared" si="40"/>
        <v>343998</v>
      </c>
      <c r="H25" s="323">
        <f t="shared" si="40"/>
        <v>106000</v>
      </c>
      <c r="I25" s="340"/>
      <c r="J25" s="340"/>
      <c r="K25" s="323">
        <f>+SUMIF($C$6:$C$22,$C25,K$6:K$22)</f>
        <v>988999</v>
      </c>
      <c r="L25" s="340"/>
      <c r="M25" s="545">
        <f ca="1">+SUMIF($C$6:$C$22,$C25,M$6:M$22)</f>
        <v>15940582.236000001</v>
      </c>
      <c r="N25" s="545">
        <f t="shared" ca="1" si="41"/>
        <v>67513054.175999999</v>
      </c>
      <c r="O25" s="545">
        <f t="shared" ca="1" si="41"/>
        <v>26436564</v>
      </c>
      <c r="P25" s="545">
        <f t="shared" ca="1" si="41"/>
        <v>24720205.715999998</v>
      </c>
      <c r="Q25" s="545">
        <f t="shared" ca="1" si="41"/>
        <v>0</v>
      </c>
      <c r="R25" s="545">
        <f t="shared" ca="1" si="41"/>
        <v>25737883.379999999</v>
      </c>
      <c r="S25" s="545">
        <f t="shared" ca="1" si="41"/>
        <v>0</v>
      </c>
      <c r="T25" s="545">
        <f t="shared" ca="1" si="41"/>
        <v>5514120</v>
      </c>
      <c r="U25" s="545">
        <f t="shared" ca="1" si="41"/>
        <v>0</v>
      </c>
      <c r="V25" s="545"/>
      <c r="W25" s="545"/>
      <c r="X25" s="340"/>
      <c r="Y25" s="340"/>
      <c r="Z25" s="323">
        <f t="shared" si="42"/>
        <v>90127</v>
      </c>
      <c r="AA25" s="323">
        <f t="shared" si="42"/>
        <v>360508</v>
      </c>
      <c r="AB25" s="323">
        <f t="shared" si="42"/>
        <v>154000</v>
      </c>
      <c r="AC25" s="323">
        <f t="shared" si="42"/>
        <v>128434</v>
      </c>
      <c r="AD25" s="323">
        <f t="shared" si="42"/>
        <v>0</v>
      </c>
      <c r="AE25" s="323">
        <f t="shared" si="42"/>
        <v>149930</v>
      </c>
      <c r="AF25" s="323">
        <f t="shared" si="42"/>
        <v>0</v>
      </c>
      <c r="AG25" s="323">
        <f t="shared" si="42"/>
        <v>106000</v>
      </c>
      <c r="AH25" s="323">
        <f t="shared" si="42"/>
        <v>0</v>
      </c>
      <c r="AI25" s="368">
        <f t="shared" si="11"/>
        <v>0</v>
      </c>
      <c r="AO25" s="323">
        <f t="shared" si="43"/>
        <v>863621.3</v>
      </c>
      <c r="AP25" s="323">
        <f t="shared" si="43"/>
        <v>75947.420000000013</v>
      </c>
      <c r="AQ25" s="323">
        <f t="shared" si="43"/>
        <v>303789.68000000005</v>
      </c>
      <c r="AR25" s="323">
        <f t="shared" si="43"/>
        <v>138600</v>
      </c>
      <c r="AS25" s="323">
        <f t="shared" si="43"/>
        <v>104347.20000000001</v>
      </c>
      <c r="AT25" s="323">
        <f t="shared" si="43"/>
        <v>0</v>
      </c>
      <c r="AU25" s="323">
        <f t="shared" si="43"/>
        <v>134937</v>
      </c>
      <c r="AV25" s="323">
        <f t="shared" si="43"/>
        <v>0</v>
      </c>
      <c r="AW25" s="323">
        <f t="shared" si="43"/>
        <v>106000</v>
      </c>
      <c r="AX25" s="323">
        <f t="shared" si="43"/>
        <v>0</v>
      </c>
      <c r="BA25" s="323">
        <f t="shared" si="44"/>
        <v>818973.10714285716</v>
      </c>
    </row>
    <row r="26" spans="1:53" ht="16" customHeight="1" x14ac:dyDescent="0.2">
      <c r="B26" s="322" t="s">
        <v>242</v>
      </c>
      <c r="C26" s="377" t="s">
        <v>241</v>
      </c>
      <c r="D26" s="377"/>
      <c r="E26" s="323">
        <f t="shared" si="40"/>
        <v>282202</v>
      </c>
      <c r="F26" s="323">
        <f t="shared" si="40"/>
        <v>1081800</v>
      </c>
      <c r="G26" s="323">
        <f t="shared" si="40"/>
        <v>479879</v>
      </c>
      <c r="H26" s="323">
        <f t="shared" si="40"/>
        <v>198000</v>
      </c>
      <c r="I26" s="340"/>
      <c r="J26" s="340"/>
      <c r="K26" s="323">
        <f>+SUMIF($C$6:$C$22,$C26,K$6:K$22)</f>
        <v>1759679</v>
      </c>
      <c r="L26" s="340"/>
      <c r="M26" s="545">
        <f ca="1">+SUMIF($C$6:$C$22,$C26,M$6:M$22)</f>
        <v>19711606.353037525</v>
      </c>
      <c r="N26" s="545">
        <f t="shared" ca="1" si="41"/>
        <v>83484450.4363942</v>
      </c>
      <c r="O26" s="545">
        <f t="shared" ca="1" si="41"/>
        <v>13989840.330312001</v>
      </c>
      <c r="P26" s="545">
        <f t="shared" ca="1" si="41"/>
        <v>4478913.1927226875</v>
      </c>
      <c r="Q26" s="545">
        <f t="shared" ca="1" si="41"/>
        <v>13968408.173543999</v>
      </c>
      <c r="R26" s="545">
        <f t="shared" ca="1" si="41"/>
        <v>109400464.06684557</v>
      </c>
      <c r="S26" s="545">
        <f t="shared" ca="1" si="41"/>
        <v>27936816.347087998</v>
      </c>
      <c r="T26" s="545">
        <f t="shared" ca="1" si="41"/>
        <v>2597837.1839999999</v>
      </c>
      <c r="U26" s="545">
        <f t="shared" ca="1" si="41"/>
        <v>1623648.24</v>
      </c>
      <c r="V26" s="545"/>
      <c r="W26" s="545"/>
      <c r="X26" s="340"/>
      <c r="Y26" s="340"/>
      <c r="Z26" s="323">
        <f t="shared" si="42"/>
        <v>107120.45511111115</v>
      </c>
      <c r="AA26" s="323">
        <f t="shared" si="42"/>
        <v>428481.8204444446</v>
      </c>
      <c r="AB26" s="323">
        <f t="shared" si="42"/>
        <v>78330</v>
      </c>
      <c r="AC26" s="323">
        <f t="shared" si="42"/>
        <v>22366.613333333331</v>
      </c>
      <c r="AD26" s="323">
        <f t="shared" si="42"/>
        <v>78210</v>
      </c>
      <c r="AE26" s="323">
        <f t="shared" si="42"/>
        <v>612540.11111111101</v>
      </c>
      <c r="AF26" s="323">
        <f t="shared" si="42"/>
        <v>234630</v>
      </c>
      <c r="AG26" s="323">
        <f t="shared" si="42"/>
        <v>48000</v>
      </c>
      <c r="AH26" s="323">
        <f t="shared" si="42"/>
        <v>150000</v>
      </c>
      <c r="AI26" s="368">
        <f t="shared" si="11"/>
        <v>0</v>
      </c>
      <c r="AO26" s="323">
        <f t="shared" si="43"/>
        <v>1643892.8436320503</v>
      </c>
      <c r="AP26" s="323">
        <f t="shared" si="43"/>
        <v>91362.356726410057</v>
      </c>
      <c r="AQ26" s="323">
        <f t="shared" si="43"/>
        <v>365449.42690564023</v>
      </c>
      <c r="AR26" s="323">
        <f t="shared" si="43"/>
        <v>70497</v>
      </c>
      <c r="AS26" s="323">
        <f t="shared" si="43"/>
        <v>16774.96</v>
      </c>
      <c r="AT26" s="323">
        <f t="shared" si="43"/>
        <v>78210</v>
      </c>
      <c r="AU26" s="323">
        <f t="shared" si="43"/>
        <v>588969.09999999986</v>
      </c>
      <c r="AV26" s="323">
        <f t="shared" si="43"/>
        <v>234630</v>
      </c>
      <c r="AW26" s="323">
        <f t="shared" si="43"/>
        <v>48000</v>
      </c>
      <c r="AX26" s="323">
        <f t="shared" si="43"/>
        <v>150000</v>
      </c>
      <c r="BA26" s="323">
        <f t="shared" si="44"/>
        <v>9121587</v>
      </c>
    </row>
    <row r="28" spans="1:53" ht="16" customHeight="1" x14ac:dyDescent="0.2">
      <c r="B28" s="355" t="s">
        <v>21</v>
      </c>
      <c r="C28" s="255"/>
      <c r="AN28" s="324"/>
      <c r="AP28" s="372" t="s">
        <v>477</v>
      </c>
      <c r="AR28" s="372" t="s">
        <v>478</v>
      </c>
      <c r="AT28" s="372" t="s">
        <v>479</v>
      </c>
      <c r="AV28" s="372" t="s">
        <v>480</v>
      </c>
      <c r="AX28" s="372" t="s">
        <v>481</v>
      </c>
    </row>
    <row r="29" spans="1:53" ht="16" customHeight="1" x14ac:dyDescent="0.2">
      <c r="B29" s="353" t="s">
        <v>375</v>
      </c>
      <c r="AM29" s="329" t="s">
        <v>482</v>
      </c>
      <c r="AN29" s="373" t="s">
        <v>472</v>
      </c>
      <c r="AP29" s="29">
        <f>+'Assumptions and Sensis'!E83</f>
        <v>550</v>
      </c>
      <c r="AQ29" s="375"/>
      <c r="AR29" s="29">
        <f>+'Assumptions and Sensis'!E90</f>
        <v>750</v>
      </c>
      <c r="AS29" s="375"/>
      <c r="AT29" s="29">
        <f>+'Assumptions and Sensis'!E97</f>
        <v>1100</v>
      </c>
      <c r="AU29" s="375"/>
      <c r="AV29" s="29">
        <f>+'Assumptions and Sensis'!E101</f>
        <v>1500</v>
      </c>
      <c r="AW29" s="375"/>
      <c r="AX29" s="29">
        <f>+'Assumptions and Sensis'!E105</f>
        <v>2200</v>
      </c>
    </row>
    <row r="30" spans="1:53" ht="16" customHeight="1" x14ac:dyDescent="0.2">
      <c r="B30" s="354" t="s">
        <v>378</v>
      </c>
      <c r="AM30" s="40" t="s">
        <v>21</v>
      </c>
      <c r="AN30" s="374">
        <f>+SUM(AO30,AQ30,AS30,AU30,AW30)-1</f>
        <v>0</v>
      </c>
      <c r="AO30" s="43">
        <v>0.5</v>
      </c>
      <c r="AP30" s="41">
        <f>AO30*$AQ24/AP$29</f>
        <v>397.56940050698711</v>
      </c>
      <c r="AQ30" s="43">
        <v>0.2</v>
      </c>
      <c r="AR30" s="41">
        <f>AQ30*$AQ24/AR$29</f>
        <v>116.62035748204956</v>
      </c>
      <c r="AS30" s="43">
        <v>0.1</v>
      </c>
      <c r="AT30" s="41">
        <f>AS30*$AQ24/AT$29</f>
        <v>39.756940050698709</v>
      </c>
      <c r="AU30" s="43">
        <v>0.05</v>
      </c>
      <c r="AV30" s="41">
        <f>AU30*$AQ24/AV$29</f>
        <v>14.577544685256195</v>
      </c>
      <c r="AW30" s="43">
        <v>0.15</v>
      </c>
      <c r="AX30" s="41">
        <f>AW30*$AQ24/AX$29</f>
        <v>29.81770503802403</v>
      </c>
      <c r="AY30" s="41">
        <f>+(AX30*$AX$29+AV30*$AV$29+AT30*$AT$29+AR30*$AR$29+AP30*$AP$29)</f>
        <v>437326.34055768582</v>
      </c>
    </row>
    <row r="31" spans="1:53" ht="16" customHeight="1" x14ac:dyDescent="0.2">
      <c r="AM31" s="40" t="s">
        <v>375</v>
      </c>
      <c r="AN31" s="374">
        <f>+SUM(AO31,AQ31,AS31,AU31,AW31)-1</f>
        <v>0</v>
      </c>
      <c r="AO31" s="43">
        <v>0.5</v>
      </c>
      <c r="AP31" s="41">
        <f t="shared" ref="AP31:AR31" si="45">AO31*$AQ25/AP$29</f>
        <v>276.17243636363639</v>
      </c>
      <c r="AQ31" s="43">
        <v>0.2</v>
      </c>
      <c r="AR31" s="41">
        <f t="shared" si="45"/>
        <v>81.010581333333349</v>
      </c>
      <c r="AS31" s="43">
        <v>0.1</v>
      </c>
      <c r="AT31" s="41">
        <f t="shared" ref="AT31" si="46">AS31*$AQ25/AT$29</f>
        <v>27.617243636363643</v>
      </c>
      <c r="AU31" s="43">
        <v>0.05</v>
      </c>
      <c r="AV31" s="41">
        <f t="shared" ref="AV31" si="47">AU31*$AQ25/AV$29</f>
        <v>10.126322666666669</v>
      </c>
      <c r="AW31" s="43">
        <v>0.15</v>
      </c>
      <c r="AX31" s="41">
        <f t="shared" ref="AX31" si="48">AW31*$AQ25/AX$29</f>
        <v>20.712932727272729</v>
      </c>
      <c r="AY31" s="41">
        <f t="shared" ref="AY31:AY33" si="49">+(AX31*$AX$29+AV31*$AV$29+AT31*$AT$29+AR31*$AR$29+AP31*$AP$29)</f>
        <v>303789.68000000005</v>
      </c>
    </row>
    <row r="32" spans="1:53" ht="16" customHeight="1" x14ac:dyDescent="0.2">
      <c r="B32" s="118" t="s">
        <v>671</v>
      </c>
      <c r="F32" s="470" t="s">
        <v>532</v>
      </c>
      <c r="G32" s="470" t="s">
        <v>634</v>
      </c>
      <c r="AN32" s="374"/>
      <c r="AO32" s="43"/>
      <c r="AP32" s="41"/>
      <c r="AQ32" s="43"/>
      <c r="AR32" s="41"/>
      <c r="AS32" s="43"/>
      <c r="AT32" s="41"/>
      <c r="AU32" s="43"/>
      <c r="AV32" s="41"/>
      <c r="AW32" s="43"/>
      <c r="AX32" s="41"/>
      <c r="AY32" s="41"/>
    </row>
    <row r="33" spans="2:51" ht="16" customHeight="1" x14ac:dyDescent="0.2">
      <c r="B33" s="40" t="s">
        <v>672</v>
      </c>
      <c r="F33" s="339">
        <f>+AD14</f>
        <v>60000</v>
      </c>
      <c r="G33" s="326">
        <f>+'Public Benefits'!F7</f>
        <v>8181818.1818181807</v>
      </c>
      <c r="AM33" s="40" t="s">
        <v>378</v>
      </c>
      <c r="AN33" s="374">
        <f>+SUM(AO33,AQ33,AS33,AU33,AW33)-1</f>
        <v>0</v>
      </c>
      <c r="AO33" s="43">
        <v>0.5</v>
      </c>
      <c r="AP33" s="41">
        <f>AO33*$AQ26/AP$29</f>
        <v>332.2267517324002</v>
      </c>
      <c r="AQ33" s="43">
        <v>0.2</v>
      </c>
      <c r="AR33" s="41">
        <f>AQ33*$AQ26/AR$29</f>
        <v>97.453180508170718</v>
      </c>
      <c r="AS33" s="43">
        <v>0.1</v>
      </c>
      <c r="AT33" s="41">
        <f t="shared" ref="AT33" si="50">AS33*$AQ26/AT$29</f>
        <v>33.22267517324002</v>
      </c>
      <c r="AU33" s="43">
        <v>0.05</v>
      </c>
      <c r="AV33" s="41">
        <f t="shared" ref="AV33" si="51">AU33*$AQ26/AV$29</f>
        <v>12.18164756352134</v>
      </c>
      <c r="AW33" s="43">
        <v>0.15</v>
      </c>
      <c r="AX33" s="41">
        <f t="shared" ref="AX33" si="52">AW33*$AQ26/AX$29</f>
        <v>24.917006379930015</v>
      </c>
      <c r="AY33" s="41">
        <f t="shared" si="49"/>
        <v>365449.42690564017</v>
      </c>
    </row>
    <row r="34" spans="2:51" ht="16" customHeight="1" x14ac:dyDescent="0.2">
      <c r="B34" s="40" t="s">
        <v>374</v>
      </c>
      <c r="F34" s="339">
        <f>+AD22</f>
        <v>78210</v>
      </c>
      <c r="G34" s="326">
        <f>+'Public Benefits'!F8</f>
        <v>4666780.0120231472</v>
      </c>
      <c r="AM34" s="376" t="s">
        <v>17</v>
      </c>
      <c r="AN34" s="376"/>
      <c r="AO34" s="376"/>
      <c r="AP34" s="376">
        <f>+SUM(AP30:AP33)</f>
        <v>1005.9685886030237</v>
      </c>
      <c r="AQ34" s="376"/>
      <c r="AR34" s="376">
        <f>+SUM(AR30:AR33)</f>
        <v>295.08411932355364</v>
      </c>
      <c r="AS34" s="376"/>
      <c r="AT34" s="376">
        <f>+SUM(AT30:AT33)</f>
        <v>100.59685886030238</v>
      </c>
      <c r="AU34" s="376"/>
      <c r="AV34" s="376">
        <f>+SUM(AV30:AV33)</f>
        <v>36.885514915444205</v>
      </c>
      <c r="AW34" s="376"/>
      <c r="AX34" s="376">
        <f>+SUM(AX30:AX33)</f>
        <v>75.447644145226775</v>
      </c>
      <c r="AY34" s="376">
        <f>+SUM(AY30:AY33)</f>
        <v>1106565.4474633262</v>
      </c>
    </row>
    <row r="35" spans="2:51" ht="16" customHeight="1" x14ac:dyDescent="0.2">
      <c r="B35" s="40" t="s">
        <v>475</v>
      </c>
      <c r="F35" s="339">
        <f>+'Parcel Breakdown'!AD8</f>
        <v>19125</v>
      </c>
      <c r="G35" s="326">
        <f>+'Public Benefits'!F9</f>
        <v>1658323.101647825</v>
      </c>
      <c r="AM35" s="329" t="s">
        <v>30</v>
      </c>
      <c r="AN35" s="373" t="s">
        <v>472</v>
      </c>
      <c r="AP35" s="29"/>
      <c r="AQ35" s="375"/>
      <c r="AR35" s="29"/>
      <c r="AS35" s="375"/>
      <c r="AT35" s="29"/>
      <c r="AU35" s="375"/>
      <c r="AV35" s="29"/>
      <c r="AW35" s="375"/>
      <c r="AX35" s="29"/>
    </row>
    <row r="36" spans="2:51" ht="16" customHeight="1" x14ac:dyDescent="0.2">
      <c r="B36" s="40" t="s">
        <v>523</v>
      </c>
      <c r="F36" s="553">
        <v>30000</v>
      </c>
      <c r="G36" s="33">
        <f>+'Public Benefits'!F5</f>
        <v>2483685.2922366192</v>
      </c>
      <c r="AM36" s="40" t="s">
        <v>21</v>
      </c>
      <c r="AN36" s="374">
        <f>+SUM(AO36,AQ36,AS36,AU36,AW36)-1</f>
        <v>0</v>
      </c>
      <c r="AO36" s="107">
        <f>+AO30</f>
        <v>0.5</v>
      </c>
      <c r="AP36" s="41">
        <f>+AO36*$AP24/AP$29</f>
        <v>99.392350126746777</v>
      </c>
      <c r="AQ36" s="107">
        <f>+AQ30</f>
        <v>0.2</v>
      </c>
      <c r="AR36" s="41">
        <f>+AQ36*$AP24/AR$29</f>
        <v>29.155089370512389</v>
      </c>
      <c r="AS36" s="107">
        <f>+AS30</f>
        <v>0.1</v>
      </c>
      <c r="AT36" s="41">
        <f>+AS36*$AP24/AT$29</f>
        <v>9.9392350126746773</v>
      </c>
      <c r="AU36" s="107">
        <f>+AU30</f>
        <v>0.05</v>
      </c>
      <c r="AV36" s="41">
        <f>+AU36*$AP24/AV$29</f>
        <v>3.6443861713140486</v>
      </c>
      <c r="AW36" s="107">
        <f>+AW30</f>
        <v>0.15</v>
      </c>
      <c r="AX36" s="41">
        <f>+AW36*$AP24/AX$29</f>
        <v>7.4544262595060076</v>
      </c>
      <c r="AY36" s="41">
        <f>+(AX36*$AX$29+AV36*$AV$29+AT36*$AT$29+AR36*$AR$29+AP36*$AP$29)</f>
        <v>109331.58513942146</v>
      </c>
    </row>
    <row r="37" spans="2:51" ht="16" customHeight="1" x14ac:dyDescent="0.2">
      <c r="B37" s="40" t="s">
        <v>376</v>
      </c>
      <c r="F37" s="339">
        <f>+SUM(Infra!G32:I34)</f>
        <v>1731000</v>
      </c>
      <c r="G37" s="33">
        <f>+'Public Benefits'!F4</f>
        <v>16600823.36989807</v>
      </c>
      <c r="H37" s="40"/>
      <c r="AM37" s="40" t="s">
        <v>375</v>
      </c>
      <c r="AN37" s="374">
        <f>+SUM(AO37,AQ37,AS37,AU37,AW37)-1</f>
        <v>0</v>
      </c>
      <c r="AO37" s="107">
        <f>+AO31</f>
        <v>0.5</v>
      </c>
      <c r="AP37" s="41">
        <f>+AO37*$AP25/AP$29</f>
        <v>69.043109090909098</v>
      </c>
      <c r="AQ37" s="107">
        <f>+AQ31</f>
        <v>0.2</v>
      </c>
      <c r="AR37" s="41">
        <f>+AQ37*$AP25/AR$29</f>
        <v>20.252645333333337</v>
      </c>
      <c r="AS37" s="107">
        <f>+AS31</f>
        <v>0.1</v>
      </c>
      <c r="AT37" s="41">
        <f>+AS37*$AP25/AT$29</f>
        <v>6.9043109090909107</v>
      </c>
      <c r="AU37" s="107">
        <f>+AU31</f>
        <v>0.05</v>
      </c>
      <c r="AV37" s="41">
        <f>+AU37*$AP25/AV$29</f>
        <v>2.5315806666666671</v>
      </c>
      <c r="AW37" s="107">
        <f>+AW31</f>
        <v>0.15</v>
      </c>
      <c r="AX37" s="41">
        <f>+AW37*$AP25/AX$29</f>
        <v>5.1782331818181824</v>
      </c>
      <c r="AY37" s="41">
        <f t="shared" ref="AY37:AY38" si="53">+(AX37*$AX$29+AV37*$AV$29+AT37*$AT$29+AR37*$AR$29+AP37*$AP$29)</f>
        <v>75947.420000000013</v>
      </c>
    </row>
    <row r="38" spans="2:51" ht="16" customHeight="1" x14ac:dyDescent="0.2">
      <c r="B38" s="40" t="s">
        <v>670</v>
      </c>
      <c r="F38" s="339">
        <f>+Z23</f>
        <v>323241.01511111116</v>
      </c>
      <c r="G38" s="326">
        <f ca="1">+'Public Benefits'!F10</f>
        <v>7246836.9505206645</v>
      </c>
      <c r="AM38" s="40" t="s">
        <v>378</v>
      </c>
      <c r="AN38" s="374">
        <f>+SUM(AO38,AQ38,AS38,AU38,AW38)-1</f>
        <v>0</v>
      </c>
      <c r="AO38" s="107">
        <f t="shared" ref="AO38" si="54">+AO33</f>
        <v>0.5</v>
      </c>
      <c r="AP38" s="41">
        <f>+AO38*$AP26/AP$29</f>
        <v>83.056687933100051</v>
      </c>
      <c r="AQ38" s="107">
        <f t="shared" ref="AQ38" si="55">+AQ33</f>
        <v>0.2</v>
      </c>
      <c r="AR38" s="41">
        <f>+AQ38*$AP26/AR$29</f>
        <v>24.363295127042679</v>
      </c>
      <c r="AS38" s="107">
        <f t="shared" ref="AS38" si="56">+AS33</f>
        <v>0.1</v>
      </c>
      <c r="AT38" s="41">
        <f>+AS38*$AP26/AT$29</f>
        <v>8.3056687933100051</v>
      </c>
      <c r="AU38" s="107">
        <f t="shared" ref="AU38" si="57">+AU33</f>
        <v>0.05</v>
      </c>
      <c r="AV38" s="41">
        <f>+AU38*$AP26/AV$29</f>
        <v>3.0454118908803349</v>
      </c>
      <c r="AW38" s="107">
        <f t="shared" ref="AW38" si="58">+AW33</f>
        <v>0.15</v>
      </c>
      <c r="AX38" s="41">
        <f>+AW38*$AP26/AX$29</f>
        <v>6.2292515949825038</v>
      </c>
      <c r="AY38" s="41">
        <f t="shared" si="53"/>
        <v>91362.356726410042</v>
      </c>
    </row>
    <row r="39" spans="2:51" ht="16" customHeight="1" x14ac:dyDescent="0.2">
      <c r="AM39" s="376" t="s">
        <v>17</v>
      </c>
      <c r="AN39" s="376"/>
      <c r="AO39" s="376"/>
      <c r="AP39" s="376">
        <f>+SUM(AP36:AP38)</f>
        <v>251.49214715075593</v>
      </c>
      <c r="AQ39" s="376"/>
      <c r="AR39" s="376">
        <f>+SUM(AR36:AR38)</f>
        <v>73.771029830888409</v>
      </c>
      <c r="AS39" s="376"/>
      <c r="AT39" s="376">
        <f>+SUM(AT36:AT38)</f>
        <v>25.149214715075594</v>
      </c>
      <c r="AU39" s="376"/>
      <c r="AV39" s="376">
        <f>+SUM(AV36:AV38)</f>
        <v>9.2213787288610511</v>
      </c>
      <c r="AW39" s="376"/>
      <c r="AX39" s="376">
        <f>+SUM(AX36:AX38)</f>
        <v>18.861911036306694</v>
      </c>
      <c r="AY39" s="376">
        <f>+SUM(AY36:AY38)</f>
        <v>276641.36186583154</v>
      </c>
    </row>
    <row r="40" spans="2:51" ht="16" customHeight="1" x14ac:dyDescent="0.2">
      <c r="AP40" s="41"/>
      <c r="AR40" s="41"/>
      <c r="AT40" s="41"/>
      <c r="AV40" s="41"/>
      <c r="AX40" s="41"/>
    </row>
    <row r="41" spans="2:51" ht="16" customHeight="1" x14ac:dyDescent="0.2">
      <c r="AN41" s="324"/>
      <c r="AP41" s="372" t="s">
        <v>150</v>
      </c>
      <c r="AR41" s="41"/>
      <c r="AT41" s="41"/>
      <c r="AV41" s="41"/>
      <c r="AX41" s="41"/>
    </row>
    <row r="42" spans="2:51" ht="16" customHeight="1" x14ac:dyDescent="0.2">
      <c r="AM42" s="329" t="s">
        <v>26</v>
      </c>
      <c r="AN42" s="373"/>
      <c r="AP42" s="29">
        <f>+'Assumptions and Sensis'!E123</f>
        <v>450</v>
      </c>
      <c r="AR42" s="41"/>
      <c r="AT42" s="41"/>
      <c r="AV42" s="41"/>
      <c r="AX42" s="41"/>
    </row>
    <row r="43" spans="2:51" ht="16" customHeight="1" x14ac:dyDescent="0.2">
      <c r="AM43" s="40" t="s">
        <v>21</v>
      </c>
      <c r="AN43" s="374"/>
      <c r="AO43" s="43"/>
      <c r="AP43" s="41">
        <f>$AS24/AP$42</f>
        <v>346.80700000000007</v>
      </c>
    </row>
    <row r="44" spans="2:51" ht="16" customHeight="1" x14ac:dyDescent="0.2">
      <c r="AM44" s="40" t="s">
        <v>375</v>
      </c>
      <c r="AN44" s="374"/>
      <c r="AO44" s="43"/>
      <c r="AP44" s="41">
        <f>$AS25/AP$42</f>
        <v>231.88266666666669</v>
      </c>
    </row>
    <row r="45" spans="2:51" ht="16" customHeight="1" x14ac:dyDescent="0.2">
      <c r="AM45" s="40" t="s">
        <v>378</v>
      </c>
      <c r="AN45" s="374"/>
      <c r="AO45" s="43"/>
      <c r="AP45" s="41">
        <f>$AS26/AP$42</f>
        <v>37.277688888888889</v>
      </c>
    </row>
    <row r="46" spans="2:51" ht="16" customHeight="1" x14ac:dyDescent="0.2">
      <c r="AM46" s="376" t="s">
        <v>17</v>
      </c>
      <c r="AN46" s="376"/>
      <c r="AO46" s="376"/>
      <c r="AP46" s="376">
        <f>+SUM(AP43:AP45)</f>
        <v>615.96735555555563</v>
      </c>
    </row>
    <row r="48" spans="2:51" ht="16" customHeight="1" x14ac:dyDescent="0.2">
      <c r="AN48" s="324"/>
      <c r="AP48" s="372" t="s">
        <v>483</v>
      </c>
      <c r="AR48" s="372" t="s">
        <v>484</v>
      </c>
    </row>
    <row r="49" spans="39:44" ht="16" customHeight="1" x14ac:dyDescent="0.2">
      <c r="AM49" s="329" t="s">
        <v>221</v>
      </c>
      <c r="AN49" s="373"/>
      <c r="AP49" s="29">
        <f>+'Assumptions and Sensis'!$F$208</f>
        <v>330</v>
      </c>
      <c r="AR49" s="29">
        <f>+'Assumptions and Sensis'!$F$208</f>
        <v>330</v>
      </c>
    </row>
    <row r="50" spans="39:44" ht="16" customHeight="1" x14ac:dyDescent="0.2">
      <c r="AM50" s="40" t="s">
        <v>21</v>
      </c>
      <c r="AN50" s="374"/>
      <c r="AO50" s="43"/>
      <c r="AP50" s="41">
        <f>+AW24/$AP$49</f>
        <v>251.5151515151515</v>
      </c>
      <c r="AR50" s="41">
        <f>+AX24/$AP$49</f>
        <v>0</v>
      </c>
    </row>
    <row r="51" spans="39:44" ht="16" customHeight="1" x14ac:dyDescent="0.2">
      <c r="AM51" s="40" t="s">
        <v>375</v>
      </c>
      <c r="AN51" s="374"/>
      <c r="AO51" s="43"/>
      <c r="AP51" s="41">
        <f>+AW25/$AP$49</f>
        <v>321.21212121212119</v>
      </c>
      <c r="AR51" s="41">
        <f t="shared" ref="AR51:AR52" si="59">+AX25/$AP$49</f>
        <v>0</v>
      </c>
    </row>
    <row r="52" spans="39:44" ht="16" customHeight="1" x14ac:dyDescent="0.2">
      <c r="AM52" s="40" t="s">
        <v>378</v>
      </c>
      <c r="AN52" s="374"/>
      <c r="AO52" s="43"/>
      <c r="AP52" s="41">
        <f>+AW26/$AP$49</f>
        <v>145.45454545454547</v>
      </c>
      <c r="AR52" s="41">
        <f t="shared" si="59"/>
        <v>454.54545454545456</v>
      </c>
    </row>
    <row r="53" spans="39:44" ht="16" customHeight="1" x14ac:dyDescent="0.2">
      <c r="AM53" s="376" t="s">
        <v>17</v>
      </c>
      <c r="AN53" s="376"/>
      <c r="AO53" s="376"/>
      <c r="AP53" s="376">
        <f>+SUM(AP50:AP52)</f>
        <v>718.18181818181824</v>
      </c>
      <c r="AR53" s="376">
        <f>+SUM(AR50:AR52)</f>
        <v>454.54545454545456</v>
      </c>
    </row>
  </sheetData>
  <mergeCells count="5">
    <mergeCell ref="Z3:AH3"/>
    <mergeCell ref="AP3:AX3"/>
    <mergeCell ref="AK3:AM3"/>
    <mergeCell ref="M3:U3"/>
    <mergeCell ref="V3:W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  <pageSetUpPr fitToPage="1"/>
  </sheetPr>
  <dimension ref="B1:AK80"/>
  <sheetViews>
    <sheetView showGridLines="0" zoomScale="90" zoomScaleNormal="90" workbookViewId="0">
      <selection activeCell="B17" sqref="B17"/>
    </sheetView>
  </sheetViews>
  <sheetFormatPr baseColWidth="10" defaultColWidth="12.5" defaultRowHeight="16" outlineLevelRow="1" x14ac:dyDescent="0.2"/>
  <cols>
    <col min="1" max="2" width="12.5" style="18"/>
    <col min="3" max="3" width="23.5" style="18" customWidth="1"/>
    <col min="4" max="6" width="12.5" style="18"/>
    <col min="7" max="7" width="16.5" style="18" bestFit="1" customWidth="1"/>
    <col min="8" max="10" width="14.5" style="18" customWidth="1"/>
    <col min="11" max="11" width="4.6640625" style="18" customWidth="1"/>
    <col min="12" max="20" width="14.5" style="18" customWidth="1"/>
    <col min="21" max="21" width="13.5" style="18" customWidth="1"/>
    <col min="22" max="22" width="5.5" style="18" customWidth="1"/>
    <col min="23" max="26" width="10.5" style="18" customWidth="1"/>
    <col min="27" max="27" width="1.5" style="18" customWidth="1"/>
    <col min="28" max="31" width="10.5" style="18" customWidth="1"/>
    <col min="32" max="32" width="4.5" style="18" customWidth="1"/>
    <col min="33" max="33" width="15.83203125" style="18" customWidth="1"/>
    <col min="34" max="36" width="10.5" style="18" customWidth="1"/>
    <col min="37" max="37" width="10.83203125" style="18" customWidth="1"/>
    <col min="38" max="16384" width="12.5" style="18"/>
  </cols>
  <sheetData>
    <row r="1" spans="2:20" x14ac:dyDescent="0.2">
      <c r="B1" s="14"/>
      <c r="H1" s="25"/>
      <c r="I1" s="25"/>
      <c r="J1" s="25"/>
    </row>
    <row r="2" spans="2:20" x14ac:dyDescent="0.2">
      <c r="B2" s="7" t="s">
        <v>92</v>
      </c>
      <c r="C2" s="8"/>
      <c r="D2" s="16"/>
      <c r="E2" s="16"/>
      <c r="F2" s="8"/>
      <c r="G2" s="44" t="s">
        <v>17</v>
      </c>
      <c r="H2" s="126" t="str">
        <f>+'Assumptions and Sensis'!F42</f>
        <v>I</v>
      </c>
      <c r="I2" s="126" t="str">
        <f>+'Assumptions and Sensis'!G42</f>
        <v>II</v>
      </c>
      <c r="J2" s="126" t="str">
        <f>+'Assumptions and Sensis'!H42</f>
        <v>III</v>
      </c>
    </row>
    <row r="3" spans="2:20" x14ac:dyDescent="0.2">
      <c r="B3" s="32" t="s">
        <v>626</v>
      </c>
      <c r="C3" s="9"/>
      <c r="D3" s="17"/>
      <c r="E3" s="9"/>
      <c r="F3" s="104">
        <f ca="1">+G3/Budget!$G$10</f>
        <v>28.354278915694945</v>
      </c>
      <c r="G3" s="47">
        <f ca="1">+SUM(H3:J3)</f>
        <v>126144274.00543645</v>
      </c>
      <c r="H3" s="33">
        <f ca="1">+H14</f>
        <v>51505114.619219258</v>
      </c>
      <c r="I3" s="33">
        <f ca="1">+I14</f>
        <v>18873780.060831025</v>
      </c>
      <c r="J3" s="33">
        <f ca="1">+J14</f>
        <v>55765379.325386167</v>
      </c>
      <c r="K3" s="33"/>
    </row>
    <row r="4" spans="2:20" x14ac:dyDescent="0.2">
      <c r="B4" s="12" t="s">
        <v>96</v>
      </c>
      <c r="C4" s="12"/>
      <c r="D4" s="12"/>
      <c r="E4" s="12"/>
      <c r="F4" s="105">
        <f ca="1">+G4/Budget!$G$10</f>
        <v>28.354278915694945</v>
      </c>
      <c r="G4" s="13">
        <f ca="1">+SUM(G3:G3)</f>
        <v>126144274.00543645</v>
      </c>
      <c r="H4" s="13">
        <f ca="1">+SUM(H3:H3)</f>
        <v>51505114.619219258</v>
      </c>
      <c r="I4" s="13">
        <f ca="1">+SUM(I3:I3)</f>
        <v>18873780.060831025</v>
      </c>
      <c r="J4" s="13">
        <f ca="1">+SUM(J3:J3)</f>
        <v>55765379.325386167</v>
      </c>
    </row>
    <row r="5" spans="2:20" x14ac:dyDescent="0.2">
      <c r="B5" s="9"/>
      <c r="C5" s="9"/>
      <c r="D5" s="9"/>
      <c r="E5" s="9"/>
      <c r="F5" s="9"/>
      <c r="G5" s="9"/>
      <c r="H5" s="9"/>
      <c r="I5" s="9"/>
      <c r="J5" s="9"/>
    </row>
    <row r="6" spans="2:20" x14ac:dyDescent="0.2">
      <c r="B6" s="15" t="s">
        <v>93</v>
      </c>
      <c r="C6" s="16"/>
      <c r="D6" s="16"/>
      <c r="E6" s="31"/>
      <c r="F6" s="31" t="s">
        <v>56</v>
      </c>
      <c r="G6" s="15" t="s">
        <v>17</v>
      </c>
      <c r="H6" s="23" t="str">
        <f>+H$2</f>
        <v>I</v>
      </c>
      <c r="I6" s="45" t="str">
        <f t="shared" ref="I6:J6" si="0">+I$2</f>
        <v>II</v>
      </c>
      <c r="J6" s="45" t="str">
        <f t="shared" si="0"/>
        <v>III</v>
      </c>
    </row>
    <row r="7" spans="2:20" x14ac:dyDescent="0.2">
      <c r="B7" s="9" t="s">
        <v>61</v>
      </c>
      <c r="C7" s="9"/>
      <c r="D7" s="17"/>
      <c r="E7" s="9"/>
      <c r="F7" s="104">
        <f ca="1">+G7/Budget!$G$10</f>
        <v>3.7853975032587792</v>
      </c>
      <c r="G7" s="26">
        <f t="shared" ref="G7:G13" si="1">+SUM(H7:J7)</f>
        <v>16840711.107142858</v>
      </c>
      <c r="H7" s="11">
        <f>+Budget!H24</f>
        <v>6900151</v>
      </c>
      <c r="I7" s="11">
        <f>+Budget!I24</f>
        <v>818973.10714285716</v>
      </c>
      <c r="J7" s="11">
        <f>+Budget!J24</f>
        <v>9121587</v>
      </c>
    </row>
    <row r="8" spans="2:20" x14ac:dyDescent="0.2">
      <c r="B8" s="9" t="s">
        <v>8</v>
      </c>
      <c r="C8" s="9"/>
      <c r="D8" s="17"/>
      <c r="E8" s="9"/>
      <c r="F8" s="104">
        <f ca="1">+G8/Budget!$G$10</f>
        <v>16.834762717278014</v>
      </c>
      <c r="G8" s="26">
        <f t="shared" si="1"/>
        <v>74895536.131914899</v>
      </c>
      <c r="H8" s="11">
        <f>+Budget!H31</f>
        <v>31353547.897872344</v>
      </c>
      <c r="I8" s="11">
        <f>+Budget!I31</f>
        <v>10461100</v>
      </c>
      <c r="J8" s="11">
        <f>+Budget!J31</f>
        <v>33080888.234042555</v>
      </c>
    </row>
    <row r="9" spans="2:20" x14ac:dyDescent="0.2">
      <c r="B9" s="9" t="s">
        <v>362</v>
      </c>
      <c r="C9" s="9"/>
      <c r="D9" s="17"/>
      <c r="E9" s="9"/>
      <c r="F9" s="104">
        <f ca="1">+G9/Budget!$G$10</f>
        <v>3.5964253330402249E-2</v>
      </c>
      <c r="G9" s="26">
        <f t="shared" si="1"/>
        <v>160000</v>
      </c>
      <c r="H9" s="11">
        <f>+Budget!H34</f>
        <v>160000</v>
      </c>
      <c r="I9" s="11">
        <f>+Budget!I34</f>
        <v>0</v>
      </c>
      <c r="J9" s="11">
        <f>+Budget!J34</f>
        <v>0</v>
      </c>
    </row>
    <row r="10" spans="2:20" x14ac:dyDescent="0.2">
      <c r="B10" s="9" t="s">
        <v>58</v>
      </c>
      <c r="C10" s="9"/>
      <c r="D10" s="17"/>
      <c r="E10" s="9"/>
      <c r="F10" s="104">
        <f ca="1">+G10/Budget!$G$10</f>
        <v>7.698154441827751</v>
      </c>
      <c r="G10" s="26">
        <f t="shared" ca="1" si="1"/>
        <v>34248026.766378693</v>
      </c>
      <c r="H10" s="33">
        <f ca="1">+SUMPRODUCT(Budget!$E$49:$E$63,Budget!H$49:H$63)</f>
        <v>13091415.721346911</v>
      </c>
      <c r="I10" s="33">
        <f ca="1">+SUMPRODUCT(Budget!$E$49:$E$63,Budget!I$49:I$63)</f>
        <v>7593706.953688167</v>
      </c>
      <c r="J10" s="33">
        <f ca="1">+SUMPRODUCT(Budget!$E$49:$E$63,Budget!J$49:J$63)</f>
        <v>13562904.091343613</v>
      </c>
      <c r="K10" s="33"/>
    </row>
    <row r="11" spans="2:20" x14ac:dyDescent="0.2">
      <c r="B11" s="9" t="s">
        <v>80</v>
      </c>
      <c r="C11" s="9"/>
      <c r="D11" s="17"/>
      <c r="E11" s="9"/>
      <c r="F11" s="104">
        <f ca="1">+G11/Budget!$G$10</f>
        <v>0</v>
      </c>
      <c r="G11" s="26">
        <f t="shared" si="1"/>
        <v>0</v>
      </c>
      <c r="H11" s="11">
        <v>0</v>
      </c>
      <c r="I11" s="11">
        <v>0</v>
      </c>
      <c r="J11" s="11">
        <v>0</v>
      </c>
    </row>
    <row r="12" spans="2:20" x14ac:dyDescent="0.2">
      <c r="B12" s="9" t="s">
        <v>83</v>
      </c>
      <c r="C12" s="9"/>
      <c r="D12" s="17"/>
      <c r="E12" s="9"/>
      <c r="F12" s="104">
        <f ca="1">+G12/Budget!$G$10</f>
        <v>0</v>
      </c>
      <c r="G12" s="26">
        <f t="shared" si="1"/>
        <v>0</v>
      </c>
      <c r="H12" s="11">
        <v>0</v>
      </c>
      <c r="I12" s="11">
        <v>0</v>
      </c>
      <c r="J12" s="11">
        <v>0</v>
      </c>
    </row>
    <row r="13" spans="2:20" x14ac:dyDescent="0.2">
      <c r="B13" s="9" t="s">
        <v>60</v>
      </c>
      <c r="C13" s="9"/>
      <c r="D13" s="22"/>
      <c r="E13" s="9"/>
      <c r="F13" s="104">
        <f ca="1">+G13/Budget!$G$10</f>
        <v>0</v>
      </c>
      <c r="G13" s="26">
        <f t="shared" ca="1" si="1"/>
        <v>0</v>
      </c>
      <c r="H13" s="11">
        <f ca="1">+Budget!$E$79*Budget!H79</f>
        <v>0</v>
      </c>
      <c r="I13" s="11">
        <f ca="1">+Budget!$E$79*Budget!I79</f>
        <v>0</v>
      </c>
      <c r="J13" s="11">
        <f ca="1">+Budget!$E$79*Budget!J79</f>
        <v>0</v>
      </c>
    </row>
    <row r="14" spans="2:20" x14ac:dyDescent="0.2">
      <c r="B14" s="12" t="s">
        <v>97</v>
      </c>
      <c r="C14" s="12"/>
      <c r="D14" s="12"/>
      <c r="E14" s="12"/>
      <c r="F14" s="105">
        <f ca="1">+G14/Budget!$G$10</f>
        <v>28.354278915694945</v>
      </c>
      <c r="G14" s="13">
        <f t="shared" ref="G14:J14" ca="1" si="2">+SUM(G7:G13)</f>
        <v>126144274.00543645</v>
      </c>
      <c r="H14" s="13">
        <f t="shared" ca="1" si="2"/>
        <v>51505114.619219258</v>
      </c>
      <c r="I14" s="13">
        <f t="shared" ca="1" si="2"/>
        <v>18873780.060831025</v>
      </c>
      <c r="J14" s="13">
        <f t="shared" ca="1" si="2"/>
        <v>55765379.325386167</v>
      </c>
    </row>
    <row r="15" spans="2:20" x14ac:dyDescent="0.2">
      <c r="B15" s="9"/>
      <c r="C15" s="9"/>
      <c r="D15" s="9"/>
      <c r="E15" s="9"/>
      <c r="F15" s="9"/>
      <c r="G15" s="9"/>
      <c r="H15" s="9"/>
      <c r="I15" s="9"/>
      <c r="J15" s="9"/>
    </row>
    <row r="16" spans="2:20" x14ac:dyDescent="0.2">
      <c r="B16" s="7" t="s">
        <v>94</v>
      </c>
      <c r="C16" s="8"/>
      <c r="D16" s="16"/>
      <c r="E16" s="16"/>
      <c r="F16" s="8"/>
      <c r="G16" s="7" t="s">
        <v>17</v>
      </c>
      <c r="H16" s="45" t="str">
        <f t="shared" ref="H16:J16" si="3">+H$2</f>
        <v>I</v>
      </c>
      <c r="I16" s="45" t="str">
        <f t="shared" si="3"/>
        <v>II</v>
      </c>
      <c r="J16" s="45" t="str">
        <f t="shared" si="3"/>
        <v>III</v>
      </c>
      <c r="L16" s="7" t="s">
        <v>102</v>
      </c>
      <c r="M16" s="8"/>
      <c r="N16" s="16"/>
      <c r="O16" s="16"/>
      <c r="P16" s="8"/>
      <c r="Q16" s="7" t="s">
        <v>17</v>
      </c>
      <c r="R16" s="45" t="str">
        <f>+H$2</f>
        <v>I</v>
      </c>
      <c r="S16" s="45" t="str">
        <f>+I$2</f>
        <v>II</v>
      </c>
      <c r="T16" s="45" t="str">
        <f>+J$2</f>
        <v>III</v>
      </c>
    </row>
    <row r="17" spans="2:20" x14ac:dyDescent="0.2">
      <c r="B17" s="9" t="s">
        <v>330</v>
      </c>
      <c r="C17" s="9"/>
      <c r="D17" s="17"/>
      <c r="E17" s="9"/>
      <c r="F17" s="104">
        <f ca="1">+G17/Budget!$G$10</f>
        <v>137.41583235206519</v>
      </c>
      <c r="G17" s="28">
        <f t="shared" ref="G17:G23" ca="1" si="4">+SUM(H17:J17)</f>
        <v>611344074.74947345</v>
      </c>
      <c r="H17" s="38">
        <f ca="1">+MIN('Assumptions and Sensis'!N168*Budget!H82,'Loan Sizing'!F66)</f>
        <v>239796126.33825794</v>
      </c>
      <c r="I17" s="38">
        <f ca="1">+MIN('Assumptions and Sensis'!O168*Budget!I82,'Loan Sizing'!G66)</f>
        <v>133051409.60886553</v>
      </c>
      <c r="J17" s="38">
        <f ca="1">+MIN('Assumptions and Sensis'!P168*Budget!J82,'Loan Sizing'!H66)</f>
        <v>238496538.80234998</v>
      </c>
      <c r="K17" s="38"/>
      <c r="L17" s="9" t="s">
        <v>101</v>
      </c>
      <c r="M17" s="32"/>
      <c r="N17" s="39"/>
      <c r="O17" s="32"/>
      <c r="P17" s="104">
        <f ca="1">+Q17/Budget!$G$10</f>
        <v>128.14614022194925</v>
      </c>
      <c r="Q17" s="47">
        <f t="shared" ref="Q17:Q25" ca="1" si="5">+SUM(R17:T17)</f>
        <v>570104493.68010163</v>
      </c>
      <c r="R17" s="33">
        <f ca="1">+'Loan Sizing'!F30</f>
        <v>213275542.18726224</v>
      </c>
      <c r="S17" s="33">
        <f ca="1">+'Loan Sizing'!G30</f>
        <v>119131014.36018541</v>
      </c>
      <c r="T17" s="33">
        <f ca="1">+'Loan Sizing'!H30</f>
        <v>237697937.13265392</v>
      </c>
    </row>
    <row r="18" spans="2:20" x14ac:dyDescent="0.2">
      <c r="B18" s="9" t="s">
        <v>98</v>
      </c>
      <c r="C18" s="9"/>
      <c r="D18" s="17"/>
      <c r="E18" s="9"/>
      <c r="F18" s="104">
        <f ca="1">+G18/Budget!$G$10</f>
        <v>40.92033344410396</v>
      </c>
      <c r="G18" s="47">
        <f t="shared" ca="1" si="4"/>
        <v>182048916.48680317</v>
      </c>
      <c r="H18" s="117">
        <f ca="1">+INDEX('Taxes and TIF'!$B$47:$AT$47,1,MATCH('S&amp;U'!H$16,'Taxes and TIF'!$B$48:$AT$48,0))</f>
        <v>74189767.741794825</v>
      </c>
      <c r="I18" s="117">
        <f ca="1">+INDEX('Taxes and TIF'!$B$47:$AT$47,1,MATCH('S&amp;U'!I$16,'Taxes and TIF'!$B$48:$AT$48,0))</f>
        <v>43584912.158747993</v>
      </c>
      <c r="J18" s="117">
        <f ca="1">+INDEX('Taxes and TIF'!$B$47:$AT$47,1,MATCH('S&amp;U'!J$16,'Taxes and TIF'!$B$48:$AT$48,0))</f>
        <v>64274236.586260393</v>
      </c>
      <c r="L18" s="32" t="s">
        <v>164</v>
      </c>
      <c r="M18" s="32"/>
      <c r="N18" s="39"/>
      <c r="O18" s="32"/>
      <c r="P18" s="104">
        <f ca="1">+Q18/Budget!$G$10</f>
        <v>23.861456867150601</v>
      </c>
      <c r="Q18" s="47">
        <f t="shared" ca="1" si="5"/>
        <v>106156328.72090535</v>
      </c>
      <c r="R18" s="33">
        <f ca="1">+'Loan Sizing'!F46</f>
        <v>61492153.068216205</v>
      </c>
      <c r="S18" s="33">
        <f ca="1">+'Loan Sizing'!G46</f>
        <v>38593085.568527728</v>
      </c>
      <c r="T18" s="33">
        <f ca="1">+'Loan Sizing'!H46</f>
        <v>6071090.084161412</v>
      </c>
    </row>
    <row r="19" spans="2:20" hidden="1" outlineLevel="1" x14ac:dyDescent="0.2">
      <c r="B19" s="9" t="s">
        <v>326</v>
      </c>
      <c r="C19" s="9"/>
      <c r="D19" s="17"/>
      <c r="E19" s="9"/>
      <c r="F19" s="104">
        <f ca="1">+G19/Budget!$G$10</f>
        <v>0</v>
      </c>
      <c r="G19" s="47">
        <f t="shared" si="4"/>
        <v>0</v>
      </c>
      <c r="H19" s="117">
        <f>+'Assumptions and Sensis'!N203</f>
        <v>0</v>
      </c>
      <c r="I19" s="117">
        <f>+'Assumptions and Sensis'!O203</f>
        <v>0</v>
      </c>
      <c r="J19" s="117">
        <f>+'Assumptions and Sensis'!P203</f>
        <v>0</v>
      </c>
      <c r="L19" s="32" t="s">
        <v>261</v>
      </c>
      <c r="M19" s="32"/>
      <c r="N19" s="39"/>
      <c r="O19" s="32"/>
      <c r="P19" s="104">
        <f ca="1">+Q19/Budget!$G$10</f>
        <v>8.7809795696723025</v>
      </c>
      <c r="Q19" s="47">
        <f t="shared" ca="1" si="5"/>
        <v>39065366.330291457</v>
      </c>
      <c r="R19" s="33">
        <f ca="1">+'Loan Sizing'!F62</f>
        <v>1.5381818181818186E-4</v>
      </c>
      <c r="S19" s="33">
        <f ca="1">+'Loan Sizing'!G62</f>
        <v>1.6003243636363636E-4</v>
      </c>
      <c r="T19" s="33">
        <f ca="1">+'Loan Sizing'!H62</f>
        <v>39065366.329977609</v>
      </c>
    </row>
    <row r="20" spans="2:20" collapsed="1" x14ac:dyDescent="0.2">
      <c r="B20" s="9" t="s">
        <v>618</v>
      </c>
      <c r="C20" s="9"/>
      <c r="D20" s="17"/>
      <c r="E20" s="9"/>
      <c r="F20" s="104">
        <f ca="1">+G20/Budget!$G$10</f>
        <v>7.2315421166717355</v>
      </c>
      <c r="G20" s="47">
        <f t="shared" si="4"/>
        <v>32172132.924260452</v>
      </c>
      <c r="H20" s="33">
        <f>+'Assumptions and Sensis'!N207*'Assumptions and Sensis'!N208</f>
        <v>12714766.389964083</v>
      </c>
      <c r="I20" s="33">
        <f>+'Assumptions and Sensis'!O207*'Assumptions and Sensis'!O208</f>
        <v>8832339.7304545473</v>
      </c>
      <c r="J20" s="33">
        <f>+'Assumptions and Sensis'!P207*'Assumptions and Sensis'!P208</f>
        <v>10625026.803841824</v>
      </c>
      <c r="L20" s="9" t="s">
        <v>98</v>
      </c>
      <c r="M20" s="32"/>
      <c r="N20" s="39"/>
      <c r="O20" s="32"/>
      <c r="P20" s="104">
        <f ca="1">+Q20/Budget!$G$10</f>
        <v>40.92033344410396</v>
      </c>
      <c r="Q20" s="47">
        <f t="shared" ca="1" si="5"/>
        <v>182048916.48680317</v>
      </c>
      <c r="R20" s="33">
        <f t="shared" ref="R20:T24" ca="1" si="6">+H18</f>
        <v>74189767.741794825</v>
      </c>
      <c r="S20" s="33">
        <f t="shared" ca="1" si="6"/>
        <v>43584912.158747993</v>
      </c>
      <c r="T20" s="33">
        <f t="shared" ca="1" si="6"/>
        <v>64274236.586260393</v>
      </c>
    </row>
    <row r="21" spans="2:20" x14ac:dyDescent="0.2">
      <c r="B21" s="32" t="s">
        <v>619</v>
      </c>
      <c r="C21" s="9"/>
      <c r="D21" s="17"/>
      <c r="E21" s="9"/>
      <c r="F21" s="104">
        <f ca="1">+G21/Budget!$G$10</f>
        <v>2.4896254368111213</v>
      </c>
      <c r="G21" s="47">
        <f t="shared" si="4"/>
        <v>11076000.000062399</v>
      </c>
      <c r="H21" s="33">
        <f>+'Assumptions and Sensis'!N218*'Assumptions and Sensis'!N219+'Assumptions and Sensis'!N223*'Assumptions and Sensis'!N224</f>
        <v>5538000</v>
      </c>
      <c r="I21" s="33">
        <f>+'Assumptions and Sensis'!O218*'Assumptions and Sensis'!O219+'Assumptions and Sensis'!O223*'Assumptions and Sensis'!O224</f>
        <v>6.2400000000000012E-5</v>
      </c>
      <c r="J21" s="33">
        <f>+'Assumptions and Sensis'!P218*'Assumptions and Sensis'!P219+'Assumptions and Sensis'!P223*'Assumptions and Sensis'!P224</f>
        <v>5538000</v>
      </c>
      <c r="L21" s="32" t="s">
        <v>326</v>
      </c>
      <c r="M21" s="32"/>
      <c r="N21" s="39"/>
      <c r="O21" s="32"/>
      <c r="P21" s="104">
        <f ca="1">+Q21/Budget!$G$10</f>
        <v>0</v>
      </c>
      <c r="Q21" s="47">
        <f t="shared" si="5"/>
        <v>0</v>
      </c>
      <c r="R21" s="33">
        <f t="shared" si="6"/>
        <v>0</v>
      </c>
      <c r="S21" s="33">
        <f t="shared" si="6"/>
        <v>0</v>
      </c>
      <c r="T21" s="33">
        <f t="shared" si="6"/>
        <v>0</v>
      </c>
    </row>
    <row r="22" spans="2:20" s="40" customFormat="1" x14ac:dyDescent="0.2">
      <c r="B22" s="32" t="s">
        <v>614</v>
      </c>
      <c r="C22" s="32"/>
      <c r="D22" s="39"/>
      <c r="E22" s="32"/>
      <c r="F22" s="104">
        <f ca="1">+G22/Budget!$G$10</f>
        <v>0.73194690405709062</v>
      </c>
      <c r="G22" s="47">
        <f t="shared" ca="1" si="4"/>
        <v>3256330.7674772362</v>
      </c>
      <c r="H22" s="33">
        <f ca="1">+'Assumptions and Sensis'!N213*'Assumptions and Sensis'!N214</f>
        <v>3256330.7674772362</v>
      </c>
      <c r="I22" s="33">
        <f>+'Assumptions and Sensis'!O213*'Assumptions and Sensis'!O214</f>
        <v>0</v>
      </c>
      <c r="J22" s="33">
        <f>+'Assumptions and Sensis'!P213*'Assumptions and Sensis'!P214</f>
        <v>0</v>
      </c>
      <c r="L22" s="32" t="s">
        <v>618</v>
      </c>
      <c r="M22" s="32"/>
      <c r="N22" s="39"/>
      <c r="O22" s="32"/>
      <c r="P22" s="104">
        <f ca="1">+Q22/Budget!$G$10</f>
        <v>7.2315421166717355</v>
      </c>
      <c r="Q22" s="47">
        <f t="shared" si="5"/>
        <v>32172132.924260452</v>
      </c>
      <c r="R22" s="33">
        <f t="shared" si="6"/>
        <v>12714766.389964083</v>
      </c>
      <c r="S22" s="33">
        <f t="shared" si="6"/>
        <v>8832339.7304545473</v>
      </c>
      <c r="T22" s="33">
        <f t="shared" si="6"/>
        <v>10625026.803841824</v>
      </c>
    </row>
    <row r="23" spans="2:20" x14ac:dyDescent="0.2">
      <c r="B23" s="9" t="s">
        <v>626</v>
      </c>
      <c r="C23" s="9"/>
      <c r="D23" s="17"/>
      <c r="E23" s="9"/>
      <c r="F23" s="104">
        <f ca="1">+G23/Budget!$G$10</f>
        <v>40.237106999732895</v>
      </c>
      <c r="G23" s="47">
        <f t="shared" ca="1" si="4"/>
        <v>179009336.3210457</v>
      </c>
      <c r="H23" s="33">
        <f ca="1">+H36-SUM(H17:H22)</f>
        <v>64165219.326269209</v>
      </c>
      <c r="I23" s="33">
        <f ca="1">+I36-SUM(I17:I22)</f>
        <v>36283687.849978745</v>
      </c>
      <c r="J23" s="33">
        <f ca="1">+J36-SUM(J17:J22)</f>
        <v>78560429.144797742</v>
      </c>
      <c r="L23" s="32" t="s">
        <v>619</v>
      </c>
      <c r="M23" s="32"/>
      <c r="N23" s="39"/>
      <c r="O23" s="32"/>
      <c r="P23" s="104">
        <f ca="1">+Q23/Budget!$G$10</f>
        <v>2.4896254368111213</v>
      </c>
      <c r="Q23" s="47">
        <f t="shared" si="5"/>
        <v>11076000.000062399</v>
      </c>
      <c r="R23" s="33">
        <f t="shared" si="6"/>
        <v>5538000</v>
      </c>
      <c r="S23" s="33">
        <f t="shared" si="6"/>
        <v>6.2400000000000012E-5</v>
      </c>
      <c r="T23" s="33">
        <f t="shared" si="6"/>
        <v>5538000</v>
      </c>
    </row>
    <row r="24" spans="2:20" x14ac:dyDescent="0.2">
      <c r="L24" s="32" t="s">
        <v>614</v>
      </c>
      <c r="M24" s="32"/>
      <c r="N24" s="39"/>
      <c r="O24" s="32"/>
      <c r="P24" s="104">
        <f ca="1">+Q24/Budget!$G$10</f>
        <v>0.73194690405709062</v>
      </c>
      <c r="Q24" s="47">
        <f t="shared" ref="Q24" ca="1" si="7">+SUM(R24:T24)</f>
        <v>3256330.7674772362</v>
      </c>
      <c r="R24" s="33">
        <f t="shared" ca="1" si="6"/>
        <v>3256330.7674772362</v>
      </c>
      <c r="S24" s="33">
        <f t="shared" si="6"/>
        <v>0</v>
      </c>
      <c r="T24" s="33">
        <f t="shared" si="6"/>
        <v>0</v>
      </c>
    </row>
    <row r="25" spans="2:20" x14ac:dyDescent="0.2">
      <c r="B25" s="9"/>
      <c r="C25" s="9"/>
      <c r="D25" s="9"/>
      <c r="E25" s="9"/>
      <c r="F25" s="9"/>
      <c r="G25" s="9"/>
      <c r="H25" s="9"/>
      <c r="I25" s="9"/>
      <c r="J25" s="9"/>
      <c r="L25" s="32" t="s">
        <v>626</v>
      </c>
      <c r="M25" s="32"/>
      <c r="N25" s="43"/>
      <c r="O25" s="32"/>
      <c r="P25" s="104">
        <f ca="1">+Q25/Budget!$G$10</f>
        <v>16.864362693025932</v>
      </c>
      <c r="Q25" s="47">
        <f t="shared" ca="1" si="5"/>
        <v>75027222.339220613</v>
      </c>
      <c r="R25" s="33">
        <f ca="1">+R36-SUM(R17:R24)</f>
        <v>29193650.408894837</v>
      </c>
      <c r="S25" s="33">
        <f ca="1">+S36-SUM(S17:S24)</f>
        <v>11610997.529971093</v>
      </c>
      <c r="T25" s="33">
        <f ca="1">+T36-SUM(T17:T24)</f>
        <v>34222574.400354803</v>
      </c>
    </row>
    <row r="26" spans="2:20" x14ac:dyDescent="0.2">
      <c r="B26" s="12" t="s">
        <v>96</v>
      </c>
      <c r="C26" s="12"/>
      <c r="D26" s="12"/>
      <c r="E26" s="12"/>
      <c r="F26" s="105">
        <f ca="1">+G26/Budget!$G$10</f>
        <v>229.02638725344198</v>
      </c>
      <c r="G26" s="13">
        <f ca="1">+SUM(G17:G23)</f>
        <v>1018906791.2491224</v>
      </c>
      <c r="H26" s="13">
        <f ca="1">+SUM(H17:H23)</f>
        <v>399660210.56376326</v>
      </c>
      <c r="I26" s="13">
        <f ca="1">+SUM(I17:I23)</f>
        <v>221752349.34810922</v>
      </c>
      <c r="J26" s="13">
        <f ca="1">+SUM(J17:J23)</f>
        <v>397494231.33724993</v>
      </c>
      <c r="L26" s="12" t="s">
        <v>96</v>
      </c>
      <c r="M26" s="34"/>
      <c r="N26" s="34"/>
      <c r="O26" s="34"/>
      <c r="P26" s="105">
        <f ca="1">+Q26/Budget!$G$10</f>
        <v>229.02638725344204</v>
      </c>
      <c r="Q26" s="35">
        <f t="shared" ref="Q26:T26" ca="1" si="8">+SUM(Q17:Q25)</f>
        <v>1018906791.2491224</v>
      </c>
      <c r="R26" s="35">
        <f t="shared" ca="1" si="8"/>
        <v>399660210.56376326</v>
      </c>
      <c r="S26" s="35">
        <f t="shared" ca="1" si="8"/>
        <v>221752349.34810922</v>
      </c>
      <c r="T26" s="35">
        <f t="shared" ca="1" si="8"/>
        <v>397494231.33724993</v>
      </c>
    </row>
    <row r="28" spans="2:20" x14ac:dyDescent="0.2">
      <c r="B28" s="15" t="s">
        <v>95</v>
      </c>
      <c r="C28" s="16"/>
      <c r="D28" s="16"/>
      <c r="E28" s="16"/>
      <c r="F28" s="16"/>
      <c r="G28" s="15" t="s">
        <v>17</v>
      </c>
      <c r="H28" s="45" t="str">
        <f>+H$2</f>
        <v>I</v>
      </c>
      <c r="I28" s="45" t="str">
        <f>+I$2</f>
        <v>II</v>
      </c>
      <c r="J28" s="45" t="str">
        <f>+J$2</f>
        <v>III</v>
      </c>
      <c r="L28" s="15" t="s">
        <v>103</v>
      </c>
      <c r="M28" s="16"/>
      <c r="N28" s="16"/>
      <c r="O28" s="16"/>
      <c r="P28" s="16"/>
      <c r="Q28" s="15" t="s">
        <v>17</v>
      </c>
      <c r="R28" s="45" t="str">
        <f>+H$2</f>
        <v>I</v>
      </c>
      <c r="S28" s="45" t="str">
        <f>+I$2</f>
        <v>II</v>
      </c>
      <c r="T28" s="45" t="str">
        <f>+J$2</f>
        <v>III</v>
      </c>
    </row>
    <row r="29" spans="2:20" x14ac:dyDescent="0.2">
      <c r="B29" s="9" t="s">
        <v>61</v>
      </c>
      <c r="C29" s="9"/>
      <c r="D29" s="17"/>
      <c r="E29" s="9"/>
      <c r="F29" s="104">
        <f ca="1">+G29/Budget!$G$10</f>
        <v>3.7853975032587792</v>
      </c>
      <c r="G29" s="47">
        <f t="shared" ref="G29:G35" si="9">+SUM(H29:J29)</f>
        <v>16840711.107142858</v>
      </c>
      <c r="H29" s="11">
        <f>+Budget!H24</f>
        <v>6900151</v>
      </c>
      <c r="I29" s="33">
        <f>+Budget!I24</f>
        <v>818973.10714285716</v>
      </c>
      <c r="J29" s="33">
        <f>+Budget!J24</f>
        <v>9121587</v>
      </c>
      <c r="L29" s="9" t="s">
        <v>61</v>
      </c>
      <c r="M29" s="9"/>
      <c r="N29" s="17"/>
      <c r="O29" s="9"/>
      <c r="P29" s="104">
        <f ca="1">+Q29/Budget!$G$10</f>
        <v>3.7853975032587792</v>
      </c>
      <c r="Q29" s="47">
        <f t="shared" ref="Q29:Q35" si="10">+SUM(R29:T29)</f>
        <v>16840711.107142858</v>
      </c>
      <c r="R29" s="11">
        <f t="shared" ref="R29:T35" si="11">+H29</f>
        <v>6900151</v>
      </c>
      <c r="S29" s="11">
        <f t="shared" si="11"/>
        <v>818973.10714285716</v>
      </c>
      <c r="T29" s="11">
        <f t="shared" si="11"/>
        <v>9121587</v>
      </c>
    </row>
    <row r="30" spans="2:20" x14ac:dyDescent="0.2">
      <c r="B30" s="9" t="s">
        <v>8</v>
      </c>
      <c r="C30" s="9"/>
      <c r="D30" s="17"/>
      <c r="E30" s="9"/>
      <c r="F30" s="104">
        <f ca="1">+G30/Budget!$G$10</f>
        <v>16.834762717278014</v>
      </c>
      <c r="G30" s="47">
        <f t="shared" si="9"/>
        <v>74895536.131914899</v>
      </c>
      <c r="H30" s="11">
        <f>+Budget!H31</f>
        <v>31353547.897872344</v>
      </c>
      <c r="I30" s="33">
        <f>+Budget!I31</f>
        <v>10461100</v>
      </c>
      <c r="J30" s="33">
        <f>+Budget!J31</f>
        <v>33080888.234042555</v>
      </c>
      <c r="L30" s="9" t="s">
        <v>8</v>
      </c>
      <c r="M30" s="9"/>
      <c r="N30" s="17"/>
      <c r="O30" s="9"/>
      <c r="P30" s="104">
        <f ca="1">+Q30/Budget!$G$10</f>
        <v>16.834762717278014</v>
      </c>
      <c r="Q30" s="47">
        <f t="shared" si="10"/>
        <v>74895536.131914899</v>
      </c>
      <c r="R30" s="11">
        <f t="shared" si="11"/>
        <v>31353547.897872344</v>
      </c>
      <c r="S30" s="11">
        <f t="shared" si="11"/>
        <v>10461100</v>
      </c>
      <c r="T30" s="11">
        <f t="shared" si="11"/>
        <v>33080888.234042555</v>
      </c>
    </row>
    <row r="31" spans="2:20" x14ac:dyDescent="0.2">
      <c r="B31" s="9" t="s">
        <v>57</v>
      </c>
      <c r="C31" s="9"/>
      <c r="D31" s="17"/>
      <c r="E31" s="9"/>
      <c r="F31" s="104">
        <f ca="1">+G31/Budget!$G$10</f>
        <v>171.47544027968078</v>
      </c>
      <c r="G31" s="47">
        <f t="shared" ca="1" si="9"/>
        <v>762870570.19354117</v>
      </c>
      <c r="H31" s="11">
        <f ca="1">+Budget!H45</f>
        <v>297663456.66999996</v>
      </c>
      <c r="I31" s="33">
        <f ca="1">+Budget!I45</f>
        <v>174155529.98339999</v>
      </c>
      <c r="J31" s="33">
        <f ca="1">+Budget!J45</f>
        <v>291051583.54014122</v>
      </c>
      <c r="L31" s="9" t="s">
        <v>57</v>
      </c>
      <c r="M31" s="9"/>
      <c r="N31" s="17"/>
      <c r="O31" s="9"/>
      <c r="P31" s="104">
        <f ca="1">+Q31/Budget!$G$10</f>
        <v>171.47544027968078</v>
      </c>
      <c r="Q31" s="47">
        <f t="shared" ca="1" si="10"/>
        <v>762870570.19354117</v>
      </c>
      <c r="R31" s="11">
        <f t="shared" ca="1" si="11"/>
        <v>297663456.66999996</v>
      </c>
      <c r="S31" s="11">
        <f t="shared" ca="1" si="11"/>
        <v>174155529.98339999</v>
      </c>
      <c r="T31" s="11">
        <f t="shared" ca="1" si="11"/>
        <v>291051583.54014122</v>
      </c>
    </row>
    <row r="32" spans="2:20" x14ac:dyDescent="0.2">
      <c r="B32" s="9" t="s">
        <v>58</v>
      </c>
      <c r="C32" s="9"/>
      <c r="D32" s="17"/>
      <c r="E32" s="9"/>
      <c r="F32" s="104">
        <f ca="1">+G32/Budget!$G$10</f>
        <v>13.7291015361454</v>
      </c>
      <c r="G32" s="47">
        <f t="shared" ca="1" si="9"/>
        <v>61078878.118298896</v>
      </c>
      <c r="H32" s="11">
        <f ca="1">+Budget!H64</f>
        <v>23373365.864354212</v>
      </c>
      <c r="I32" s="33">
        <f ca="1">+Budget!I64</f>
        <v>13380466.778895907</v>
      </c>
      <c r="J32" s="33">
        <f ca="1">+Budget!J64</f>
        <v>24325045.475048773</v>
      </c>
      <c r="L32" s="9" t="s">
        <v>58</v>
      </c>
      <c r="M32" s="9"/>
      <c r="N32" s="17"/>
      <c r="O32" s="9"/>
      <c r="P32" s="104">
        <f ca="1">+Q32/Budget!$G$10</f>
        <v>13.7291015361454</v>
      </c>
      <c r="Q32" s="47">
        <f t="shared" ca="1" si="10"/>
        <v>61078878.118298896</v>
      </c>
      <c r="R32" s="11">
        <f t="shared" ca="1" si="11"/>
        <v>23373365.864354212</v>
      </c>
      <c r="S32" s="11">
        <f t="shared" ca="1" si="11"/>
        <v>13380466.778895907</v>
      </c>
      <c r="T32" s="11">
        <f t="shared" ca="1" si="11"/>
        <v>24325045.475048773</v>
      </c>
    </row>
    <row r="33" spans="2:37" x14ac:dyDescent="0.2">
      <c r="B33" s="9" t="s">
        <v>80</v>
      </c>
      <c r="C33" s="9"/>
      <c r="D33" s="17"/>
      <c r="E33" s="9"/>
      <c r="F33" s="104">
        <f ca="1">+G33/Budget!$G$10</f>
        <v>16.191714873259198</v>
      </c>
      <c r="G33" s="47">
        <f t="shared" ca="1" si="9"/>
        <v>72034705.01447767</v>
      </c>
      <c r="H33" s="11">
        <f ca="1">+Budget!H71</f>
        <v>28165752.64513075</v>
      </c>
      <c r="I33" s="33">
        <f ca="1">+Budget!I71</f>
        <v>16056719.140378967</v>
      </c>
      <c r="J33" s="33">
        <f ca="1">+Budget!J71</f>
        <v>27812233.228967939</v>
      </c>
      <c r="L33" s="9" t="s">
        <v>80</v>
      </c>
      <c r="M33" s="9"/>
      <c r="N33" s="17"/>
      <c r="O33" s="9"/>
      <c r="P33" s="104">
        <f ca="1">+Q33/Budget!$G$10</f>
        <v>16.191714873259198</v>
      </c>
      <c r="Q33" s="47">
        <f t="shared" ca="1" si="10"/>
        <v>72034705.01447767</v>
      </c>
      <c r="R33" s="11">
        <f t="shared" ca="1" si="11"/>
        <v>28165752.64513075</v>
      </c>
      <c r="S33" s="11">
        <f t="shared" ca="1" si="11"/>
        <v>16056719.140378967</v>
      </c>
      <c r="T33" s="11">
        <f t="shared" ca="1" si="11"/>
        <v>27812233.228967939</v>
      </c>
    </row>
    <row r="34" spans="2:37" x14ac:dyDescent="0.2">
      <c r="B34" s="9" t="s">
        <v>83</v>
      </c>
      <c r="C34" s="9"/>
      <c r="D34" s="17"/>
      <c r="E34" s="9"/>
      <c r="F34" s="104">
        <f ca="1">+G34/Budget!$G$10</f>
        <v>0.44955316663002809</v>
      </c>
      <c r="G34" s="47">
        <f t="shared" ca="1" si="9"/>
        <v>2000000</v>
      </c>
      <c r="H34" s="11">
        <f ca="1">+Budget!H76</f>
        <v>764323.10105370777</v>
      </c>
      <c r="I34" s="33">
        <f ca="1">+Budget!I76</f>
        <v>444607.63224393112</v>
      </c>
      <c r="J34" s="33">
        <f ca="1">+Budget!J76</f>
        <v>791069.26670236117</v>
      </c>
      <c r="L34" s="9" t="s">
        <v>83</v>
      </c>
      <c r="M34" s="9"/>
      <c r="N34" s="17"/>
      <c r="O34" s="9"/>
      <c r="P34" s="104">
        <f ca="1">+Q34/Budget!$G$10</f>
        <v>0.44955316663002809</v>
      </c>
      <c r="Q34" s="47">
        <f t="shared" ca="1" si="10"/>
        <v>2000000</v>
      </c>
      <c r="R34" s="11">
        <f t="shared" ca="1" si="11"/>
        <v>764323.10105370777</v>
      </c>
      <c r="S34" s="11">
        <f t="shared" ca="1" si="11"/>
        <v>444607.63224393112</v>
      </c>
      <c r="T34" s="11">
        <f t="shared" ca="1" si="11"/>
        <v>791069.26670236117</v>
      </c>
    </row>
    <row r="35" spans="2:37" x14ac:dyDescent="0.2">
      <c r="B35" s="9" t="s">
        <v>60</v>
      </c>
      <c r="C35" s="9"/>
      <c r="D35" s="22"/>
      <c r="E35" s="9"/>
      <c r="F35" s="104">
        <f ca="1">+G35/Budget!$G$10</f>
        <v>6.5604171771898026</v>
      </c>
      <c r="G35" s="47">
        <f t="shared" ca="1" si="9"/>
        <v>29186390.683746979</v>
      </c>
      <c r="H35" s="11">
        <f ca="1">+Budget!H80</f>
        <v>11439613.385352328</v>
      </c>
      <c r="I35" s="33">
        <f ca="1">+Budget!I80</f>
        <v>6434952.7060475629</v>
      </c>
      <c r="J35" s="33">
        <f ca="1">+Budget!J80</f>
        <v>11311824.592347085</v>
      </c>
      <c r="L35" s="9" t="s">
        <v>60</v>
      </c>
      <c r="M35" s="9"/>
      <c r="N35" s="22"/>
      <c r="O35" s="9"/>
      <c r="P35" s="104">
        <f ca="1">+Q35/Budget!$G$10</f>
        <v>6.5604171771898026</v>
      </c>
      <c r="Q35" s="47">
        <f t="shared" ca="1" si="10"/>
        <v>29186390.683746979</v>
      </c>
      <c r="R35" s="11">
        <f t="shared" ca="1" si="11"/>
        <v>11439613.385352328</v>
      </c>
      <c r="S35" s="11">
        <f t="shared" ca="1" si="11"/>
        <v>6434952.7060475629</v>
      </c>
      <c r="T35" s="11">
        <f t="shared" ca="1" si="11"/>
        <v>11311824.592347085</v>
      </c>
    </row>
    <row r="36" spans="2:37" x14ac:dyDescent="0.2">
      <c r="B36" s="12" t="s">
        <v>97</v>
      </c>
      <c r="C36" s="12"/>
      <c r="D36" s="12"/>
      <c r="E36" s="12"/>
      <c r="F36" s="105">
        <f ca="1">+G36/Budget!$G$10</f>
        <v>229.02638725344198</v>
      </c>
      <c r="G36" s="13">
        <f t="shared" ref="G36:I36" ca="1" si="12">+SUM(G29:G35)</f>
        <v>1018906791.2491225</v>
      </c>
      <c r="H36" s="13">
        <f t="shared" ca="1" si="12"/>
        <v>399660210.56376326</v>
      </c>
      <c r="I36" s="13">
        <f t="shared" ca="1" si="12"/>
        <v>221752349.34810922</v>
      </c>
      <c r="J36" s="35">
        <f t="shared" ref="J36" ca="1" si="13">+SUM(J29:J35)</f>
        <v>397494231.33724993</v>
      </c>
      <c r="L36" s="12" t="s">
        <v>97</v>
      </c>
      <c r="M36" s="12"/>
      <c r="N36" s="12"/>
      <c r="O36" s="12"/>
      <c r="P36" s="105">
        <f ca="1">+Q36/Budget!$G$10</f>
        <v>229.02638725344198</v>
      </c>
      <c r="Q36" s="35">
        <f t="shared" ref="Q36" ca="1" si="14">+SUM(Q29:Q35)</f>
        <v>1018906791.2491225</v>
      </c>
      <c r="R36" s="13">
        <f t="shared" ref="R36:T36" ca="1" si="15">+SUM(R29:R35)</f>
        <v>399660210.56376326</v>
      </c>
      <c r="S36" s="13">
        <f ca="1">+SUM(S29:S35)</f>
        <v>221752349.34810922</v>
      </c>
      <c r="T36" s="13">
        <f t="shared" ca="1" si="15"/>
        <v>397494231.33724993</v>
      </c>
    </row>
    <row r="38" spans="2:37" x14ac:dyDescent="0.2">
      <c r="B38" s="185" t="s">
        <v>364</v>
      </c>
      <c r="C38" s="186"/>
      <c r="D38" s="186"/>
      <c r="E38" s="186"/>
      <c r="F38" s="186"/>
      <c r="G38" s="185" t="s">
        <v>17</v>
      </c>
      <c r="H38" s="187" t="str">
        <f>+H$2</f>
        <v>I</v>
      </c>
      <c r="I38" s="187" t="str">
        <f>+I$2</f>
        <v>II</v>
      </c>
      <c r="J38" s="187" t="str">
        <f>+J$2</f>
        <v>III</v>
      </c>
      <c r="K38" s="33"/>
    </row>
    <row r="39" spans="2:37" s="40" customFormat="1" x14ac:dyDescent="0.2">
      <c r="B39" s="14" t="s">
        <v>61</v>
      </c>
      <c r="C39" s="14"/>
      <c r="D39" s="179"/>
      <c r="E39" s="14"/>
      <c r="F39" s="104">
        <f ca="1">+G39/Budget!$G$10</f>
        <v>0</v>
      </c>
      <c r="G39" s="180">
        <f t="shared" ref="G39:G45" si="16">+SUM(H39:J39)</f>
        <v>0</v>
      </c>
      <c r="H39" s="181">
        <f t="shared" ref="H39:J45" si="17">+H29-H7</f>
        <v>0</v>
      </c>
      <c r="I39" s="181">
        <f t="shared" si="17"/>
        <v>0</v>
      </c>
      <c r="J39" s="181">
        <f t="shared" si="17"/>
        <v>0</v>
      </c>
      <c r="K39" s="33"/>
    </row>
    <row r="40" spans="2:37" s="40" customFormat="1" x14ac:dyDescent="0.2">
      <c r="B40" s="14" t="s">
        <v>8</v>
      </c>
      <c r="C40" s="14"/>
      <c r="D40" s="179"/>
      <c r="E40" s="14"/>
      <c r="F40" s="104">
        <f ca="1">+G40/Budget!$G$10</f>
        <v>0</v>
      </c>
      <c r="G40" s="180">
        <f t="shared" si="16"/>
        <v>0</v>
      </c>
      <c r="H40" s="181">
        <f t="shared" si="17"/>
        <v>0</v>
      </c>
      <c r="I40" s="181">
        <f t="shared" si="17"/>
        <v>0</v>
      </c>
      <c r="J40" s="181">
        <f t="shared" si="17"/>
        <v>0</v>
      </c>
      <c r="K40" s="33"/>
    </row>
    <row r="41" spans="2:37" x14ac:dyDescent="0.2">
      <c r="B41" s="14" t="s">
        <v>57</v>
      </c>
      <c r="C41" s="14"/>
      <c r="D41" s="179"/>
      <c r="E41" s="14"/>
      <c r="F41" s="104">
        <f ca="1">+G41/Budget!$G$10</f>
        <v>171.43947602635038</v>
      </c>
      <c r="G41" s="180">
        <f t="shared" ca="1" si="16"/>
        <v>762710570.19354117</v>
      </c>
      <c r="H41" s="181">
        <f t="shared" ca="1" si="17"/>
        <v>297503456.66999996</v>
      </c>
      <c r="I41" s="181">
        <f t="shared" ca="1" si="17"/>
        <v>174155529.98339999</v>
      </c>
      <c r="J41" s="181">
        <f t="shared" ca="1" si="17"/>
        <v>291051583.54014122</v>
      </c>
    </row>
    <row r="42" spans="2:37" hidden="1" outlineLevel="1" x14ac:dyDescent="0.2">
      <c r="B42" s="14" t="s">
        <v>58</v>
      </c>
      <c r="C42" s="14"/>
      <c r="D42" s="179"/>
      <c r="E42" s="14"/>
      <c r="F42" s="104">
        <f ca="1">+G42/Budget!$G$10</f>
        <v>6.0309470943176482</v>
      </c>
      <c r="G42" s="180">
        <f t="shared" ca="1" si="16"/>
        <v>26830851.351920202</v>
      </c>
      <c r="H42" s="181">
        <f t="shared" ca="1" si="17"/>
        <v>10281950.143007301</v>
      </c>
      <c r="I42" s="181">
        <f t="shared" ca="1" si="17"/>
        <v>5786759.8252077401</v>
      </c>
      <c r="J42" s="181">
        <f t="shared" ca="1" si="17"/>
        <v>10762141.38370516</v>
      </c>
    </row>
    <row r="43" spans="2:37" collapsed="1" x14ac:dyDescent="0.2">
      <c r="B43" s="14" t="s">
        <v>80</v>
      </c>
      <c r="C43" s="14"/>
      <c r="D43" s="179"/>
      <c r="E43" s="14"/>
      <c r="F43" s="104">
        <f ca="1">+G43/Budget!$G$10</f>
        <v>16.191714873259198</v>
      </c>
      <c r="G43" s="180">
        <f t="shared" ca="1" si="16"/>
        <v>72034705.01447767</v>
      </c>
      <c r="H43" s="181">
        <f t="shared" ca="1" si="17"/>
        <v>28165752.64513075</v>
      </c>
      <c r="I43" s="181">
        <f t="shared" ca="1" si="17"/>
        <v>16056719.140378967</v>
      </c>
      <c r="J43" s="181">
        <f t="shared" ca="1" si="17"/>
        <v>27812233.228967939</v>
      </c>
    </row>
    <row r="44" spans="2:37" x14ac:dyDescent="0.2">
      <c r="B44" s="14" t="s">
        <v>83</v>
      </c>
      <c r="C44" s="14"/>
      <c r="D44" s="179"/>
      <c r="E44" s="14"/>
      <c r="F44" s="104">
        <f ca="1">+G44/Budget!$G$10</f>
        <v>0.44955316663002809</v>
      </c>
      <c r="G44" s="180">
        <f t="shared" ca="1" si="16"/>
        <v>2000000</v>
      </c>
      <c r="H44" s="181">
        <f t="shared" ca="1" si="17"/>
        <v>764323.10105370777</v>
      </c>
      <c r="I44" s="181">
        <f t="shared" ca="1" si="17"/>
        <v>444607.63224393112</v>
      </c>
      <c r="J44" s="181">
        <f t="shared" ca="1" si="17"/>
        <v>791069.26670236117</v>
      </c>
    </row>
    <row r="45" spans="2:37" s="40" customFormat="1" x14ac:dyDescent="0.2">
      <c r="B45" s="14" t="s">
        <v>60</v>
      </c>
      <c r="C45" s="14"/>
      <c r="D45" s="182"/>
      <c r="E45" s="14"/>
      <c r="F45" s="104">
        <f ca="1">+G45/Budget!$G$10</f>
        <v>6.5604171771898026</v>
      </c>
      <c r="G45" s="180">
        <f t="shared" ca="1" si="16"/>
        <v>29186390.683746979</v>
      </c>
      <c r="H45" s="181">
        <f t="shared" ca="1" si="17"/>
        <v>11439613.385352328</v>
      </c>
      <c r="I45" s="181">
        <f t="shared" ca="1" si="17"/>
        <v>6434952.7060475629</v>
      </c>
      <c r="J45" s="181">
        <f t="shared" ca="1" si="17"/>
        <v>11311824.592347085</v>
      </c>
    </row>
    <row r="46" spans="2:37" x14ac:dyDescent="0.2">
      <c r="B46" s="183" t="s">
        <v>97</v>
      </c>
      <c r="C46" s="183"/>
      <c r="D46" s="183"/>
      <c r="E46" s="183"/>
      <c r="F46" s="105">
        <f ca="1">+G46/Budget!$G$10</f>
        <v>200.67210833774703</v>
      </c>
      <c r="G46" s="184">
        <f t="shared" ref="G46:I46" ca="1" si="18">+SUM(G39:G45)</f>
        <v>892762517.24368608</v>
      </c>
      <c r="H46" s="184">
        <f t="shared" ca="1" si="18"/>
        <v>348155095.94454402</v>
      </c>
      <c r="I46" s="184">
        <f t="shared" ca="1" si="18"/>
        <v>202878569.28727821</v>
      </c>
      <c r="J46" s="184">
        <f t="shared" ref="J46" ca="1" si="19">+SUM(J39:J45)</f>
        <v>341728852.01186377</v>
      </c>
      <c r="U46" s="118"/>
    </row>
    <row r="48" spans="2:37" ht="24" customHeight="1" x14ac:dyDescent="0.2">
      <c r="B48" s="9"/>
      <c r="C48" s="9"/>
      <c r="D48" s="9"/>
      <c r="E48" s="9"/>
      <c r="F48" s="9"/>
      <c r="G48" s="9"/>
      <c r="H48" s="9"/>
      <c r="I48" s="9"/>
      <c r="J48" s="9"/>
      <c r="U48" s="712"/>
      <c r="V48" s="712"/>
      <c r="W48" s="712"/>
      <c r="X48" s="1052" t="s">
        <v>659</v>
      </c>
      <c r="Y48" s="1052"/>
      <c r="Z48" s="1052"/>
      <c r="AA48" s="712"/>
      <c r="AB48" s="712"/>
      <c r="AC48" s="1052" t="s">
        <v>662</v>
      </c>
      <c r="AD48" s="1052"/>
      <c r="AE48" s="1052"/>
      <c r="AF48" s="712"/>
      <c r="AG48" s="712"/>
      <c r="AH48" s="712"/>
      <c r="AI48" s="712"/>
      <c r="AJ48" s="712"/>
      <c r="AK48" s="712"/>
    </row>
    <row r="49" spans="2:37" s="204" customFormat="1" ht="4" customHeight="1" x14ac:dyDescent="0.2">
      <c r="B49" s="552"/>
      <c r="C49" s="552"/>
      <c r="D49" s="552"/>
      <c r="E49" s="552"/>
      <c r="F49" s="552"/>
      <c r="G49" s="552"/>
      <c r="H49" s="552"/>
      <c r="I49" s="552"/>
      <c r="J49" s="552"/>
      <c r="U49" s="713"/>
      <c r="V49" s="713"/>
      <c r="W49" s="713"/>
      <c r="X49" s="714"/>
      <c r="Y49" s="714"/>
      <c r="Z49" s="714"/>
      <c r="AA49" s="713"/>
      <c r="AB49" s="713"/>
      <c r="AC49" s="714"/>
      <c r="AD49" s="714"/>
      <c r="AE49" s="714"/>
      <c r="AF49" s="713"/>
      <c r="AG49" s="713"/>
      <c r="AH49" s="713"/>
      <c r="AI49" s="713"/>
      <c r="AJ49" s="713"/>
      <c r="AK49" s="713"/>
    </row>
    <row r="50" spans="2:37" ht="24" customHeight="1" x14ac:dyDescent="0.2">
      <c r="U50" s="723" t="s">
        <v>658</v>
      </c>
      <c r="V50" s="724"/>
      <c r="W50" s="725" t="s">
        <v>17</v>
      </c>
      <c r="X50" s="726" t="s">
        <v>21</v>
      </c>
      <c r="Y50" s="726" t="s">
        <v>375</v>
      </c>
      <c r="Z50" s="726" t="s">
        <v>378</v>
      </c>
      <c r="AA50" s="712"/>
      <c r="AB50" s="725" t="s">
        <v>17</v>
      </c>
      <c r="AC50" s="726" t="str">
        <f>+X50</f>
        <v>Phase I</v>
      </c>
      <c r="AD50" s="726" t="str">
        <f>+Y50</f>
        <v>Phase II</v>
      </c>
      <c r="AE50" s="726" t="str">
        <f>+Z50</f>
        <v>Phase III</v>
      </c>
      <c r="AF50" s="712"/>
      <c r="AG50" s="727" t="s">
        <v>657</v>
      </c>
      <c r="AH50" s="727" t="s">
        <v>17</v>
      </c>
      <c r="AI50" s="726" t="str">
        <f>+X50</f>
        <v>Phase I</v>
      </c>
      <c r="AJ50" s="726" t="str">
        <f>+Y50</f>
        <v>Phase II</v>
      </c>
      <c r="AK50" s="726" t="str">
        <f>+Z50</f>
        <v>Phase III</v>
      </c>
    </row>
    <row r="51" spans="2:37" ht="24" customHeight="1" x14ac:dyDescent="0.2">
      <c r="U51" s="715" t="s">
        <v>660</v>
      </c>
      <c r="V51" s="715"/>
      <c r="W51" s="716">
        <f ca="1">+SUM(X51:Z51)</f>
        <v>611.34407474947341</v>
      </c>
      <c r="X51" s="717">
        <f ca="1">+H17/1000000</f>
        <v>239.79612633825795</v>
      </c>
      <c r="Y51" s="717">
        <f ca="1">+I17/1000000</f>
        <v>133.05140960886553</v>
      </c>
      <c r="Z51" s="717">
        <f ca="1">+J17/1000000</f>
        <v>238.49653880234999</v>
      </c>
      <c r="AA51" s="718"/>
      <c r="AB51" s="716">
        <f t="shared" ref="AB51" ca="1" si="20">+SUM(AC51:AE51)</f>
        <v>570.10449368010165</v>
      </c>
      <c r="AC51" s="717">
        <f t="shared" ref="AC51:AE54" ca="1" si="21">+R17/1000000</f>
        <v>213.27554218726223</v>
      </c>
      <c r="AD51" s="717">
        <f t="shared" ca="1" si="21"/>
        <v>119.13101436018542</v>
      </c>
      <c r="AE51" s="717">
        <f t="shared" ca="1" si="21"/>
        <v>237.69793713265392</v>
      </c>
      <c r="AF51" s="712"/>
      <c r="AG51" s="715" t="s">
        <v>64</v>
      </c>
      <c r="AH51" s="716">
        <f t="shared" ref="AH51:AK57" si="22">+G29/1000000</f>
        <v>16.840711107142859</v>
      </c>
      <c r="AI51" s="717">
        <f t="shared" si="22"/>
        <v>6.9001510000000001</v>
      </c>
      <c r="AJ51" s="717">
        <f t="shared" si="22"/>
        <v>0.8189731071428572</v>
      </c>
      <c r="AK51" s="717">
        <f t="shared" si="22"/>
        <v>9.1215869999999999</v>
      </c>
    </row>
    <row r="52" spans="2:37" s="40" customFormat="1" ht="24" customHeight="1" x14ac:dyDescent="0.2">
      <c r="U52" s="719" t="s">
        <v>663</v>
      </c>
      <c r="V52" s="719"/>
      <c r="W52" s="720">
        <f t="shared" ref="W52:W53" si="23">+SUM(X52:Z52)</f>
        <v>0</v>
      </c>
      <c r="X52" s="721">
        <v>0</v>
      </c>
      <c r="Y52" s="721">
        <v>0</v>
      </c>
      <c r="Z52" s="721">
        <v>0</v>
      </c>
      <c r="AA52" s="718"/>
      <c r="AB52" s="720">
        <f t="shared" ref="AB52:AB58" ca="1" si="24">+SUM(AC52:AE52)</f>
        <v>106.15632872090534</v>
      </c>
      <c r="AC52" s="722">
        <f t="shared" ca="1" si="21"/>
        <v>61.492153068216204</v>
      </c>
      <c r="AD52" s="722">
        <f t="shared" ca="1" si="21"/>
        <v>38.593085568527727</v>
      </c>
      <c r="AE52" s="722">
        <f t="shared" ca="1" si="21"/>
        <v>6.0710900841614119</v>
      </c>
      <c r="AF52" s="712"/>
      <c r="AG52" s="719" t="s">
        <v>665</v>
      </c>
      <c r="AH52" s="720">
        <f t="shared" si="22"/>
        <v>74.895536131914895</v>
      </c>
      <c r="AI52" s="722">
        <f t="shared" si="22"/>
        <v>31.353547897872343</v>
      </c>
      <c r="AJ52" s="722">
        <f t="shared" si="22"/>
        <v>10.4611</v>
      </c>
      <c r="AK52" s="722">
        <f t="shared" si="22"/>
        <v>33.080888234042554</v>
      </c>
    </row>
    <row r="53" spans="2:37" s="40" customFormat="1" ht="24" customHeight="1" x14ac:dyDescent="0.2">
      <c r="U53" s="715" t="s">
        <v>664</v>
      </c>
      <c r="V53" s="715"/>
      <c r="W53" s="716">
        <f t="shared" si="23"/>
        <v>0</v>
      </c>
      <c r="X53" s="717">
        <v>0</v>
      </c>
      <c r="Y53" s="717">
        <v>0</v>
      </c>
      <c r="Z53" s="717">
        <v>0</v>
      </c>
      <c r="AA53" s="718"/>
      <c r="AB53" s="716">
        <f t="shared" ca="1" si="24"/>
        <v>39.065366330291461</v>
      </c>
      <c r="AC53" s="717">
        <f t="shared" ca="1" si="21"/>
        <v>1.5381818181818187E-10</v>
      </c>
      <c r="AD53" s="717">
        <f t="shared" ca="1" si="21"/>
        <v>1.6003243636363635E-10</v>
      </c>
      <c r="AE53" s="717">
        <f t="shared" ca="1" si="21"/>
        <v>39.065366329977607</v>
      </c>
      <c r="AF53" s="712"/>
      <c r="AG53" s="715" t="s">
        <v>57</v>
      </c>
      <c r="AH53" s="716">
        <f t="shared" ca="1" si="22"/>
        <v>762.8705701935412</v>
      </c>
      <c r="AI53" s="717">
        <f t="shared" ca="1" si="22"/>
        <v>297.66345666999996</v>
      </c>
      <c r="AJ53" s="717">
        <f t="shared" ca="1" si="22"/>
        <v>174.15552998339999</v>
      </c>
      <c r="AK53" s="717">
        <f t="shared" ca="1" si="22"/>
        <v>291.05158354014122</v>
      </c>
    </row>
    <row r="54" spans="2:37" ht="24" customHeight="1" x14ac:dyDescent="0.2">
      <c r="U54" s="719" t="s">
        <v>98</v>
      </c>
      <c r="V54" s="719"/>
      <c r="W54" s="720">
        <f t="shared" ref="W54:W58" ca="1" si="25">+SUM(X54:Z54)</f>
        <v>182.04891648680319</v>
      </c>
      <c r="X54" s="721">
        <f ca="1">+H18/1000000</f>
        <v>74.189767741794824</v>
      </c>
      <c r="Y54" s="721">
        <f ca="1">+I18/1000000</f>
        <v>43.58491215874799</v>
      </c>
      <c r="Z54" s="721">
        <f ca="1">+J18/1000000</f>
        <v>64.274236586260386</v>
      </c>
      <c r="AA54" s="712"/>
      <c r="AB54" s="720">
        <f t="shared" ca="1" si="24"/>
        <v>182.04891648680319</v>
      </c>
      <c r="AC54" s="722">
        <f t="shared" ca="1" si="21"/>
        <v>74.189767741794824</v>
      </c>
      <c r="AD54" s="722">
        <f t="shared" ca="1" si="21"/>
        <v>43.58491215874799</v>
      </c>
      <c r="AE54" s="722">
        <f t="shared" ca="1" si="21"/>
        <v>64.274236586260386</v>
      </c>
      <c r="AF54" s="712"/>
      <c r="AG54" s="719" t="s">
        <v>58</v>
      </c>
      <c r="AH54" s="720">
        <f t="shared" ca="1" si="22"/>
        <v>61.078878118298896</v>
      </c>
      <c r="AI54" s="722">
        <f t="shared" ca="1" si="22"/>
        <v>23.373365864354213</v>
      </c>
      <c r="AJ54" s="722">
        <f t="shared" ca="1" si="22"/>
        <v>13.380466778895908</v>
      </c>
      <c r="AK54" s="722">
        <f t="shared" ca="1" si="22"/>
        <v>24.325045475048771</v>
      </c>
    </row>
    <row r="55" spans="2:37" ht="24" customHeight="1" x14ac:dyDescent="0.2">
      <c r="U55" s="715" t="s">
        <v>99</v>
      </c>
      <c r="V55" s="715"/>
      <c r="W55" s="716">
        <f t="shared" si="25"/>
        <v>32.172132924260453</v>
      </c>
      <c r="X55" s="717">
        <f t="shared" ref="X55:Z58" si="26">+H20/1000000</f>
        <v>12.714766389964083</v>
      </c>
      <c r="Y55" s="717">
        <f t="shared" si="26"/>
        <v>8.8323397304545477</v>
      </c>
      <c r="Z55" s="717">
        <f t="shared" si="26"/>
        <v>10.625026803841823</v>
      </c>
      <c r="AA55" s="718"/>
      <c r="AB55" s="716">
        <f t="shared" si="24"/>
        <v>32.172132924260453</v>
      </c>
      <c r="AC55" s="717">
        <f t="shared" ref="AC55:AE58" si="27">+R22/1000000</f>
        <v>12.714766389964083</v>
      </c>
      <c r="AD55" s="717">
        <f t="shared" si="27"/>
        <v>8.8323397304545477</v>
      </c>
      <c r="AE55" s="717">
        <f t="shared" si="27"/>
        <v>10.625026803841823</v>
      </c>
      <c r="AF55" s="712"/>
      <c r="AG55" s="715" t="s">
        <v>151</v>
      </c>
      <c r="AH55" s="716">
        <f t="shared" ca="1" si="22"/>
        <v>72.034705014477666</v>
      </c>
      <c r="AI55" s="717">
        <f t="shared" ca="1" si="22"/>
        <v>28.165752645130748</v>
      </c>
      <c r="AJ55" s="717">
        <f t="shared" ca="1" si="22"/>
        <v>16.056719140378966</v>
      </c>
      <c r="AK55" s="717">
        <f t="shared" ca="1" si="22"/>
        <v>27.812233228967937</v>
      </c>
    </row>
    <row r="56" spans="2:37" ht="24" customHeight="1" x14ac:dyDescent="0.2">
      <c r="U56" s="719" t="s">
        <v>100</v>
      </c>
      <c r="V56" s="719"/>
      <c r="W56" s="720">
        <f t="shared" si="25"/>
        <v>11.0760000000624</v>
      </c>
      <c r="X56" s="721">
        <f t="shared" si="26"/>
        <v>5.5380000000000003</v>
      </c>
      <c r="Y56" s="721">
        <f t="shared" si="26"/>
        <v>6.2400000000000012E-11</v>
      </c>
      <c r="Z56" s="721">
        <f t="shared" si="26"/>
        <v>5.5380000000000003</v>
      </c>
      <c r="AA56" s="712"/>
      <c r="AB56" s="720">
        <f t="shared" si="24"/>
        <v>11.0760000000624</v>
      </c>
      <c r="AC56" s="722">
        <f t="shared" si="27"/>
        <v>5.5380000000000003</v>
      </c>
      <c r="AD56" s="722">
        <f t="shared" si="27"/>
        <v>6.2400000000000012E-11</v>
      </c>
      <c r="AE56" s="722">
        <f t="shared" si="27"/>
        <v>5.5380000000000003</v>
      </c>
      <c r="AF56" s="712"/>
      <c r="AG56" s="719" t="s">
        <v>83</v>
      </c>
      <c r="AH56" s="720">
        <f t="shared" ca="1" si="22"/>
        <v>2</v>
      </c>
      <c r="AI56" s="722">
        <f t="shared" ca="1" si="22"/>
        <v>0.76432310105370782</v>
      </c>
      <c r="AJ56" s="722">
        <f t="shared" ca="1" si="22"/>
        <v>0.44460763224393113</v>
      </c>
      <c r="AK56" s="722">
        <f t="shared" ca="1" si="22"/>
        <v>0.79106926670236122</v>
      </c>
    </row>
    <row r="57" spans="2:37" ht="24" customHeight="1" x14ac:dyDescent="0.2">
      <c r="U57" s="715" t="s">
        <v>613</v>
      </c>
      <c r="V57" s="715"/>
      <c r="W57" s="716">
        <f t="shared" ca="1" si="25"/>
        <v>3.2563307674772362</v>
      </c>
      <c r="X57" s="717">
        <f t="shared" ca="1" si="26"/>
        <v>3.2563307674772362</v>
      </c>
      <c r="Y57" s="717">
        <f t="shared" si="26"/>
        <v>0</v>
      </c>
      <c r="Z57" s="717">
        <f t="shared" si="26"/>
        <v>0</v>
      </c>
      <c r="AA57" s="718"/>
      <c r="AB57" s="716">
        <f t="shared" ca="1" si="24"/>
        <v>3.2563307674772362</v>
      </c>
      <c r="AC57" s="717">
        <f t="shared" ca="1" si="27"/>
        <v>3.2563307674772362</v>
      </c>
      <c r="AD57" s="717">
        <f t="shared" si="27"/>
        <v>0</v>
      </c>
      <c r="AE57" s="717">
        <f t="shared" si="27"/>
        <v>0</v>
      </c>
      <c r="AF57" s="712"/>
      <c r="AG57" s="715" t="s">
        <v>60</v>
      </c>
      <c r="AH57" s="716">
        <f t="shared" ca="1" si="22"/>
        <v>29.186390683746978</v>
      </c>
      <c r="AI57" s="717">
        <f t="shared" ca="1" si="22"/>
        <v>11.439613385352329</v>
      </c>
      <c r="AJ57" s="717">
        <f t="shared" ca="1" si="22"/>
        <v>6.4349527060475626</v>
      </c>
      <c r="AK57" s="717">
        <f t="shared" ca="1" si="22"/>
        <v>11.311824592347085</v>
      </c>
    </row>
    <row r="58" spans="2:37" ht="24" customHeight="1" x14ac:dyDescent="0.2">
      <c r="U58" s="719" t="s">
        <v>661</v>
      </c>
      <c r="V58" s="719"/>
      <c r="W58" s="720">
        <f t="shared" ca="1" si="25"/>
        <v>179.00933632104568</v>
      </c>
      <c r="X58" s="721">
        <f t="shared" ca="1" si="26"/>
        <v>64.165219326269209</v>
      </c>
      <c r="Y58" s="721">
        <f t="shared" ca="1" si="26"/>
        <v>36.283687849978747</v>
      </c>
      <c r="Z58" s="721">
        <f t="shared" ca="1" si="26"/>
        <v>78.560429144797737</v>
      </c>
      <c r="AA58" s="712"/>
      <c r="AB58" s="720">
        <f t="shared" ca="1" si="24"/>
        <v>75.0272223392206</v>
      </c>
      <c r="AC58" s="722">
        <f t="shared" ca="1" si="27"/>
        <v>29.193650408894836</v>
      </c>
      <c r="AD58" s="722">
        <f t="shared" ca="1" si="27"/>
        <v>11.610997529971092</v>
      </c>
      <c r="AE58" s="722">
        <f t="shared" ca="1" si="27"/>
        <v>34.222574400354802</v>
      </c>
      <c r="AF58" s="712"/>
      <c r="AG58" s="712"/>
      <c r="AH58" s="712"/>
      <c r="AI58" s="712"/>
      <c r="AJ58" s="712"/>
      <c r="AK58" s="712"/>
    </row>
    <row r="59" spans="2:37" ht="24" customHeight="1" x14ac:dyDescent="0.2">
      <c r="U59" s="728" t="s">
        <v>96</v>
      </c>
      <c r="V59" s="728"/>
      <c r="W59" s="729">
        <f ca="1">+SUM(W51:W58)</f>
        <v>1018.9067912491225</v>
      </c>
      <c r="X59" s="730">
        <f ca="1">+SUM(X51:X58)</f>
        <v>399.66021056376331</v>
      </c>
      <c r="Y59" s="730">
        <f ca="1">+SUM(Y51:Y58)</f>
        <v>221.75234934810922</v>
      </c>
      <c r="Z59" s="730">
        <f ca="1">+SUM(Z51:Z58)</f>
        <v>397.49423133724997</v>
      </c>
      <c r="AA59" s="712"/>
      <c r="AB59" s="729">
        <f ca="1">+SUM(AB51:AB58)</f>
        <v>1018.9067912491225</v>
      </c>
      <c r="AC59" s="730">
        <f ca="1">+SUM(AC51:AC58)</f>
        <v>399.6602105637632</v>
      </c>
      <c r="AD59" s="730">
        <f ca="1">+SUM(AD51:AD58)</f>
        <v>221.75234934810922</v>
      </c>
      <c r="AE59" s="730">
        <f ca="1">+SUM(AE51:AE58)</f>
        <v>397.49423133724997</v>
      </c>
      <c r="AF59" s="712"/>
      <c r="AG59" s="728" t="s">
        <v>97</v>
      </c>
      <c r="AH59" s="729">
        <f ca="1">+SUM(AH51:AH57)</f>
        <v>1018.9067912491225</v>
      </c>
      <c r="AI59" s="730">
        <f ca="1">+SUM(AI51:AI57)</f>
        <v>399.66021056376337</v>
      </c>
      <c r="AJ59" s="730">
        <f ca="1">+SUM(AJ51:AJ57)</f>
        <v>221.75234934810922</v>
      </c>
      <c r="AK59" s="730">
        <f ca="1">+SUM(AK51:AK57)</f>
        <v>397.49423133724997</v>
      </c>
    </row>
    <row r="60" spans="2:37" x14ac:dyDescent="0.2">
      <c r="AA60" s="40"/>
      <c r="AB60" s="40"/>
      <c r="AC60" s="40"/>
      <c r="AD60" s="40"/>
      <c r="AE60" s="40"/>
      <c r="AF60" s="40"/>
      <c r="AG60" s="40"/>
    </row>
    <row r="61" spans="2:37" x14ac:dyDescent="0.2">
      <c r="AA61" s="40"/>
      <c r="AH61" s="40"/>
    </row>
    <row r="62" spans="2:37" x14ac:dyDescent="0.2">
      <c r="AA62" s="40"/>
      <c r="AH62" s="40"/>
    </row>
    <row r="63" spans="2:37" x14ac:dyDescent="0.2">
      <c r="AA63" s="40"/>
      <c r="AH63" s="40"/>
    </row>
    <row r="64" spans="2:37" x14ac:dyDescent="0.2">
      <c r="AA64" s="40"/>
      <c r="AH64" s="40"/>
    </row>
    <row r="65" spans="27:34" x14ac:dyDescent="0.2">
      <c r="AA65" s="40"/>
      <c r="AC65" s="40"/>
      <c r="AD65" s="40"/>
      <c r="AE65" s="40"/>
      <c r="AF65" s="40"/>
      <c r="AG65" s="40"/>
      <c r="AH65" s="40"/>
    </row>
    <row r="66" spans="27:34" x14ac:dyDescent="0.2">
      <c r="AA66" s="40"/>
      <c r="AC66" s="40"/>
      <c r="AD66" s="40"/>
      <c r="AE66" s="40"/>
      <c r="AF66" s="40"/>
      <c r="AG66" s="40"/>
      <c r="AH66" s="40"/>
    </row>
    <row r="67" spans="27:34" x14ac:dyDescent="0.2">
      <c r="AA67" s="40"/>
      <c r="AC67" s="40"/>
      <c r="AD67" s="40"/>
      <c r="AE67" s="40"/>
      <c r="AF67" s="40"/>
      <c r="AG67" s="40"/>
      <c r="AH67" s="40"/>
    </row>
    <row r="68" spans="27:34" x14ac:dyDescent="0.2">
      <c r="AA68" s="40"/>
      <c r="AC68" s="40"/>
      <c r="AD68" s="40"/>
      <c r="AE68" s="40"/>
      <c r="AF68" s="40"/>
      <c r="AG68" s="40"/>
      <c r="AH68" s="40"/>
    </row>
    <row r="69" spans="27:34" x14ac:dyDescent="0.2">
      <c r="AA69" s="40"/>
      <c r="AC69" s="40"/>
      <c r="AD69" s="40"/>
      <c r="AE69" s="40"/>
      <c r="AF69" s="40"/>
      <c r="AG69" s="40"/>
      <c r="AH69" s="40"/>
    </row>
    <row r="70" spans="27:34" x14ac:dyDescent="0.2">
      <c r="AB70" s="40"/>
      <c r="AC70" s="40"/>
      <c r="AD70" s="40"/>
      <c r="AE70" s="40"/>
      <c r="AF70" s="40"/>
      <c r="AG70" s="40"/>
      <c r="AH70" s="40"/>
    </row>
    <row r="71" spans="27:34" x14ac:dyDescent="0.2">
      <c r="AB71" s="40"/>
      <c r="AC71" s="40"/>
      <c r="AD71" s="40"/>
      <c r="AE71" s="40"/>
      <c r="AF71" s="40"/>
      <c r="AG71" s="40"/>
      <c r="AH71" s="40"/>
    </row>
    <row r="72" spans="27:34" x14ac:dyDescent="0.2">
      <c r="AB72" s="40"/>
      <c r="AC72" s="40"/>
      <c r="AD72" s="40"/>
      <c r="AE72" s="40"/>
      <c r="AF72" s="40"/>
      <c r="AG72" s="40"/>
      <c r="AH72" s="40"/>
    </row>
    <row r="73" spans="27:34" x14ac:dyDescent="0.2">
      <c r="AC73" s="40"/>
      <c r="AD73" s="40"/>
      <c r="AE73" s="40"/>
      <c r="AF73" s="40"/>
      <c r="AG73" s="40"/>
      <c r="AH73" s="40"/>
    </row>
    <row r="74" spans="27:34" x14ac:dyDescent="0.2">
      <c r="AC74" s="40"/>
      <c r="AD74" s="40"/>
      <c r="AE74" s="40"/>
      <c r="AF74" s="40"/>
      <c r="AG74" s="40"/>
      <c r="AH74" s="40"/>
    </row>
    <row r="75" spans="27:34" x14ac:dyDescent="0.2">
      <c r="AC75" s="40"/>
      <c r="AD75" s="40"/>
      <c r="AE75" s="40"/>
      <c r="AF75" s="40"/>
      <c r="AG75" s="40"/>
      <c r="AH75" s="40"/>
    </row>
    <row r="76" spans="27:34" x14ac:dyDescent="0.2">
      <c r="AC76" s="40"/>
      <c r="AD76" s="40"/>
      <c r="AE76" s="40"/>
      <c r="AF76" s="40"/>
      <c r="AG76" s="40"/>
      <c r="AH76" s="40"/>
    </row>
    <row r="77" spans="27:34" x14ac:dyDescent="0.2">
      <c r="AC77" s="40"/>
      <c r="AD77" s="40"/>
      <c r="AE77" s="40"/>
      <c r="AF77" s="40"/>
      <c r="AG77" s="40"/>
      <c r="AH77" s="40"/>
    </row>
    <row r="78" spans="27:34" x14ac:dyDescent="0.2">
      <c r="AC78" s="40"/>
      <c r="AD78" s="40"/>
      <c r="AE78" s="40"/>
      <c r="AF78" s="40"/>
      <c r="AG78" s="40"/>
      <c r="AH78" s="40"/>
    </row>
    <row r="79" spans="27:34" x14ac:dyDescent="0.2">
      <c r="AC79" s="40"/>
      <c r="AD79" s="40"/>
      <c r="AE79" s="40"/>
      <c r="AF79" s="40"/>
      <c r="AG79" s="40"/>
      <c r="AH79" s="40"/>
    </row>
    <row r="80" spans="27:34" x14ac:dyDescent="0.2">
      <c r="AC80" s="40"/>
      <c r="AD80" s="40"/>
      <c r="AE80" s="40"/>
      <c r="AF80" s="40"/>
      <c r="AG80" s="40"/>
      <c r="AH80" s="40"/>
    </row>
  </sheetData>
  <mergeCells count="2">
    <mergeCell ref="X48:Z48"/>
    <mergeCell ref="AC48:AE48"/>
  </mergeCells>
  <phoneticPr fontId="62" type="noConversion"/>
  <pageMargins left="0.7" right="0.7" top="0.75" bottom="0.75" header="0.3" footer="0.3"/>
  <pageSetup scale="25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1:BC96"/>
  <sheetViews>
    <sheetView showGridLines="0" topLeftCell="A74" zoomScale="55" zoomScaleNormal="55" workbookViewId="0">
      <selection activeCell="B22" sqref="B22:J83"/>
    </sheetView>
  </sheetViews>
  <sheetFormatPr baseColWidth="10" defaultColWidth="16.5" defaultRowHeight="16" outlineLevelCol="1" x14ac:dyDescent="0.2"/>
  <cols>
    <col min="1" max="2" width="12.5" style="18" customWidth="1"/>
    <col min="3" max="3" width="44.5" style="18" customWidth="1"/>
    <col min="4" max="5" width="12.5" style="18" customWidth="1" outlineLevel="1"/>
    <col min="6" max="6" width="14.5" style="18" bestFit="1" customWidth="1"/>
    <col min="7" max="7" width="22.1640625" style="18" bestFit="1" customWidth="1"/>
    <col min="8" max="8" width="17.1640625" style="18" customWidth="1"/>
    <col min="9" max="10" width="16.83203125" style="18" bestFit="1" customWidth="1"/>
    <col min="11" max="11" width="13.5" style="18" bestFit="1" customWidth="1"/>
    <col min="12" max="12" width="15.5" style="40" bestFit="1" customWidth="1"/>
    <col min="13" max="21" width="24.5" style="18" customWidth="1"/>
    <col min="22" max="23" width="12.5" style="18" customWidth="1"/>
    <col min="24" max="24" width="17.1640625" style="18" customWidth="1"/>
    <col min="25" max="16384" width="16.5" style="18"/>
  </cols>
  <sheetData>
    <row r="1" spans="1:55" s="40" customFormat="1" x14ac:dyDescent="0.2"/>
    <row r="2" spans="1:55" s="40" customFormat="1" x14ac:dyDescent="0.2">
      <c r="M2" s="1053" t="s">
        <v>735</v>
      </c>
      <c r="N2" s="1053"/>
      <c r="O2" s="1053"/>
      <c r="P2" s="1053"/>
      <c r="Q2" s="1053"/>
      <c r="R2" s="1053"/>
      <c r="S2" s="1053"/>
      <c r="T2" s="1053"/>
      <c r="U2" s="1053"/>
      <c r="Y2" s="1053" t="s">
        <v>736</v>
      </c>
      <c r="Z2" s="1053"/>
      <c r="AA2" s="1053"/>
      <c r="AB2" s="1053"/>
      <c r="AC2" s="1053"/>
      <c r="AD2" s="1053"/>
      <c r="AE2" s="1053"/>
      <c r="AF2" s="1053"/>
      <c r="AG2" s="1053"/>
      <c r="AJ2" s="1053" t="s">
        <v>741</v>
      </c>
      <c r="AK2" s="1053"/>
      <c r="AL2" s="1053"/>
      <c r="AM2" s="1053"/>
      <c r="AN2" s="1053"/>
      <c r="AO2" s="1053"/>
      <c r="AP2" s="1053"/>
      <c r="AQ2" s="1053"/>
      <c r="AR2" s="1053"/>
      <c r="AU2" s="1053" t="s">
        <v>742</v>
      </c>
      <c r="AV2" s="1053"/>
      <c r="AW2" s="1053"/>
      <c r="AX2" s="1053"/>
      <c r="AY2" s="1053"/>
      <c r="AZ2" s="1053"/>
      <c r="BA2" s="1053"/>
      <c r="BB2" s="1053"/>
      <c r="BC2" s="1053"/>
    </row>
    <row r="3" spans="1:55" s="40" customFormat="1" ht="25" x14ac:dyDescent="0.25">
      <c r="A3" s="200"/>
      <c r="M3" s="145">
        <v>0</v>
      </c>
      <c r="N3" s="145">
        <f>+M3+1</f>
        <v>1</v>
      </c>
      <c r="O3" s="145">
        <f t="shared" ref="O3:U3" si="0">+N3+1</f>
        <v>2</v>
      </c>
      <c r="P3" s="145">
        <f t="shared" si="0"/>
        <v>3</v>
      </c>
      <c r="Q3" s="145">
        <f t="shared" si="0"/>
        <v>4</v>
      </c>
      <c r="R3" s="145">
        <f t="shared" si="0"/>
        <v>5</v>
      </c>
      <c r="S3" s="145">
        <f t="shared" si="0"/>
        <v>6</v>
      </c>
      <c r="T3" s="145">
        <f t="shared" si="0"/>
        <v>7</v>
      </c>
      <c r="U3" s="145">
        <f t="shared" si="0"/>
        <v>8</v>
      </c>
      <c r="Y3" s="145">
        <v>0</v>
      </c>
      <c r="Z3" s="145">
        <f>+Y3+1</f>
        <v>1</v>
      </c>
      <c r="AA3" s="145">
        <f t="shared" ref="AA3" si="1">+Z3+1</f>
        <v>2</v>
      </c>
      <c r="AB3" s="145">
        <f t="shared" ref="AB3" si="2">+AA3+1</f>
        <v>3</v>
      </c>
      <c r="AC3" s="145">
        <f t="shared" ref="AC3" si="3">+AB3+1</f>
        <v>4</v>
      </c>
      <c r="AD3" s="145">
        <f t="shared" ref="AD3" si="4">+AC3+1</f>
        <v>5</v>
      </c>
      <c r="AE3" s="145">
        <f t="shared" ref="AE3" si="5">+AD3+1</f>
        <v>6</v>
      </c>
      <c r="AF3" s="145">
        <f t="shared" ref="AF3" si="6">+AE3+1</f>
        <v>7</v>
      </c>
      <c r="AG3" s="145">
        <f t="shared" ref="AG3" si="7">+AF3+1</f>
        <v>8</v>
      </c>
      <c r="AJ3" s="145">
        <v>0</v>
      </c>
      <c r="AK3" s="145">
        <f>+AJ3+1</f>
        <v>1</v>
      </c>
      <c r="AL3" s="145">
        <f t="shared" ref="AL3" si="8">+AK3+1</f>
        <v>2</v>
      </c>
      <c r="AM3" s="145">
        <f t="shared" ref="AM3" si="9">+AL3+1</f>
        <v>3</v>
      </c>
      <c r="AN3" s="145">
        <f t="shared" ref="AN3" si="10">+AM3+1</f>
        <v>4</v>
      </c>
      <c r="AO3" s="145">
        <f t="shared" ref="AO3" si="11">+AN3+1</f>
        <v>5</v>
      </c>
      <c r="AP3" s="145">
        <f t="shared" ref="AP3" si="12">+AO3+1</f>
        <v>6</v>
      </c>
      <c r="AQ3" s="145">
        <f t="shared" ref="AQ3" si="13">+AP3+1</f>
        <v>7</v>
      </c>
      <c r="AR3" s="145">
        <f t="shared" ref="AR3" si="14">+AQ3+1</f>
        <v>8</v>
      </c>
      <c r="AU3" s="145">
        <v>0</v>
      </c>
      <c r="AV3" s="145">
        <f>+AU3+1</f>
        <v>1</v>
      </c>
      <c r="AW3" s="145">
        <f t="shared" ref="AW3" si="15">+AV3+1</f>
        <v>2</v>
      </c>
      <c r="AX3" s="145">
        <f t="shared" ref="AX3" si="16">+AW3+1</f>
        <v>3</v>
      </c>
      <c r="AY3" s="145">
        <f t="shared" ref="AY3" si="17">+AX3+1</f>
        <v>4</v>
      </c>
      <c r="AZ3" s="145">
        <f t="shared" ref="AZ3" si="18">+AY3+1</f>
        <v>5</v>
      </c>
      <c r="BA3" s="145">
        <f t="shared" ref="BA3" si="19">+AZ3+1</f>
        <v>6</v>
      </c>
      <c r="BB3" s="145">
        <f t="shared" ref="BB3" si="20">+BA3+1</f>
        <v>7</v>
      </c>
      <c r="BC3" s="145">
        <f t="shared" ref="BC3" si="21">+BB3+1</f>
        <v>8</v>
      </c>
    </row>
    <row r="4" spans="1:55" s="40" customFormat="1" ht="32.25" customHeight="1" x14ac:dyDescent="0.2">
      <c r="B4" s="30" t="s">
        <v>223</v>
      </c>
      <c r="C4" s="31"/>
      <c r="D4" s="37"/>
      <c r="E4" s="37"/>
      <c r="F4" s="31"/>
      <c r="G4" s="30" t="s">
        <v>17</v>
      </c>
      <c r="H4" s="126" t="str">
        <f>+'Assumptions and Sensis'!F$42</f>
        <v>I</v>
      </c>
      <c r="I4" s="126" t="str">
        <f>+'Assumptions and Sensis'!G$42</f>
        <v>II</v>
      </c>
      <c r="J4" s="126" t="str">
        <f>+'Assumptions and Sensis'!H$42</f>
        <v>III</v>
      </c>
      <c r="L4" s="208" t="s">
        <v>242</v>
      </c>
      <c r="M4" s="208" t="str">
        <f ca="1">+OFFSET($B$11,M3,0)</f>
        <v>Affordable Residential</v>
      </c>
      <c r="N4" s="208" t="str">
        <f t="shared" ref="N4:U4" ca="1" si="22">+OFFSET($B$11,N3,0)</f>
        <v>Market Rate and WF Residential</v>
      </c>
      <c r="O4" s="208" t="str">
        <f t="shared" ca="1" si="22"/>
        <v>Retail</v>
      </c>
      <c r="P4" s="208" t="str">
        <f t="shared" ca="1" si="22"/>
        <v>Hotel</v>
      </c>
      <c r="Q4" s="208" t="str">
        <f t="shared" ca="1" si="22"/>
        <v>Community Facility</v>
      </c>
      <c r="R4" s="208" t="str">
        <f t="shared" ca="1" si="22"/>
        <v>Office</v>
      </c>
      <c r="S4" s="208" t="str">
        <f t="shared" ca="1" si="22"/>
        <v>Industrial</v>
      </c>
      <c r="T4" s="208" t="str">
        <f t="shared" ca="1" si="22"/>
        <v>Structural Parking</v>
      </c>
      <c r="U4" s="208" t="str">
        <f t="shared" ca="1" si="22"/>
        <v>Surface Parking</v>
      </c>
      <c r="X4" s="208" t="s">
        <v>242</v>
      </c>
      <c r="Y4" s="208" t="str">
        <f ca="1">+OFFSET($B$11,Y3,0)</f>
        <v>Affordable Residential</v>
      </c>
      <c r="Z4" s="208" t="str">
        <f t="shared" ref="Z4:AG4" ca="1" si="23">+OFFSET($B$11,Z3,0)</f>
        <v>Market Rate and WF Residential</v>
      </c>
      <c r="AA4" s="208" t="str">
        <f t="shared" ca="1" si="23"/>
        <v>Retail</v>
      </c>
      <c r="AB4" s="208" t="str">
        <f t="shared" ca="1" si="23"/>
        <v>Hotel</v>
      </c>
      <c r="AC4" s="208" t="str">
        <f t="shared" ca="1" si="23"/>
        <v>Community Facility</v>
      </c>
      <c r="AD4" s="208" t="str">
        <f t="shared" ca="1" si="23"/>
        <v>Office</v>
      </c>
      <c r="AE4" s="208" t="str">
        <f t="shared" ca="1" si="23"/>
        <v>Industrial</v>
      </c>
      <c r="AF4" s="208" t="str">
        <f t="shared" ca="1" si="23"/>
        <v>Structural Parking</v>
      </c>
      <c r="AG4" s="208" t="str">
        <f t="shared" ca="1" si="23"/>
        <v>Surface Parking</v>
      </c>
      <c r="AI4" s="208" t="s">
        <v>242</v>
      </c>
      <c r="AJ4" s="208" t="str">
        <f ca="1">+OFFSET($B$11,AJ3,0)</f>
        <v>Affordable Residential</v>
      </c>
      <c r="AK4" s="208" t="str">
        <f t="shared" ref="AK4:AR4" ca="1" si="24">+OFFSET($B$11,AK3,0)</f>
        <v>Market Rate and WF Residential</v>
      </c>
      <c r="AL4" s="208" t="str">
        <f t="shared" ca="1" si="24"/>
        <v>Retail</v>
      </c>
      <c r="AM4" s="208" t="str">
        <f t="shared" ca="1" si="24"/>
        <v>Hotel</v>
      </c>
      <c r="AN4" s="208" t="str">
        <f t="shared" ca="1" si="24"/>
        <v>Community Facility</v>
      </c>
      <c r="AO4" s="208" t="str">
        <f t="shared" ca="1" si="24"/>
        <v>Office</v>
      </c>
      <c r="AP4" s="208" t="str">
        <f t="shared" ca="1" si="24"/>
        <v>Industrial</v>
      </c>
      <c r="AQ4" s="208" t="str">
        <f t="shared" ca="1" si="24"/>
        <v>Structural Parking</v>
      </c>
      <c r="AR4" s="208" t="str">
        <f t="shared" ca="1" si="24"/>
        <v>Surface Parking</v>
      </c>
      <c r="AT4" s="208" t="s">
        <v>242</v>
      </c>
      <c r="AU4" s="208" t="str">
        <f ca="1">+OFFSET($B$11,AU3,0)</f>
        <v>Affordable Residential</v>
      </c>
      <c r="AV4" s="208" t="str">
        <f t="shared" ref="AV4:BC4" ca="1" si="25">+OFFSET($B$11,AV3,0)</f>
        <v>Market Rate and WF Residential</v>
      </c>
      <c r="AW4" s="208" t="str">
        <f t="shared" ca="1" si="25"/>
        <v>Retail</v>
      </c>
      <c r="AX4" s="208" t="str">
        <f t="shared" ca="1" si="25"/>
        <v>Hotel</v>
      </c>
      <c r="AY4" s="208" t="str">
        <f t="shared" ca="1" si="25"/>
        <v>Community Facility</v>
      </c>
      <c r="AZ4" s="208" t="str">
        <f t="shared" ca="1" si="25"/>
        <v>Office</v>
      </c>
      <c r="BA4" s="208" t="str">
        <f t="shared" ca="1" si="25"/>
        <v>Industrial</v>
      </c>
      <c r="BB4" s="208" t="str">
        <f t="shared" ca="1" si="25"/>
        <v>Structural Parking</v>
      </c>
      <c r="BC4" s="208" t="str">
        <f t="shared" ca="1" si="25"/>
        <v>Surface Parking</v>
      </c>
    </row>
    <row r="5" spans="1:55" s="40" customFormat="1" x14ac:dyDescent="0.2">
      <c r="L5" s="132" t="str">
        <f>+H4</f>
        <v>I</v>
      </c>
      <c r="M5" s="107">
        <f ca="1">+INDEX($H$11:$J$19,MATCH(M$4,$B$11:$B$19,0),MATCH($L5,$H$4:$J$4,0))/INDEX($H$10:$J$10,1,MATCH($L5,$H$4:$J$4,0))</f>
        <v>7.4105837956362372E-2</v>
      </c>
      <c r="N5" s="107">
        <f t="shared" ref="N5:U7" ca="1" si="26">+INDEX($H$11:$J$19,MATCH(N$4,$B$11:$B$19,0),MATCH($L5,$H$4:$J$4,0))/INDEX($H$10:$J$10,1,MATCH($L5,$H$4:$J$4,0))</f>
        <v>0.29642335182544949</v>
      </c>
      <c r="O5" s="107">
        <f t="shared" ca="1" si="26"/>
        <v>0.14373444286030218</v>
      </c>
      <c r="P5" s="107">
        <f t="shared" ca="1" si="26"/>
        <v>0.1223892237546054</v>
      </c>
      <c r="Q5" s="107">
        <f t="shared" ca="1" si="26"/>
        <v>4.6539080475995538E-2</v>
      </c>
      <c r="R5" s="107">
        <f t="shared" ca="1" si="26"/>
        <v>0.26798981757268625</v>
      </c>
      <c r="S5" s="107">
        <f t="shared" ca="1" si="26"/>
        <v>0</v>
      </c>
      <c r="T5" s="107">
        <f t="shared" ca="1" si="26"/>
        <v>4.8818245554598794E-2</v>
      </c>
      <c r="U5" s="107">
        <f t="shared" ca="1" si="26"/>
        <v>0</v>
      </c>
      <c r="V5" s="151">
        <f ca="1">+SUM(M5:U5)</f>
        <v>1</v>
      </c>
      <c r="X5" s="132" t="s">
        <v>202</v>
      </c>
      <c r="Y5" s="107">
        <f ca="1">+$M5</f>
        <v>7.4105837956362372E-2</v>
      </c>
      <c r="Z5" s="107">
        <f ca="1">+$N5</f>
        <v>0.29642335182544949</v>
      </c>
      <c r="AA5" s="107">
        <f ca="1">+$O5</f>
        <v>0.14373444286030218</v>
      </c>
      <c r="AB5" s="107">
        <f ca="1">+$P5</f>
        <v>0.1223892237546054</v>
      </c>
      <c r="AC5" s="107">
        <f ca="1">+$Q5</f>
        <v>4.6539080475995538E-2</v>
      </c>
      <c r="AD5" s="107">
        <f ca="1">+$R5</f>
        <v>0.26798981757268625</v>
      </c>
      <c r="AE5" s="107">
        <f ca="1">+$S5</f>
        <v>0</v>
      </c>
      <c r="AF5" s="107">
        <f ca="1">+$T5</f>
        <v>4.8818245554598794E-2</v>
      </c>
      <c r="AG5" s="107">
        <f ca="1">+$U5</f>
        <v>0</v>
      </c>
      <c r="AI5" s="132" t="s">
        <v>202</v>
      </c>
      <c r="AJ5" s="107">
        <v>0</v>
      </c>
      <c r="AK5" s="107">
        <v>0</v>
      </c>
      <c r="AL5" s="107">
        <v>0</v>
      </c>
      <c r="AM5" s="107">
        <v>0</v>
      </c>
      <c r="AN5" s="107">
        <v>0</v>
      </c>
      <c r="AO5" s="107">
        <v>0</v>
      </c>
      <c r="AP5" s="107">
        <v>0</v>
      </c>
      <c r="AQ5" s="107">
        <v>0</v>
      </c>
      <c r="AR5" s="107">
        <v>0</v>
      </c>
      <c r="AT5" s="132" t="s">
        <v>202</v>
      </c>
      <c r="AU5" s="107">
        <v>0</v>
      </c>
      <c r="AV5" s="107">
        <v>0</v>
      </c>
      <c r="AW5" s="107">
        <v>0</v>
      </c>
      <c r="AX5" s="107">
        <v>0</v>
      </c>
      <c r="AY5" s="107">
        <v>0</v>
      </c>
      <c r="AZ5" s="107">
        <v>0</v>
      </c>
      <c r="BA5" s="107">
        <v>0</v>
      </c>
      <c r="BB5" s="107">
        <v>0</v>
      </c>
      <c r="BC5" s="107">
        <v>0</v>
      </c>
    </row>
    <row r="6" spans="1:55" s="40" customFormat="1" x14ac:dyDescent="0.2">
      <c r="L6" s="132" t="str">
        <f>+I4</f>
        <v>II</v>
      </c>
      <c r="M6" s="107">
        <f t="shared" ref="M6:M7" ca="1" si="27">+INDEX($H$11:$J$19,MATCH(M$4,$B$11:$B$19,0),MATCH($L6,$H$4:$J$4,0))/INDEX($H$10:$J$10,1,MATCH($L6,$H$4:$J$4,0))</f>
        <v>9.1129515803352684E-2</v>
      </c>
      <c r="N6" s="107">
        <f t="shared" ca="1" si="26"/>
        <v>0.36451806321341074</v>
      </c>
      <c r="O6" s="107">
        <f t="shared" ca="1" si="26"/>
        <v>0.15571299869868421</v>
      </c>
      <c r="P6" s="107">
        <f t="shared" ca="1" si="26"/>
        <v>0.12986261866796631</v>
      </c>
      <c r="Q6" s="107">
        <f t="shared" ca="1" si="26"/>
        <v>0</v>
      </c>
      <c r="R6" s="107">
        <f t="shared" ca="1" si="26"/>
        <v>0.151597726590219</v>
      </c>
      <c r="S6" s="107">
        <f t="shared" ca="1" si="26"/>
        <v>0</v>
      </c>
      <c r="T6" s="107">
        <f t="shared" ca="1" si="26"/>
        <v>0.10717907702636706</v>
      </c>
      <c r="U6" s="107">
        <f t="shared" ca="1" si="26"/>
        <v>0</v>
      </c>
      <c r="V6" s="151">
        <f ca="1">+SUM(M6:U6)</f>
        <v>1</v>
      </c>
      <c r="X6" s="132" t="s">
        <v>240</v>
      </c>
      <c r="Y6" s="107">
        <v>0</v>
      </c>
      <c r="Z6" s="107">
        <v>0</v>
      </c>
      <c r="AA6" s="107">
        <v>0</v>
      </c>
      <c r="AB6" s="107">
        <v>0</v>
      </c>
      <c r="AC6" s="107">
        <v>0</v>
      </c>
      <c r="AD6" s="107">
        <v>0</v>
      </c>
      <c r="AE6" s="107">
        <v>0</v>
      </c>
      <c r="AF6" s="107">
        <v>0</v>
      </c>
      <c r="AG6" s="107">
        <v>0</v>
      </c>
      <c r="AI6" s="132" t="s">
        <v>240</v>
      </c>
      <c r="AJ6" s="107">
        <f ca="1">+$M6</f>
        <v>9.1129515803352684E-2</v>
      </c>
      <c r="AK6" s="107">
        <f ca="1">+$N6</f>
        <v>0.36451806321341074</v>
      </c>
      <c r="AL6" s="107">
        <f ca="1">+$O6</f>
        <v>0.15571299869868421</v>
      </c>
      <c r="AM6" s="107">
        <f ca="1">+$P6</f>
        <v>0.12986261866796631</v>
      </c>
      <c r="AN6" s="107">
        <f ca="1">+$Q6</f>
        <v>0</v>
      </c>
      <c r="AO6" s="107">
        <f ca="1">+$R6</f>
        <v>0.151597726590219</v>
      </c>
      <c r="AP6" s="107">
        <f ca="1">+$S6</f>
        <v>0</v>
      </c>
      <c r="AQ6" s="107">
        <f ca="1">+$T6</f>
        <v>0.10717907702636706</v>
      </c>
      <c r="AR6" s="107">
        <f ca="1">+$U6</f>
        <v>0</v>
      </c>
      <c r="AT6" s="132" t="s">
        <v>240</v>
      </c>
      <c r="AU6" s="107">
        <v>0</v>
      </c>
      <c r="AV6" s="107">
        <v>0</v>
      </c>
      <c r="AW6" s="107">
        <v>0</v>
      </c>
      <c r="AX6" s="107">
        <v>0</v>
      </c>
      <c r="AY6" s="107">
        <v>0</v>
      </c>
      <c r="AZ6" s="107">
        <v>0</v>
      </c>
      <c r="BA6" s="107">
        <v>0</v>
      </c>
      <c r="BB6" s="107">
        <v>0</v>
      </c>
      <c r="BC6" s="107">
        <v>0</v>
      </c>
    </row>
    <row r="7" spans="1:55" s="40" customFormat="1" x14ac:dyDescent="0.2">
      <c r="L7" s="132" t="str">
        <f>+J4</f>
        <v>III</v>
      </c>
      <c r="M7" s="107">
        <f t="shared" ca="1" si="27"/>
        <v>6.0874997718965304E-2</v>
      </c>
      <c r="N7" s="107">
        <f t="shared" ca="1" si="26"/>
        <v>0.24349999087586122</v>
      </c>
      <c r="O7" s="107">
        <f t="shared" ca="1" si="26"/>
        <v>4.4513800528391823E-2</v>
      </c>
      <c r="P7" s="107">
        <f t="shared" ca="1" si="26"/>
        <v>1.2710621274296808E-2</v>
      </c>
      <c r="Q7" s="107">
        <f t="shared" ca="1" si="26"/>
        <v>4.4445606272507654E-2</v>
      </c>
      <c r="R7" s="107">
        <f t="shared" ca="1" si="26"/>
        <v>0.3480976423035741</v>
      </c>
      <c r="S7" s="107">
        <f t="shared" ca="1" si="26"/>
        <v>0.13333681881752296</v>
      </c>
      <c r="T7" s="107">
        <f t="shared" ca="1" si="26"/>
        <v>2.7277702353667912E-2</v>
      </c>
      <c r="U7" s="107">
        <f t="shared" ca="1" si="26"/>
        <v>8.5242819855212232E-2</v>
      </c>
      <c r="V7" s="151">
        <f ca="1">+SUM(M7:U7)</f>
        <v>1</v>
      </c>
      <c r="X7" s="132" t="s">
        <v>241</v>
      </c>
      <c r="Y7" s="107">
        <v>0</v>
      </c>
      <c r="Z7" s="107">
        <v>0</v>
      </c>
      <c r="AA7" s="107">
        <v>0</v>
      </c>
      <c r="AB7" s="107">
        <v>0</v>
      </c>
      <c r="AC7" s="107">
        <v>0</v>
      </c>
      <c r="AD7" s="107">
        <v>0</v>
      </c>
      <c r="AE7" s="107">
        <v>0</v>
      </c>
      <c r="AF7" s="107">
        <v>0</v>
      </c>
      <c r="AG7" s="107">
        <v>0</v>
      </c>
      <c r="AI7" s="132" t="s">
        <v>241</v>
      </c>
      <c r="AJ7" s="107">
        <v>0</v>
      </c>
      <c r="AK7" s="107">
        <v>0</v>
      </c>
      <c r="AL7" s="107">
        <v>0</v>
      </c>
      <c r="AM7" s="107">
        <v>0</v>
      </c>
      <c r="AN7" s="107">
        <v>0</v>
      </c>
      <c r="AO7" s="107">
        <v>0</v>
      </c>
      <c r="AP7" s="107">
        <v>0</v>
      </c>
      <c r="AQ7" s="107">
        <v>0</v>
      </c>
      <c r="AR7" s="107">
        <v>0</v>
      </c>
      <c r="AT7" s="132" t="s">
        <v>241</v>
      </c>
      <c r="AU7" s="107">
        <f ca="1">+$M7</f>
        <v>6.0874997718965304E-2</v>
      </c>
      <c r="AV7" s="107">
        <f ca="1">+$N7</f>
        <v>0.24349999087586122</v>
      </c>
      <c r="AW7" s="107">
        <f ca="1">+$O7</f>
        <v>4.4513800528391823E-2</v>
      </c>
      <c r="AX7" s="107">
        <f ca="1">+$P7</f>
        <v>1.2710621274296808E-2</v>
      </c>
      <c r="AY7" s="107">
        <f ca="1">+$Q7</f>
        <v>4.4445606272507654E-2</v>
      </c>
      <c r="AZ7" s="107">
        <f ca="1">+$R7</f>
        <v>0.3480976423035741</v>
      </c>
      <c r="BA7" s="107">
        <f ca="1">+$S7</f>
        <v>0.13333681881752296</v>
      </c>
      <c r="BB7" s="107">
        <f ca="1">+$T7</f>
        <v>2.7277702353667912E-2</v>
      </c>
      <c r="BC7" s="107">
        <f ca="1">+$U7</f>
        <v>8.5242819855212232E-2</v>
      </c>
    </row>
    <row r="8" spans="1:55" s="40" customFormat="1" x14ac:dyDescent="0.2"/>
    <row r="9" spans="1:55" x14ac:dyDescent="0.2">
      <c r="B9" s="9" t="s">
        <v>608</v>
      </c>
      <c r="H9" s="206">
        <v>20000</v>
      </c>
      <c r="I9" s="206">
        <v>0</v>
      </c>
      <c r="J9" s="206">
        <v>0</v>
      </c>
      <c r="M9" s="150"/>
      <c r="N9" s="150"/>
      <c r="O9" s="150"/>
      <c r="P9" s="150"/>
      <c r="Q9" s="150"/>
      <c r="R9" s="150"/>
      <c r="S9" s="150"/>
      <c r="T9" s="150"/>
      <c r="U9" s="150"/>
      <c r="X9" s="40"/>
      <c r="Y9" s="150"/>
      <c r="Z9" s="150"/>
      <c r="AA9" s="150"/>
      <c r="AB9" s="150"/>
      <c r="AC9" s="150"/>
      <c r="AD9" s="150"/>
      <c r="AE9" s="150"/>
      <c r="AF9" s="150"/>
      <c r="AG9" s="150"/>
      <c r="AI9" s="40"/>
      <c r="AJ9" s="150"/>
      <c r="AK9" s="150"/>
      <c r="AL9" s="150"/>
      <c r="AM9" s="150"/>
      <c r="AN9" s="150"/>
      <c r="AO9" s="150"/>
      <c r="AP9" s="150"/>
      <c r="AQ9" s="150"/>
      <c r="AR9" s="150"/>
      <c r="AT9" s="40"/>
      <c r="AU9" s="150"/>
      <c r="AV9" s="150"/>
      <c r="AW9" s="150"/>
      <c r="AX9" s="150"/>
      <c r="AY9" s="150"/>
      <c r="AZ9" s="150"/>
      <c r="BA9" s="150"/>
      <c r="BB9" s="150"/>
      <c r="BC9" s="150"/>
    </row>
    <row r="10" spans="1:55" x14ac:dyDescent="0.2">
      <c r="B10" s="132" t="s">
        <v>90</v>
      </c>
      <c r="G10" s="24">
        <f t="shared" ref="G10:G20" ca="1" si="28">+SUM(H10:J10)</f>
        <v>4448862</v>
      </c>
      <c r="H10" s="19">
        <f ca="1">+SUM(H11:H19)</f>
        <v>1700184</v>
      </c>
      <c r="I10" s="19">
        <f t="shared" ref="I10:J10" ca="1" si="29">+SUM(I11:I19)</f>
        <v>988999</v>
      </c>
      <c r="J10" s="19">
        <f t="shared" ca="1" si="29"/>
        <v>1759679</v>
      </c>
      <c r="M10" s="150"/>
      <c r="N10" s="150"/>
      <c r="O10" s="150"/>
      <c r="P10" s="150"/>
      <c r="Q10" s="150"/>
      <c r="R10" s="150"/>
      <c r="S10" s="150"/>
      <c r="T10" s="150"/>
      <c r="U10" s="150"/>
      <c r="X10" s="40"/>
      <c r="Y10" s="150"/>
      <c r="Z10" s="150"/>
      <c r="AA10" s="150"/>
      <c r="AB10" s="150"/>
      <c r="AC10" s="150"/>
      <c r="AD10" s="150"/>
      <c r="AE10" s="150"/>
      <c r="AF10" s="150"/>
      <c r="AG10" s="150"/>
      <c r="AI10" s="40"/>
      <c r="AJ10" s="150"/>
      <c r="AK10" s="150"/>
      <c r="AL10" s="150"/>
      <c r="AM10" s="150"/>
      <c r="AN10" s="150"/>
      <c r="AO10" s="150"/>
      <c r="AP10" s="150"/>
      <c r="AQ10" s="150"/>
      <c r="AR10" s="150"/>
      <c r="AT10" s="40"/>
      <c r="AU10" s="150"/>
      <c r="AV10" s="150"/>
      <c r="AW10" s="150"/>
      <c r="AX10" s="150"/>
      <c r="AY10" s="150"/>
      <c r="AZ10" s="150"/>
      <c r="BA10" s="150"/>
      <c r="BB10" s="150"/>
      <c r="BC10" s="150"/>
    </row>
    <row r="11" spans="1:55" x14ac:dyDescent="0.2">
      <c r="B11" s="63" t="s">
        <v>141</v>
      </c>
      <c r="G11" s="24">
        <f t="shared" ca="1" si="28"/>
        <v>323241.01511111116</v>
      </c>
      <c r="H11" s="29">
        <f ca="1">+'Assumptions and Sensis'!N55</f>
        <v>125993.56</v>
      </c>
      <c r="I11" s="29">
        <f ca="1">+'Assumptions and Sensis'!O55</f>
        <v>90127</v>
      </c>
      <c r="J11" s="29">
        <f ca="1">+'Assumptions and Sensis'!P55</f>
        <v>107120.45511111115</v>
      </c>
      <c r="M11" s="150">
        <f ca="1">+$G$11</f>
        <v>323241.01511111116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50">
        <v>0</v>
      </c>
      <c r="X11" s="40"/>
      <c r="Y11" s="150">
        <f ca="1">+$H$11</f>
        <v>125993.56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I11" s="40"/>
      <c r="AJ11" s="150">
        <f ca="1">+$I$11</f>
        <v>90127</v>
      </c>
      <c r="AK11" s="150">
        <v>0</v>
      </c>
      <c r="AL11" s="150">
        <v>0</v>
      </c>
      <c r="AM11" s="150">
        <v>0</v>
      </c>
      <c r="AN11" s="150">
        <v>0</v>
      </c>
      <c r="AO11" s="150">
        <v>0</v>
      </c>
      <c r="AP11" s="150">
        <v>0</v>
      </c>
      <c r="AQ11" s="150">
        <v>0</v>
      </c>
      <c r="AR11" s="150">
        <v>0</v>
      </c>
      <c r="AT11" s="40"/>
      <c r="AU11" s="150">
        <f ca="1">+$J$11</f>
        <v>107120.45511111115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</row>
    <row r="12" spans="1:55" x14ac:dyDescent="0.2">
      <c r="B12" s="63" t="s">
        <v>928</v>
      </c>
      <c r="G12" s="24">
        <f t="shared" ca="1" si="28"/>
        <v>1292964.0604444447</v>
      </c>
      <c r="H12" s="29">
        <f ca="1">+'Assumptions and Sensis'!N56</f>
        <v>503974.24</v>
      </c>
      <c r="I12" s="29">
        <f ca="1">+'Assumptions and Sensis'!O56</f>
        <v>360508</v>
      </c>
      <c r="J12" s="29">
        <f ca="1">+'Assumptions and Sensis'!P56</f>
        <v>428481.8204444446</v>
      </c>
      <c r="M12" s="150">
        <v>0</v>
      </c>
      <c r="N12" s="150">
        <f ca="1">+$G$12</f>
        <v>1292964.0604444447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50">
        <v>0</v>
      </c>
      <c r="X12" s="40"/>
      <c r="Y12" s="150">
        <v>0</v>
      </c>
      <c r="Z12" s="150">
        <f ca="1">+$H$12</f>
        <v>503974.24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I12" s="40"/>
      <c r="AJ12" s="150">
        <v>0</v>
      </c>
      <c r="AK12" s="150">
        <f ca="1">+$I$12</f>
        <v>360508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T12" s="40"/>
      <c r="AU12" s="150">
        <v>0</v>
      </c>
      <c r="AV12" s="150">
        <f ca="1">+$J$12</f>
        <v>428481.8204444446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</row>
    <row r="13" spans="1:55" x14ac:dyDescent="0.2">
      <c r="B13" s="63" t="s">
        <v>25</v>
      </c>
      <c r="G13" s="24">
        <f t="shared" ca="1" si="28"/>
        <v>476705</v>
      </c>
      <c r="H13" s="29">
        <f ca="1">+'Assumptions and Sensis'!N57</f>
        <v>244375</v>
      </c>
      <c r="I13" s="29">
        <f ca="1">+'Assumptions and Sensis'!O57</f>
        <v>154000</v>
      </c>
      <c r="J13" s="29">
        <f ca="1">+'Assumptions and Sensis'!P57</f>
        <v>78330</v>
      </c>
      <c r="M13" s="150">
        <v>0</v>
      </c>
      <c r="N13" s="150">
        <v>0</v>
      </c>
      <c r="O13" s="150">
        <f ca="1">+$G$13</f>
        <v>476705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X13" s="40"/>
      <c r="Y13" s="150">
        <v>0</v>
      </c>
      <c r="Z13" s="150">
        <v>0</v>
      </c>
      <c r="AA13" s="150">
        <f ca="1">+$H$13</f>
        <v>244375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I13" s="40"/>
      <c r="AJ13" s="150">
        <v>0</v>
      </c>
      <c r="AK13" s="150">
        <v>0</v>
      </c>
      <c r="AL13" s="150">
        <f ca="1">+$I$13</f>
        <v>154000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T13" s="40"/>
      <c r="AU13" s="150">
        <v>0</v>
      </c>
      <c r="AV13" s="150">
        <v>0</v>
      </c>
      <c r="AW13" s="150">
        <f ca="1">+$J$13</f>
        <v>78330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</row>
    <row r="14" spans="1:55" x14ac:dyDescent="0.2">
      <c r="B14" s="63" t="s">
        <v>26</v>
      </c>
      <c r="G14" s="24">
        <f t="shared" ca="1" si="28"/>
        <v>358884.81333333335</v>
      </c>
      <c r="H14" s="29">
        <f ca="1">+'Assumptions and Sensis'!N58</f>
        <v>208084.2</v>
      </c>
      <c r="I14" s="29">
        <f ca="1">+'Assumptions and Sensis'!O58</f>
        <v>128434</v>
      </c>
      <c r="J14" s="29">
        <f ca="1">+'Assumptions and Sensis'!P58</f>
        <v>22366.613333333331</v>
      </c>
      <c r="M14" s="150">
        <v>0</v>
      </c>
      <c r="N14" s="150">
        <v>0</v>
      </c>
      <c r="O14" s="150">
        <v>0</v>
      </c>
      <c r="P14" s="150">
        <f ca="1">+$G$14</f>
        <v>358884.81333333335</v>
      </c>
      <c r="Q14" s="150">
        <v>0</v>
      </c>
      <c r="R14" s="150">
        <v>0</v>
      </c>
      <c r="S14" s="150">
        <v>0</v>
      </c>
      <c r="T14" s="150">
        <v>0</v>
      </c>
      <c r="U14" s="150">
        <v>0</v>
      </c>
      <c r="X14" s="40"/>
      <c r="Y14" s="150">
        <v>0</v>
      </c>
      <c r="Z14" s="150">
        <v>0</v>
      </c>
      <c r="AA14" s="150">
        <v>0</v>
      </c>
      <c r="AB14" s="150">
        <f ca="1">+$H$14</f>
        <v>208084.2</v>
      </c>
      <c r="AC14" s="150">
        <v>0</v>
      </c>
      <c r="AD14" s="150">
        <v>0</v>
      </c>
      <c r="AE14" s="150">
        <v>0</v>
      </c>
      <c r="AF14" s="150">
        <v>0</v>
      </c>
      <c r="AG14" s="150">
        <v>0</v>
      </c>
      <c r="AI14" s="40"/>
      <c r="AJ14" s="150">
        <v>0</v>
      </c>
      <c r="AK14" s="150">
        <v>0</v>
      </c>
      <c r="AL14" s="150">
        <v>0</v>
      </c>
      <c r="AM14" s="150">
        <f ca="1">+$I$14</f>
        <v>128434</v>
      </c>
      <c r="AN14" s="150">
        <v>0</v>
      </c>
      <c r="AO14" s="150">
        <v>0</v>
      </c>
      <c r="AP14" s="150">
        <v>0</v>
      </c>
      <c r="AQ14" s="150">
        <v>0</v>
      </c>
      <c r="AR14" s="150">
        <v>0</v>
      </c>
      <c r="AT14" s="40"/>
      <c r="AU14" s="150">
        <v>0</v>
      </c>
      <c r="AV14" s="150">
        <v>0</v>
      </c>
      <c r="AW14" s="150">
        <v>0</v>
      </c>
      <c r="AX14" s="150">
        <f ca="1">+$J$14</f>
        <v>22366.613333333331</v>
      </c>
      <c r="AY14" s="150">
        <v>0</v>
      </c>
      <c r="AZ14" s="150">
        <v>0</v>
      </c>
      <c r="BA14" s="150">
        <v>0</v>
      </c>
      <c r="BB14" s="150">
        <v>0</v>
      </c>
      <c r="BC14" s="150">
        <v>0</v>
      </c>
    </row>
    <row r="15" spans="1:55" x14ac:dyDescent="0.2">
      <c r="B15" s="63" t="s">
        <v>145</v>
      </c>
      <c r="G15" s="24">
        <f t="shared" ca="1" si="28"/>
        <v>157335</v>
      </c>
      <c r="H15" s="29">
        <f ca="1">+'Assumptions and Sensis'!N59</f>
        <v>79125</v>
      </c>
      <c r="I15" s="29">
        <f ca="1">+'Assumptions and Sensis'!O59</f>
        <v>0</v>
      </c>
      <c r="J15" s="29">
        <f ca="1">+'Assumptions and Sensis'!P59</f>
        <v>78210</v>
      </c>
      <c r="M15" s="150">
        <v>0</v>
      </c>
      <c r="N15" s="150">
        <v>0</v>
      </c>
      <c r="O15" s="150">
        <v>0</v>
      </c>
      <c r="P15" s="150">
        <v>0</v>
      </c>
      <c r="Q15" s="150">
        <f ca="1">+$G$15</f>
        <v>157335</v>
      </c>
      <c r="R15" s="150">
        <v>0</v>
      </c>
      <c r="S15" s="150">
        <v>0</v>
      </c>
      <c r="T15" s="150">
        <v>0</v>
      </c>
      <c r="U15" s="150">
        <v>0</v>
      </c>
      <c r="X15" s="40"/>
      <c r="Y15" s="150">
        <v>0</v>
      </c>
      <c r="Z15" s="150">
        <v>0</v>
      </c>
      <c r="AA15" s="150">
        <v>0</v>
      </c>
      <c r="AB15" s="150">
        <v>0</v>
      </c>
      <c r="AC15" s="150">
        <f ca="1">+$H$15</f>
        <v>79125</v>
      </c>
      <c r="AD15" s="150">
        <v>0</v>
      </c>
      <c r="AE15" s="150">
        <v>0</v>
      </c>
      <c r="AF15" s="150">
        <v>0</v>
      </c>
      <c r="AG15" s="150">
        <v>0</v>
      </c>
      <c r="AI15" s="40"/>
      <c r="AJ15" s="150">
        <v>0</v>
      </c>
      <c r="AK15" s="150">
        <v>0</v>
      </c>
      <c r="AL15" s="150">
        <v>0</v>
      </c>
      <c r="AM15" s="150">
        <v>0</v>
      </c>
      <c r="AN15" s="150">
        <f ca="1">+$I$15</f>
        <v>0</v>
      </c>
      <c r="AO15" s="150">
        <v>0</v>
      </c>
      <c r="AP15" s="150">
        <v>0</v>
      </c>
      <c r="AQ15" s="150">
        <v>0</v>
      </c>
      <c r="AR15" s="150">
        <v>0</v>
      </c>
      <c r="AT15" s="40"/>
      <c r="AU15" s="150">
        <v>0</v>
      </c>
      <c r="AV15" s="150">
        <v>0</v>
      </c>
      <c r="AW15" s="150">
        <v>0</v>
      </c>
      <c r="AX15" s="150">
        <v>0</v>
      </c>
      <c r="AY15" s="150">
        <f ca="1">+$J$15</f>
        <v>78210</v>
      </c>
      <c r="AZ15" s="150">
        <v>0</v>
      </c>
      <c r="BA15" s="150">
        <v>0</v>
      </c>
      <c r="BB15" s="150">
        <v>0</v>
      </c>
      <c r="BC15" s="150">
        <v>0</v>
      </c>
    </row>
    <row r="16" spans="1:55" x14ac:dyDescent="0.2">
      <c r="B16" s="63" t="s">
        <v>146</v>
      </c>
      <c r="G16" s="24">
        <f t="shared" ca="1" si="28"/>
        <v>1218102.111111111</v>
      </c>
      <c r="H16" s="29">
        <f ca="1">+'Assumptions and Sensis'!N60</f>
        <v>455632</v>
      </c>
      <c r="I16" s="29">
        <f ca="1">+'Assumptions and Sensis'!O60</f>
        <v>149930</v>
      </c>
      <c r="J16" s="29">
        <f ca="1">+'Assumptions and Sensis'!P60</f>
        <v>612540.11111111101</v>
      </c>
      <c r="M16" s="150">
        <v>0</v>
      </c>
      <c r="N16" s="150">
        <v>0</v>
      </c>
      <c r="O16" s="150">
        <v>0</v>
      </c>
      <c r="P16" s="150">
        <v>0</v>
      </c>
      <c r="Q16" s="150">
        <v>0</v>
      </c>
      <c r="R16" s="150">
        <f ca="1">+$G$16</f>
        <v>1218102.111111111</v>
      </c>
      <c r="S16" s="150">
        <v>0</v>
      </c>
      <c r="T16" s="150">
        <v>0</v>
      </c>
      <c r="U16" s="150">
        <v>0</v>
      </c>
      <c r="X16" s="40"/>
      <c r="Y16" s="150">
        <v>0</v>
      </c>
      <c r="Z16" s="150">
        <v>0</v>
      </c>
      <c r="AA16" s="150">
        <v>0</v>
      </c>
      <c r="AB16" s="150">
        <v>0</v>
      </c>
      <c r="AC16" s="150">
        <v>0</v>
      </c>
      <c r="AD16" s="150">
        <f ca="1">+$H$16</f>
        <v>455632</v>
      </c>
      <c r="AE16" s="150">
        <v>0</v>
      </c>
      <c r="AF16" s="150">
        <v>0</v>
      </c>
      <c r="AG16" s="150">
        <v>0</v>
      </c>
      <c r="AI16" s="40"/>
      <c r="AJ16" s="150">
        <v>0</v>
      </c>
      <c r="AK16" s="150">
        <v>0</v>
      </c>
      <c r="AL16" s="150">
        <v>0</v>
      </c>
      <c r="AM16" s="150">
        <v>0</v>
      </c>
      <c r="AN16" s="150">
        <v>0</v>
      </c>
      <c r="AO16" s="150">
        <f ca="1">+$I$16</f>
        <v>149930</v>
      </c>
      <c r="AP16" s="150">
        <v>0</v>
      </c>
      <c r="AQ16" s="150">
        <v>0</v>
      </c>
      <c r="AR16" s="150">
        <v>0</v>
      </c>
      <c r="AT16" s="40"/>
      <c r="AU16" s="150">
        <v>0</v>
      </c>
      <c r="AV16" s="150">
        <v>0</v>
      </c>
      <c r="AW16" s="150">
        <v>0</v>
      </c>
      <c r="AX16" s="150">
        <v>0</v>
      </c>
      <c r="AY16" s="150">
        <v>0</v>
      </c>
      <c r="AZ16" s="150">
        <f ca="1">+$J$16</f>
        <v>612540.11111111101</v>
      </c>
      <c r="BA16" s="150">
        <v>0</v>
      </c>
      <c r="BB16" s="150">
        <v>0</v>
      </c>
      <c r="BC16" s="150">
        <v>0</v>
      </c>
    </row>
    <row r="17" spans="2:55" s="40" customFormat="1" x14ac:dyDescent="0.2">
      <c r="B17" s="63" t="s">
        <v>235</v>
      </c>
      <c r="G17" s="24">
        <f t="shared" ca="1" si="28"/>
        <v>234630</v>
      </c>
      <c r="H17" s="29">
        <f ca="1">+'Assumptions and Sensis'!N61</f>
        <v>0</v>
      </c>
      <c r="I17" s="29">
        <f ca="1">+'Assumptions and Sensis'!O61</f>
        <v>0</v>
      </c>
      <c r="J17" s="29">
        <f ca="1">+'Assumptions and Sensis'!P61</f>
        <v>234630</v>
      </c>
      <c r="M17" s="150">
        <v>0</v>
      </c>
      <c r="N17" s="150">
        <v>0</v>
      </c>
      <c r="O17" s="150">
        <v>0</v>
      </c>
      <c r="P17" s="150">
        <v>0</v>
      </c>
      <c r="Q17" s="150">
        <v>0</v>
      </c>
      <c r="R17" s="150">
        <v>0</v>
      </c>
      <c r="S17" s="150">
        <f ca="1">+$G$17</f>
        <v>234630</v>
      </c>
      <c r="T17" s="150">
        <v>0</v>
      </c>
      <c r="U17" s="150">
        <v>0</v>
      </c>
      <c r="Y17" s="150">
        <v>0</v>
      </c>
      <c r="Z17" s="150">
        <v>0</v>
      </c>
      <c r="AA17" s="150">
        <v>0</v>
      </c>
      <c r="AB17" s="150">
        <v>0</v>
      </c>
      <c r="AC17" s="150">
        <v>0</v>
      </c>
      <c r="AD17" s="150">
        <v>0</v>
      </c>
      <c r="AE17" s="150">
        <f ca="1">+$H$17</f>
        <v>0</v>
      </c>
      <c r="AF17" s="150">
        <v>0</v>
      </c>
      <c r="AG17" s="150">
        <v>0</v>
      </c>
      <c r="AJ17" s="150">
        <v>0</v>
      </c>
      <c r="AK17" s="150">
        <v>0</v>
      </c>
      <c r="AL17" s="150">
        <v>0</v>
      </c>
      <c r="AM17" s="150">
        <v>0</v>
      </c>
      <c r="AN17" s="150">
        <v>0</v>
      </c>
      <c r="AO17" s="150">
        <v>0</v>
      </c>
      <c r="AP17" s="150">
        <f ca="1">+$I$17</f>
        <v>0</v>
      </c>
      <c r="AQ17" s="150">
        <v>0</v>
      </c>
      <c r="AR17" s="150">
        <v>0</v>
      </c>
      <c r="AU17" s="150">
        <v>0</v>
      </c>
      <c r="AV17" s="150">
        <v>0</v>
      </c>
      <c r="AW17" s="150">
        <v>0</v>
      </c>
      <c r="AX17" s="150">
        <v>0</v>
      </c>
      <c r="AY17" s="150">
        <v>0</v>
      </c>
      <c r="AZ17" s="150">
        <v>0</v>
      </c>
      <c r="BA17" s="150">
        <f ca="1">+$J$17</f>
        <v>234630</v>
      </c>
      <c r="BB17" s="150">
        <v>0</v>
      </c>
      <c r="BC17" s="150">
        <v>0</v>
      </c>
    </row>
    <row r="18" spans="2:55" x14ac:dyDescent="0.2">
      <c r="B18" s="63" t="s">
        <v>210</v>
      </c>
      <c r="G18" s="24">
        <f t="shared" ca="1" si="28"/>
        <v>237000</v>
      </c>
      <c r="H18" s="29">
        <f ca="1">+'Assumptions and Sensis'!N62</f>
        <v>83000</v>
      </c>
      <c r="I18" s="29">
        <f ca="1">+'Assumptions and Sensis'!O62</f>
        <v>106000</v>
      </c>
      <c r="J18" s="29">
        <f ca="1">+'Assumptions and Sensis'!P62</f>
        <v>48000</v>
      </c>
      <c r="M18" s="150">
        <v>0</v>
      </c>
      <c r="N18" s="150">
        <v>0</v>
      </c>
      <c r="O18" s="150">
        <v>0</v>
      </c>
      <c r="P18" s="150">
        <v>0</v>
      </c>
      <c r="Q18" s="150">
        <v>0</v>
      </c>
      <c r="R18" s="150">
        <v>0</v>
      </c>
      <c r="S18" s="150">
        <v>0</v>
      </c>
      <c r="T18" s="150">
        <f ca="1">+$G$18</f>
        <v>237000</v>
      </c>
      <c r="U18" s="150">
        <v>0</v>
      </c>
      <c r="X18" s="40"/>
      <c r="Y18" s="150">
        <v>0</v>
      </c>
      <c r="Z18" s="150">
        <v>0</v>
      </c>
      <c r="AA18" s="150">
        <v>0</v>
      </c>
      <c r="AB18" s="150">
        <v>0</v>
      </c>
      <c r="AC18" s="150">
        <v>0</v>
      </c>
      <c r="AD18" s="150">
        <v>0</v>
      </c>
      <c r="AE18" s="150">
        <v>0</v>
      </c>
      <c r="AF18" s="150">
        <f ca="1">+$H$18</f>
        <v>83000</v>
      </c>
      <c r="AG18" s="150">
        <v>0</v>
      </c>
      <c r="AI18" s="40"/>
      <c r="AJ18" s="150">
        <v>0</v>
      </c>
      <c r="AK18" s="150">
        <v>0</v>
      </c>
      <c r="AL18" s="150">
        <v>0</v>
      </c>
      <c r="AM18" s="150">
        <v>0</v>
      </c>
      <c r="AN18" s="150">
        <v>0</v>
      </c>
      <c r="AO18" s="150">
        <v>0</v>
      </c>
      <c r="AP18" s="150">
        <v>0</v>
      </c>
      <c r="AQ18" s="150">
        <f ca="1">+$I$18</f>
        <v>106000</v>
      </c>
      <c r="AR18" s="150">
        <v>0</v>
      </c>
      <c r="AT18" s="40"/>
      <c r="AU18" s="150">
        <v>0</v>
      </c>
      <c r="AV18" s="150">
        <v>0</v>
      </c>
      <c r="AW18" s="150">
        <v>0</v>
      </c>
      <c r="AX18" s="150">
        <v>0</v>
      </c>
      <c r="AY18" s="150">
        <v>0</v>
      </c>
      <c r="AZ18" s="150">
        <v>0</v>
      </c>
      <c r="BA18" s="150">
        <v>0</v>
      </c>
      <c r="BB18" s="150">
        <f ca="1">+$J$18</f>
        <v>48000</v>
      </c>
      <c r="BC18" s="150">
        <v>0</v>
      </c>
    </row>
    <row r="19" spans="2:55" x14ac:dyDescent="0.2">
      <c r="B19" s="63" t="s">
        <v>28</v>
      </c>
      <c r="G19" s="24">
        <f t="shared" ca="1" si="28"/>
        <v>150000</v>
      </c>
      <c r="H19" s="29">
        <f ca="1">+'Assumptions and Sensis'!N63</f>
        <v>0</v>
      </c>
      <c r="I19" s="29">
        <f ca="1">+'Assumptions and Sensis'!O63</f>
        <v>0</v>
      </c>
      <c r="J19" s="29">
        <f ca="1">+'Assumptions and Sensis'!P63</f>
        <v>150000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f ca="1">+$G$19</f>
        <v>150000</v>
      </c>
      <c r="X19" s="40"/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f ca="1">+$H$19</f>
        <v>0</v>
      </c>
      <c r="AI19" s="40"/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f ca="1">+$I$19</f>
        <v>0</v>
      </c>
      <c r="AT19" s="40"/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</v>
      </c>
      <c r="BA19" s="150">
        <v>0</v>
      </c>
      <c r="BB19" s="150">
        <v>0</v>
      </c>
      <c r="BC19" s="150">
        <f ca="1">+$J$19</f>
        <v>150000</v>
      </c>
    </row>
    <row r="20" spans="2:55" x14ac:dyDescent="0.2">
      <c r="B20" s="14" t="s">
        <v>89</v>
      </c>
      <c r="G20" s="46">
        <f t="shared" ca="1" si="28"/>
        <v>1</v>
      </c>
      <c r="H20" s="25">
        <f ca="1">+H10/$G$10</f>
        <v>0.38216155052685385</v>
      </c>
      <c r="I20" s="25">
        <f t="shared" ref="I20:J20" ca="1" si="30">+I10/$G$10</f>
        <v>0.22230381612196556</v>
      </c>
      <c r="J20" s="25">
        <f t="shared" ca="1" si="30"/>
        <v>0.39553463335118061</v>
      </c>
      <c r="M20" s="46"/>
      <c r="N20" s="46"/>
      <c r="O20" s="46"/>
      <c r="P20" s="46"/>
      <c r="Q20" s="46"/>
      <c r="R20" s="46"/>
      <c r="S20" s="46"/>
      <c r="T20" s="46"/>
      <c r="U20" s="46"/>
      <c r="X20" s="40"/>
      <c r="Y20" s="46"/>
      <c r="Z20" s="46"/>
      <c r="AA20" s="46"/>
      <c r="AB20" s="46"/>
      <c r="AC20" s="46"/>
      <c r="AD20" s="46"/>
      <c r="AE20" s="46"/>
      <c r="AF20" s="46"/>
      <c r="AG20" s="46"/>
      <c r="AI20" s="40"/>
      <c r="AJ20" s="46"/>
      <c r="AK20" s="46"/>
      <c r="AL20" s="46"/>
      <c r="AM20" s="46"/>
      <c r="AN20" s="46"/>
      <c r="AO20" s="46"/>
      <c r="AP20" s="46"/>
      <c r="AQ20" s="46"/>
      <c r="AR20" s="46"/>
      <c r="AT20" s="40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2:55" x14ac:dyDescent="0.2">
      <c r="B21" s="14"/>
      <c r="H21" s="402"/>
      <c r="I21" s="402"/>
      <c r="J21" s="402"/>
      <c r="M21" s="46"/>
      <c r="N21" s="46"/>
      <c r="O21" s="46"/>
      <c r="P21" s="46"/>
      <c r="Q21" s="46"/>
      <c r="R21" s="46"/>
      <c r="S21" s="46"/>
      <c r="T21" s="46"/>
      <c r="U21" s="46"/>
      <c r="X21" s="40"/>
      <c r="Y21" s="46"/>
      <c r="Z21" s="46"/>
      <c r="AA21" s="46"/>
      <c r="AB21" s="46"/>
      <c r="AC21" s="46"/>
      <c r="AD21" s="46"/>
      <c r="AE21" s="46"/>
      <c r="AF21" s="46"/>
      <c r="AG21" s="46"/>
      <c r="AI21" s="40"/>
      <c r="AJ21" s="46"/>
      <c r="AK21" s="46"/>
      <c r="AL21" s="46"/>
      <c r="AM21" s="46"/>
      <c r="AN21" s="46"/>
      <c r="AO21" s="46"/>
      <c r="AP21" s="46"/>
      <c r="AQ21" s="46"/>
      <c r="AR21" s="46"/>
      <c r="AT21" s="40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2:55" ht="32.25" customHeight="1" x14ac:dyDescent="0.2">
      <c r="B22" s="7" t="s">
        <v>64</v>
      </c>
      <c r="C22" s="8"/>
      <c r="D22" s="16"/>
      <c r="E22" s="16"/>
      <c r="F22" s="44" t="s">
        <v>56</v>
      </c>
      <c r="G22" s="7" t="s">
        <v>17</v>
      </c>
      <c r="H22" s="44" t="str">
        <f>+H4</f>
        <v>I</v>
      </c>
      <c r="I22" s="44" t="str">
        <f t="shared" ref="I22:J22" si="31">+I4</f>
        <v>II</v>
      </c>
      <c r="J22" s="44" t="str">
        <f t="shared" si="31"/>
        <v>III</v>
      </c>
      <c r="M22" s="209" t="str">
        <f t="shared" ref="M22:U22" ca="1" si="32">+M4</f>
        <v>Affordable Residential</v>
      </c>
      <c r="N22" s="209" t="str">
        <f t="shared" ca="1" si="32"/>
        <v>Market Rate and WF Residential</v>
      </c>
      <c r="O22" s="209" t="str">
        <f t="shared" ca="1" si="32"/>
        <v>Retail</v>
      </c>
      <c r="P22" s="209" t="str">
        <f t="shared" ca="1" si="32"/>
        <v>Hotel</v>
      </c>
      <c r="Q22" s="209" t="str">
        <f t="shared" ca="1" si="32"/>
        <v>Community Facility</v>
      </c>
      <c r="R22" s="209" t="str">
        <f t="shared" ca="1" si="32"/>
        <v>Office</v>
      </c>
      <c r="S22" s="209" t="str">
        <f t="shared" ca="1" si="32"/>
        <v>Industrial</v>
      </c>
      <c r="T22" s="209" t="str">
        <f t="shared" ca="1" si="32"/>
        <v>Structural Parking</v>
      </c>
      <c r="U22" s="209" t="str">
        <f t="shared" ca="1" si="32"/>
        <v>Surface Parking</v>
      </c>
      <c r="X22" s="40"/>
      <c r="Y22" s="708" t="str">
        <f t="shared" ref="Y22:AG22" ca="1" si="33">+Y4</f>
        <v>Affordable Residential</v>
      </c>
      <c r="Z22" s="708" t="str">
        <f t="shared" ca="1" si="33"/>
        <v>Market Rate and WF Residential</v>
      </c>
      <c r="AA22" s="708" t="str">
        <f t="shared" ca="1" si="33"/>
        <v>Retail</v>
      </c>
      <c r="AB22" s="708" t="str">
        <f t="shared" ca="1" si="33"/>
        <v>Hotel</v>
      </c>
      <c r="AC22" s="708" t="str">
        <f t="shared" ca="1" si="33"/>
        <v>Community Facility</v>
      </c>
      <c r="AD22" s="708" t="str">
        <f t="shared" ca="1" si="33"/>
        <v>Office</v>
      </c>
      <c r="AE22" s="708" t="str">
        <f t="shared" ca="1" si="33"/>
        <v>Industrial</v>
      </c>
      <c r="AF22" s="708" t="str">
        <f t="shared" ca="1" si="33"/>
        <v>Structural Parking</v>
      </c>
      <c r="AG22" s="708" t="str">
        <f t="shared" ca="1" si="33"/>
        <v>Surface Parking</v>
      </c>
      <c r="AI22" s="40"/>
      <c r="AJ22" s="708" t="str">
        <f t="shared" ref="AJ22:AR22" ca="1" si="34">+AJ4</f>
        <v>Affordable Residential</v>
      </c>
      <c r="AK22" s="708" t="str">
        <f t="shared" ca="1" si="34"/>
        <v>Market Rate and WF Residential</v>
      </c>
      <c r="AL22" s="708" t="str">
        <f t="shared" ca="1" si="34"/>
        <v>Retail</v>
      </c>
      <c r="AM22" s="708" t="str">
        <f t="shared" ca="1" si="34"/>
        <v>Hotel</v>
      </c>
      <c r="AN22" s="708" t="str">
        <f t="shared" ca="1" si="34"/>
        <v>Community Facility</v>
      </c>
      <c r="AO22" s="708" t="str">
        <f t="shared" ca="1" si="34"/>
        <v>Office</v>
      </c>
      <c r="AP22" s="708" t="str">
        <f t="shared" ca="1" si="34"/>
        <v>Industrial</v>
      </c>
      <c r="AQ22" s="708" t="str">
        <f t="shared" ca="1" si="34"/>
        <v>Structural Parking</v>
      </c>
      <c r="AR22" s="708" t="str">
        <f t="shared" ca="1" si="34"/>
        <v>Surface Parking</v>
      </c>
      <c r="AT22" s="40"/>
      <c r="AU22" s="708" t="str">
        <f t="shared" ref="AU22:BC22" ca="1" si="35">+AU4</f>
        <v>Affordable Residential</v>
      </c>
      <c r="AV22" s="708" t="str">
        <f t="shared" ca="1" si="35"/>
        <v>Market Rate and WF Residential</v>
      </c>
      <c r="AW22" s="708" t="str">
        <f t="shared" ca="1" si="35"/>
        <v>Retail</v>
      </c>
      <c r="AX22" s="708" t="str">
        <f t="shared" ca="1" si="35"/>
        <v>Hotel</v>
      </c>
      <c r="AY22" s="708" t="str">
        <f t="shared" ca="1" si="35"/>
        <v>Community Facility</v>
      </c>
      <c r="AZ22" s="708" t="str">
        <f t="shared" ca="1" si="35"/>
        <v>Office</v>
      </c>
      <c r="BA22" s="708" t="str">
        <f t="shared" ca="1" si="35"/>
        <v>Industrial</v>
      </c>
      <c r="BB22" s="708" t="str">
        <f t="shared" ca="1" si="35"/>
        <v>Structural Parking</v>
      </c>
      <c r="BC22" s="708" t="str">
        <f t="shared" ca="1" si="35"/>
        <v>Surface Parking</v>
      </c>
    </row>
    <row r="23" spans="2:55" x14ac:dyDescent="0.2">
      <c r="B23" s="9" t="s">
        <v>65</v>
      </c>
      <c r="C23" s="9"/>
      <c r="D23" s="17"/>
      <c r="E23" s="9"/>
      <c r="F23" s="104">
        <f ca="1">+G23/$G$10</f>
        <v>3.7853975032587792</v>
      </c>
      <c r="G23" s="42">
        <f>+SUM(H23:J23)</f>
        <v>16840711.107142858</v>
      </c>
      <c r="H23" s="33">
        <f>'Parcel Breakdown'!BA24</f>
        <v>6900151</v>
      </c>
      <c r="I23" s="33">
        <f>'Parcel Breakdown'!BA25</f>
        <v>818973.10714285716</v>
      </c>
      <c r="J23" s="33">
        <f>'Parcel Breakdown'!BA26</f>
        <v>9121587</v>
      </c>
      <c r="M23" s="38">
        <f ca="1">+$H23*M$5+$I23*M$6+$J23*M$7</f>
        <v>1141250.6824086711</v>
      </c>
      <c r="N23" s="38">
        <f t="shared" ref="N23:U23" ca="1" si="36">+$H23*N$5+$I23*N$6+$J23*N$7</f>
        <v>4565002.7296346845</v>
      </c>
      <c r="O23" s="38">
        <f t="shared" ca="1" si="36"/>
        <v>1525350.6222241221</v>
      </c>
      <c r="P23" s="38">
        <f t="shared" ca="1" si="36"/>
        <v>1066799.1547693256</v>
      </c>
      <c r="Q23" s="38">
        <f t="shared" ca="1" si="36"/>
        <v>726541.14706794533</v>
      </c>
      <c r="R23" s="38">
        <f t="shared" ca="1" si="36"/>
        <v>5148527.5976623055</v>
      </c>
      <c r="S23" s="38">
        <f t="shared" ca="1" si="36"/>
        <v>1216243.3931472728</v>
      </c>
      <c r="T23" s="38">
        <f t="shared" ca="1" si="36"/>
        <v>673445.98279388447</v>
      </c>
      <c r="U23" s="38">
        <f t="shared" ca="1" si="36"/>
        <v>777549.79743464582</v>
      </c>
      <c r="X23" s="40"/>
      <c r="Y23" s="38">
        <f ca="1">+$H23*Y$5+$I23*Y$6+$J23*Y$7</f>
        <v>511341.47188043175</v>
      </c>
      <c r="Z23" s="38">
        <f t="shared" ref="Z23:AG23" ca="1" si="37">+$H23*Z$5+$I23*Z$6+$J23*Z$7</f>
        <v>2045365.887521727</v>
      </c>
      <c r="AA23" s="38">
        <f t="shared" ca="1" si="37"/>
        <v>991789.35963695694</v>
      </c>
      <c r="AB23" s="38">
        <f t="shared" ca="1" si="37"/>
        <v>844504.12467956415</v>
      </c>
      <c r="AC23" s="38">
        <f t="shared" ca="1" si="37"/>
        <v>321126.68268552108</v>
      </c>
      <c r="AD23" s="38">
        <f t="shared" ca="1" si="37"/>
        <v>1849170.2077139886</v>
      </c>
      <c r="AE23" s="38">
        <f t="shared" ca="1" si="37"/>
        <v>0</v>
      </c>
      <c r="AF23" s="38">
        <f t="shared" ca="1" si="37"/>
        <v>336853.2658818104</v>
      </c>
      <c r="AG23" s="38">
        <f t="shared" ca="1" si="37"/>
        <v>0</v>
      </c>
      <c r="AI23" s="40"/>
      <c r="AJ23" s="38">
        <f ca="1">+$H23*AJ$5+$I23*AJ$6+$J23*AJ$7</f>
        <v>74632.622709895848</v>
      </c>
      <c r="AK23" s="38">
        <f t="shared" ref="AK23:AR23" ca="1" si="38">+$H23*AK$5+$I23*AK$6+$J23*AK$7</f>
        <v>298530.49083958339</v>
      </c>
      <c r="AL23" s="38">
        <f t="shared" ca="1" si="38"/>
        <v>127524.75836679309</v>
      </c>
      <c r="AM23" s="38">
        <f t="shared" ca="1" si="38"/>
        <v>106353.99231221237</v>
      </c>
      <c r="AN23" s="38">
        <f t="shared" ca="1" si="38"/>
        <v>0</v>
      </c>
      <c r="AO23" s="38">
        <f t="shared" ca="1" si="38"/>
        <v>124154.46118138499</v>
      </c>
      <c r="AP23" s="38">
        <f t="shared" ca="1" si="38"/>
        <v>0</v>
      </c>
      <c r="AQ23" s="38">
        <f t="shared" ca="1" si="38"/>
        <v>87776.781732987452</v>
      </c>
      <c r="AR23" s="38">
        <f t="shared" ca="1" si="38"/>
        <v>0</v>
      </c>
      <c r="AT23" s="40"/>
      <c r="AU23" s="38">
        <f ca="1">+$H23*AU$5+$I23*AU$6+$J23*AU$7</f>
        <v>555276.58781834354</v>
      </c>
      <c r="AV23" s="38">
        <f t="shared" ref="AV23:BC23" ca="1" si="39">+$H23*AV$5+$I23*AV$6+$J23*AV$7</f>
        <v>2221106.3512733742</v>
      </c>
      <c r="AW23" s="38">
        <f t="shared" ca="1" si="39"/>
        <v>406036.50422037201</v>
      </c>
      <c r="AX23" s="38">
        <f t="shared" ca="1" si="39"/>
        <v>115941.03777754919</v>
      </c>
      <c r="AY23" s="38">
        <f t="shared" ca="1" si="39"/>
        <v>405414.46438242425</v>
      </c>
      <c r="AZ23" s="38">
        <f t="shared" ca="1" si="39"/>
        <v>3175202.9287669314</v>
      </c>
      <c r="BA23" s="38">
        <f t="shared" ca="1" si="39"/>
        <v>1216243.3931472728</v>
      </c>
      <c r="BB23" s="38">
        <f t="shared" ca="1" si="39"/>
        <v>248815.93517908663</v>
      </c>
      <c r="BC23" s="38">
        <f t="shared" ca="1" si="39"/>
        <v>777549.79743464582</v>
      </c>
    </row>
    <row r="24" spans="2:55" x14ac:dyDescent="0.2">
      <c r="B24" s="12" t="s">
        <v>66</v>
      </c>
      <c r="C24" s="12"/>
      <c r="D24" s="12"/>
      <c r="E24" s="12"/>
      <c r="F24" s="105">
        <f t="shared" ref="F24" ca="1" si="40">+G24/$G$10</f>
        <v>3.7853975032587792</v>
      </c>
      <c r="G24" s="13">
        <f>+SUM(G23:G23)</f>
        <v>16840711.107142858</v>
      </c>
      <c r="H24" s="128">
        <f>+SUM(H23:H23)</f>
        <v>6900151</v>
      </c>
      <c r="I24" s="128">
        <f>+SUM(I23:I23)</f>
        <v>818973.10714285716</v>
      </c>
      <c r="J24" s="128">
        <f>+SUM(J23:J23)</f>
        <v>9121587</v>
      </c>
      <c r="M24" s="128">
        <f t="shared" ref="M24:U24" ca="1" si="41">+SUM(M23:M23)</f>
        <v>1141250.6824086711</v>
      </c>
      <c r="N24" s="128">
        <f t="shared" ca="1" si="41"/>
        <v>4565002.7296346845</v>
      </c>
      <c r="O24" s="128">
        <f t="shared" ca="1" si="41"/>
        <v>1525350.6222241221</v>
      </c>
      <c r="P24" s="128">
        <f t="shared" ca="1" si="41"/>
        <v>1066799.1547693256</v>
      </c>
      <c r="Q24" s="128">
        <f t="shared" ca="1" si="41"/>
        <v>726541.14706794533</v>
      </c>
      <c r="R24" s="128">
        <f t="shared" ca="1" si="41"/>
        <v>5148527.5976623055</v>
      </c>
      <c r="S24" s="128">
        <f t="shared" ca="1" si="41"/>
        <v>1216243.3931472728</v>
      </c>
      <c r="T24" s="128">
        <f t="shared" ca="1" si="41"/>
        <v>673445.98279388447</v>
      </c>
      <c r="U24" s="128">
        <f t="shared" ca="1" si="41"/>
        <v>777549.79743464582</v>
      </c>
      <c r="X24" s="40"/>
      <c r="Y24" s="128">
        <f t="shared" ref="Y24:AG24" ca="1" si="42">+SUM(Y23:Y23)</f>
        <v>511341.47188043175</v>
      </c>
      <c r="Z24" s="128">
        <f t="shared" ca="1" si="42"/>
        <v>2045365.887521727</v>
      </c>
      <c r="AA24" s="128">
        <f t="shared" ca="1" si="42"/>
        <v>991789.35963695694</v>
      </c>
      <c r="AB24" s="128">
        <f t="shared" ca="1" si="42"/>
        <v>844504.12467956415</v>
      </c>
      <c r="AC24" s="128">
        <f t="shared" ca="1" si="42"/>
        <v>321126.68268552108</v>
      </c>
      <c r="AD24" s="128">
        <f t="shared" ca="1" si="42"/>
        <v>1849170.2077139886</v>
      </c>
      <c r="AE24" s="128">
        <f t="shared" ca="1" si="42"/>
        <v>0</v>
      </c>
      <c r="AF24" s="128">
        <f t="shared" ca="1" si="42"/>
        <v>336853.2658818104</v>
      </c>
      <c r="AG24" s="128">
        <f t="shared" ca="1" si="42"/>
        <v>0</v>
      </c>
      <c r="AI24" s="40"/>
      <c r="AJ24" s="128">
        <f t="shared" ref="AJ24:AR24" ca="1" si="43">+SUM(AJ23:AJ23)</f>
        <v>74632.622709895848</v>
      </c>
      <c r="AK24" s="128">
        <f t="shared" ca="1" si="43"/>
        <v>298530.49083958339</v>
      </c>
      <c r="AL24" s="128">
        <f t="shared" ca="1" si="43"/>
        <v>127524.75836679309</v>
      </c>
      <c r="AM24" s="128">
        <f t="shared" ca="1" si="43"/>
        <v>106353.99231221237</v>
      </c>
      <c r="AN24" s="128">
        <f t="shared" ca="1" si="43"/>
        <v>0</v>
      </c>
      <c r="AO24" s="128">
        <f t="shared" ca="1" si="43"/>
        <v>124154.46118138499</v>
      </c>
      <c r="AP24" s="128">
        <f t="shared" ca="1" si="43"/>
        <v>0</v>
      </c>
      <c r="AQ24" s="128">
        <f t="shared" ca="1" si="43"/>
        <v>87776.781732987452</v>
      </c>
      <c r="AR24" s="128">
        <f t="shared" ca="1" si="43"/>
        <v>0</v>
      </c>
      <c r="AT24" s="40"/>
      <c r="AU24" s="128">
        <f t="shared" ref="AU24:BC24" ca="1" si="44">+SUM(AU23:AU23)</f>
        <v>555276.58781834354</v>
      </c>
      <c r="AV24" s="128">
        <f t="shared" ca="1" si="44"/>
        <v>2221106.3512733742</v>
      </c>
      <c r="AW24" s="128">
        <f t="shared" ca="1" si="44"/>
        <v>406036.50422037201</v>
      </c>
      <c r="AX24" s="128">
        <f t="shared" ca="1" si="44"/>
        <v>115941.03777754919</v>
      </c>
      <c r="AY24" s="128">
        <f t="shared" ca="1" si="44"/>
        <v>405414.46438242425</v>
      </c>
      <c r="AZ24" s="128">
        <f t="shared" ca="1" si="44"/>
        <v>3175202.9287669314</v>
      </c>
      <c r="BA24" s="128">
        <f t="shared" ca="1" si="44"/>
        <v>1216243.3931472728</v>
      </c>
      <c r="BB24" s="128">
        <f t="shared" ca="1" si="44"/>
        <v>248815.93517908663</v>
      </c>
      <c r="BC24" s="128">
        <f t="shared" ca="1" si="44"/>
        <v>777549.79743464582</v>
      </c>
    </row>
    <row r="25" spans="2:55" x14ac:dyDescent="0.2">
      <c r="B25" s="9"/>
      <c r="C25" s="9"/>
      <c r="D25" s="9"/>
      <c r="E25" s="9"/>
      <c r="F25" s="9"/>
      <c r="G25" s="9"/>
      <c r="H25" s="9"/>
      <c r="I25" s="9"/>
      <c r="J25" s="9"/>
      <c r="M25" s="210"/>
      <c r="N25" s="210"/>
      <c r="O25" s="210"/>
      <c r="P25" s="210"/>
      <c r="Q25" s="210"/>
      <c r="R25" s="210"/>
      <c r="S25" s="210"/>
      <c r="T25" s="210"/>
      <c r="U25" s="210"/>
      <c r="X25" s="40"/>
      <c r="Y25" s="210"/>
      <c r="Z25" s="210"/>
      <c r="AA25" s="210"/>
      <c r="AB25" s="210"/>
      <c r="AC25" s="210"/>
      <c r="AD25" s="210"/>
      <c r="AE25" s="210"/>
      <c r="AF25" s="210"/>
      <c r="AG25" s="210"/>
      <c r="AI25" s="40"/>
      <c r="AJ25" s="210"/>
      <c r="AK25" s="210"/>
      <c r="AL25" s="210"/>
      <c r="AM25" s="210"/>
      <c r="AN25" s="210"/>
      <c r="AO25" s="210"/>
      <c r="AP25" s="210"/>
      <c r="AQ25" s="210"/>
      <c r="AR25" s="210"/>
      <c r="AT25" s="40"/>
      <c r="AU25" s="210"/>
      <c r="AV25" s="210"/>
      <c r="AW25" s="210"/>
      <c r="AX25" s="210"/>
      <c r="AY25" s="210"/>
      <c r="AZ25" s="210"/>
      <c r="BA25" s="210"/>
      <c r="BB25" s="210"/>
      <c r="BC25" s="210"/>
    </row>
    <row r="26" spans="2:55" ht="32.25" customHeight="1" x14ac:dyDescent="0.2">
      <c r="B26" s="15" t="s">
        <v>8</v>
      </c>
      <c r="C26" s="16"/>
      <c r="D26" s="16"/>
      <c r="E26" s="16"/>
      <c r="F26" s="44" t="s">
        <v>56</v>
      </c>
      <c r="G26" s="15" t="s">
        <v>17</v>
      </c>
      <c r="H26" s="23" t="str">
        <f>+H$22</f>
        <v>I</v>
      </c>
      <c r="I26" s="23" t="str">
        <f t="shared" ref="I26:J26" si="45">+I$22</f>
        <v>II</v>
      </c>
      <c r="J26" s="45" t="str">
        <f t="shared" si="45"/>
        <v>III</v>
      </c>
      <c r="M26" s="211" t="str">
        <f t="shared" ref="M26:U26" ca="1" si="46">+M$22</f>
        <v>Affordable Residential</v>
      </c>
      <c r="N26" s="211" t="str">
        <f t="shared" ca="1" si="46"/>
        <v>Market Rate and WF Residential</v>
      </c>
      <c r="O26" s="211" t="str">
        <f t="shared" ca="1" si="46"/>
        <v>Retail</v>
      </c>
      <c r="P26" s="211" t="str">
        <f t="shared" ca="1" si="46"/>
        <v>Hotel</v>
      </c>
      <c r="Q26" s="211" t="str">
        <f t="shared" ca="1" si="46"/>
        <v>Community Facility</v>
      </c>
      <c r="R26" s="211" t="str">
        <f t="shared" ca="1" si="46"/>
        <v>Office</v>
      </c>
      <c r="S26" s="211" t="str">
        <f t="shared" ca="1" si="46"/>
        <v>Industrial</v>
      </c>
      <c r="T26" s="211" t="str">
        <f t="shared" ca="1" si="46"/>
        <v>Structural Parking</v>
      </c>
      <c r="U26" s="211" t="str">
        <f t="shared" ca="1" si="46"/>
        <v>Surface Parking</v>
      </c>
      <c r="X26" s="40"/>
      <c r="Y26" s="211" t="str">
        <f t="shared" ref="Y26:AG26" ca="1" si="47">+Y$22</f>
        <v>Affordable Residential</v>
      </c>
      <c r="Z26" s="211" t="str">
        <f t="shared" ca="1" si="47"/>
        <v>Market Rate and WF Residential</v>
      </c>
      <c r="AA26" s="211" t="str">
        <f t="shared" ca="1" si="47"/>
        <v>Retail</v>
      </c>
      <c r="AB26" s="211" t="str">
        <f t="shared" ca="1" si="47"/>
        <v>Hotel</v>
      </c>
      <c r="AC26" s="211" t="str">
        <f t="shared" ca="1" si="47"/>
        <v>Community Facility</v>
      </c>
      <c r="AD26" s="211" t="str">
        <f t="shared" ca="1" si="47"/>
        <v>Office</v>
      </c>
      <c r="AE26" s="211" t="str">
        <f t="shared" ca="1" si="47"/>
        <v>Industrial</v>
      </c>
      <c r="AF26" s="211" t="str">
        <f t="shared" ca="1" si="47"/>
        <v>Structural Parking</v>
      </c>
      <c r="AG26" s="211" t="str">
        <f t="shared" ca="1" si="47"/>
        <v>Surface Parking</v>
      </c>
      <c r="AI26" s="40"/>
      <c r="AJ26" s="211" t="str">
        <f t="shared" ref="AJ26:AR26" ca="1" si="48">+AJ$22</f>
        <v>Affordable Residential</v>
      </c>
      <c r="AK26" s="211" t="str">
        <f t="shared" ca="1" si="48"/>
        <v>Market Rate and WF Residential</v>
      </c>
      <c r="AL26" s="211" t="str">
        <f t="shared" ca="1" si="48"/>
        <v>Retail</v>
      </c>
      <c r="AM26" s="211" t="str">
        <f t="shared" ca="1" si="48"/>
        <v>Hotel</v>
      </c>
      <c r="AN26" s="211" t="str">
        <f t="shared" ca="1" si="48"/>
        <v>Community Facility</v>
      </c>
      <c r="AO26" s="211" t="str">
        <f t="shared" ca="1" si="48"/>
        <v>Office</v>
      </c>
      <c r="AP26" s="211" t="str">
        <f t="shared" ca="1" si="48"/>
        <v>Industrial</v>
      </c>
      <c r="AQ26" s="211" t="str">
        <f t="shared" ca="1" si="48"/>
        <v>Structural Parking</v>
      </c>
      <c r="AR26" s="211" t="str">
        <f t="shared" ca="1" si="48"/>
        <v>Surface Parking</v>
      </c>
      <c r="AT26" s="40"/>
      <c r="AU26" s="211" t="str">
        <f t="shared" ref="AU26:BC26" ca="1" si="49">+AU$22</f>
        <v>Affordable Residential</v>
      </c>
      <c r="AV26" s="211" t="str">
        <f t="shared" ca="1" si="49"/>
        <v>Market Rate and WF Residential</v>
      </c>
      <c r="AW26" s="211" t="str">
        <f t="shared" ca="1" si="49"/>
        <v>Retail</v>
      </c>
      <c r="AX26" s="211" t="str">
        <f t="shared" ca="1" si="49"/>
        <v>Hotel</v>
      </c>
      <c r="AY26" s="211" t="str">
        <f t="shared" ca="1" si="49"/>
        <v>Community Facility</v>
      </c>
      <c r="AZ26" s="211" t="str">
        <f t="shared" ca="1" si="49"/>
        <v>Office</v>
      </c>
      <c r="BA26" s="211" t="str">
        <f t="shared" ca="1" si="49"/>
        <v>Industrial</v>
      </c>
      <c r="BB26" s="211" t="str">
        <f t="shared" ca="1" si="49"/>
        <v>Structural Parking</v>
      </c>
      <c r="BC26" s="211" t="str">
        <f t="shared" ca="1" si="49"/>
        <v>Surface Parking</v>
      </c>
    </row>
    <row r="27" spans="2:55" x14ac:dyDescent="0.2">
      <c r="B27" s="9" t="s">
        <v>909</v>
      </c>
      <c r="C27" s="9"/>
      <c r="D27" s="39"/>
      <c r="E27" s="20"/>
      <c r="F27" s="104">
        <f t="shared" ref="F27:F31" ca="1" si="50">+G27/$G$10</f>
        <v>1.9101514050109893</v>
      </c>
      <c r="G27" s="42">
        <f>+SUM(H27:J27)</f>
        <v>8498000</v>
      </c>
      <c r="H27" s="33">
        <f>Infra!G10+Infra!G15+Infra!G16</f>
        <v>0</v>
      </c>
      <c r="I27" s="33">
        <f>Infra!H10+Infra!H15+Infra!H16</f>
        <v>322000</v>
      </c>
      <c r="J27" s="33">
        <f>Infra!I10+Infra!I15+Infra!I16</f>
        <v>8176000</v>
      </c>
      <c r="M27" s="38">
        <f t="shared" ref="M27:U30" ca="1" si="51">+$H27*M$5+$I27*M$6+$J27*M$7</f>
        <v>527057.68543893984</v>
      </c>
      <c r="N27" s="38">
        <f t="shared" ca="1" si="51"/>
        <v>2108230.7417557593</v>
      </c>
      <c r="O27" s="38">
        <f t="shared" ca="1" si="51"/>
        <v>414084.41870110785</v>
      </c>
      <c r="P27" s="38">
        <f t="shared" ca="1" si="51"/>
        <v>145737.80274973586</v>
      </c>
      <c r="Q27" s="38">
        <f t="shared" ca="1" si="51"/>
        <v>363387.27688402258</v>
      </c>
      <c r="R27" s="38">
        <f t="shared" ca="1" si="51"/>
        <v>2894860.791436072</v>
      </c>
      <c r="S27" s="38">
        <f t="shared" ca="1" si="51"/>
        <v>1090161.8306520677</v>
      </c>
      <c r="T27" s="38">
        <f t="shared" ca="1" si="51"/>
        <v>257534.15724607906</v>
      </c>
      <c r="U27" s="38">
        <f t="shared" ca="1" si="51"/>
        <v>696945.29513621517</v>
      </c>
      <c r="X27" s="40"/>
      <c r="Y27" s="38">
        <f t="shared" ref="Y27:AG30" ca="1" si="52">+$H27*Y$5+$I27*Y$6+$J27*Y$7</f>
        <v>0</v>
      </c>
      <c r="Z27" s="38">
        <f t="shared" ca="1" si="52"/>
        <v>0</v>
      </c>
      <c r="AA27" s="38">
        <f t="shared" ca="1" si="52"/>
        <v>0</v>
      </c>
      <c r="AB27" s="38">
        <f t="shared" ca="1" si="52"/>
        <v>0</v>
      </c>
      <c r="AC27" s="38">
        <f t="shared" ca="1" si="52"/>
        <v>0</v>
      </c>
      <c r="AD27" s="38">
        <f t="shared" ca="1" si="52"/>
        <v>0</v>
      </c>
      <c r="AE27" s="38">
        <f t="shared" ca="1" si="52"/>
        <v>0</v>
      </c>
      <c r="AF27" s="38">
        <f t="shared" ca="1" si="52"/>
        <v>0</v>
      </c>
      <c r="AG27" s="38">
        <f t="shared" ca="1" si="52"/>
        <v>0</v>
      </c>
      <c r="AI27" s="40"/>
      <c r="AJ27" s="38">
        <f t="shared" ref="AJ27:AR30" ca="1" si="53">+$H27*AJ$5+$I27*AJ$6+$J27*AJ$7</f>
        <v>29343.704088679566</v>
      </c>
      <c r="AK27" s="38">
        <f t="shared" ca="1" si="53"/>
        <v>117374.81635471826</v>
      </c>
      <c r="AL27" s="38">
        <f t="shared" ca="1" si="53"/>
        <v>50139.585580976316</v>
      </c>
      <c r="AM27" s="38">
        <f t="shared" ca="1" si="53"/>
        <v>41815.763211085148</v>
      </c>
      <c r="AN27" s="38">
        <f t="shared" ca="1" si="53"/>
        <v>0</v>
      </c>
      <c r="AO27" s="38">
        <f t="shared" ca="1" si="53"/>
        <v>48814.467962050519</v>
      </c>
      <c r="AP27" s="38">
        <f t="shared" ca="1" si="53"/>
        <v>0</v>
      </c>
      <c r="AQ27" s="38">
        <f t="shared" ca="1" si="53"/>
        <v>34511.662802490195</v>
      </c>
      <c r="AR27" s="38">
        <f t="shared" ca="1" si="53"/>
        <v>0</v>
      </c>
      <c r="AT27" s="40"/>
      <c r="AU27" s="38">
        <f t="shared" ref="AU27:BC30" ca="1" si="54">+$H27*AU$5+$I27*AU$6+$J27*AU$7</f>
        <v>497713.98135026032</v>
      </c>
      <c r="AV27" s="38">
        <f t="shared" ca="1" si="54"/>
        <v>1990855.9254010413</v>
      </c>
      <c r="AW27" s="38">
        <f t="shared" ca="1" si="54"/>
        <v>363944.83312013152</v>
      </c>
      <c r="AX27" s="38">
        <f t="shared" ca="1" si="54"/>
        <v>103922.0395386507</v>
      </c>
      <c r="AY27" s="38">
        <f t="shared" ca="1" si="54"/>
        <v>363387.27688402258</v>
      </c>
      <c r="AZ27" s="38">
        <f t="shared" ca="1" si="54"/>
        <v>2846046.3234740216</v>
      </c>
      <c r="BA27" s="38">
        <f t="shared" ca="1" si="54"/>
        <v>1090161.8306520677</v>
      </c>
      <c r="BB27" s="38">
        <f t="shared" ca="1" si="54"/>
        <v>223022.49444358886</v>
      </c>
      <c r="BC27" s="38">
        <f t="shared" ca="1" si="54"/>
        <v>696945.29513621517</v>
      </c>
    </row>
    <row r="28" spans="2:55" x14ac:dyDescent="0.2">
      <c r="B28" s="9" t="s">
        <v>38</v>
      </c>
      <c r="C28" s="9"/>
      <c r="D28" s="17"/>
      <c r="F28" s="104">
        <f t="shared" ca="1" si="50"/>
        <v>1.5965543547990475</v>
      </c>
      <c r="G28" s="28">
        <f>+SUM(H28:J28)</f>
        <v>7102850</v>
      </c>
      <c r="H28" s="38">
        <f>SUM(Infra!G17,Infra!G19:G22)</f>
        <v>2632890</v>
      </c>
      <c r="I28" s="38">
        <f>SUM(Infra!H17,Infra!H19:H22)</f>
        <v>1791600</v>
      </c>
      <c r="J28" s="38">
        <f>SUM(Infra!I17,Infra!I19:I22)</f>
        <v>2678360</v>
      </c>
      <c r="M28" s="38">
        <f t="shared" ca="1" si="51"/>
        <v>521425.31910078158</v>
      </c>
      <c r="N28" s="38">
        <f t="shared" ca="1" si="51"/>
        <v>2085701.2764031263</v>
      </c>
      <c r="O28" s="38">
        <f t="shared" ca="1" si="51"/>
        <v>776636.36851424724</v>
      </c>
      <c r="P28" s="38">
        <f t="shared" ca="1" si="51"/>
        <v>588942.85053301707</v>
      </c>
      <c r="Q28" s="38">
        <f t="shared" ca="1" si="51"/>
        <v>241573.61361047748</v>
      </c>
      <c r="R28" s="38">
        <f t="shared" ca="1" si="51"/>
        <v>1909520.9989881869</v>
      </c>
      <c r="S28" s="38">
        <f t="shared" ca="1" si="51"/>
        <v>357124.00204810081</v>
      </c>
      <c r="T28" s="38">
        <f t="shared" ca="1" si="51"/>
        <v>393614.61181465682</v>
      </c>
      <c r="U28" s="38">
        <f t="shared" ca="1" si="51"/>
        <v>228310.95898740622</v>
      </c>
      <c r="V28" s="115"/>
      <c r="W28" s="115"/>
      <c r="X28" s="40"/>
      <c r="Y28" s="38">
        <f t="shared" ca="1" si="52"/>
        <v>195112.51969692693</v>
      </c>
      <c r="Z28" s="38">
        <f t="shared" ca="1" si="52"/>
        <v>780450.07878770772</v>
      </c>
      <c r="AA28" s="38">
        <f t="shared" ca="1" si="52"/>
        <v>378436.97726246103</v>
      </c>
      <c r="AB28" s="38">
        <f t="shared" ca="1" si="52"/>
        <v>322237.36333126301</v>
      </c>
      <c r="AC28" s="38">
        <f t="shared" ca="1" si="52"/>
        <v>122532.2795944439</v>
      </c>
      <c r="AD28" s="38">
        <f t="shared" ca="1" si="52"/>
        <v>705587.71078894986</v>
      </c>
      <c r="AE28" s="38">
        <f t="shared" ca="1" si="52"/>
        <v>0</v>
      </c>
      <c r="AF28" s="38">
        <f t="shared" ca="1" si="52"/>
        <v>128533.07053824762</v>
      </c>
      <c r="AG28" s="38">
        <f t="shared" ca="1" si="52"/>
        <v>0</v>
      </c>
      <c r="AI28" s="40"/>
      <c r="AJ28" s="38">
        <f t="shared" ca="1" si="53"/>
        <v>163267.64051328666</v>
      </c>
      <c r="AK28" s="38">
        <f t="shared" ca="1" si="53"/>
        <v>653070.56205314666</v>
      </c>
      <c r="AL28" s="38">
        <f t="shared" ca="1" si="53"/>
        <v>278975.40846856264</v>
      </c>
      <c r="AM28" s="38">
        <f t="shared" ca="1" si="53"/>
        <v>232661.86760552844</v>
      </c>
      <c r="AN28" s="38">
        <f t="shared" ca="1" si="53"/>
        <v>0</v>
      </c>
      <c r="AO28" s="38">
        <f t="shared" ca="1" si="53"/>
        <v>271602.48695903638</v>
      </c>
      <c r="AP28" s="38">
        <f t="shared" ca="1" si="53"/>
        <v>0</v>
      </c>
      <c r="AQ28" s="38">
        <f t="shared" ca="1" si="53"/>
        <v>192022.03440043921</v>
      </c>
      <c r="AR28" s="38">
        <f t="shared" ca="1" si="53"/>
        <v>0</v>
      </c>
      <c r="AT28" s="40"/>
      <c r="AU28" s="38">
        <f t="shared" ca="1" si="54"/>
        <v>163045.15889056792</v>
      </c>
      <c r="AV28" s="38">
        <f t="shared" ca="1" si="54"/>
        <v>652180.63556227169</v>
      </c>
      <c r="AW28" s="38">
        <f t="shared" ca="1" si="54"/>
        <v>119223.98278322352</v>
      </c>
      <c r="AX28" s="38">
        <f t="shared" ca="1" si="54"/>
        <v>34043.619596225595</v>
      </c>
      <c r="AY28" s="38">
        <f t="shared" ca="1" si="54"/>
        <v>119041.33401603359</v>
      </c>
      <c r="AZ28" s="38">
        <f t="shared" ca="1" si="54"/>
        <v>932330.80124020076</v>
      </c>
      <c r="BA28" s="38">
        <f t="shared" ca="1" si="54"/>
        <v>357124.00204810081</v>
      </c>
      <c r="BB28" s="38">
        <f t="shared" ca="1" si="54"/>
        <v>73059.506875969993</v>
      </c>
      <c r="BC28" s="38">
        <f t="shared" ca="1" si="54"/>
        <v>228310.95898740622</v>
      </c>
    </row>
    <row r="29" spans="2:55" x14ac:dyDescent="0.2">
      <c r="B29" s="9" t="s">
        <v>62</v>
      </c>
      <c r="C29" s="9"/>
      <c r="D29" s="17"/>
      <c r="E29" s="9"/>
      <c r="F29" s="104">
        <f t="shared" ca="1" si="50"/>
        <v>8.5538023278570794</v>
      </c>
      <c r="G29" s="28">
        <f>+SUM(H29:J29)</f>
        <v>38054686.131914899</v>
      </c>
      <c r="H29" s="38">
        <f>Infra!G23</f>
        <v>19728157.897872344</v>
      </c>
      <c r="I29" s="38">
        <f>Infra!H23</f>
        <v>0</v>
      </c>
      <c r="J29" s="38">
        <f>Infra!I23</f>
        <v>18326528.234042555</v>
      </c>
      <c r="M29" s="38">
        <f t="shared" ca="1" si="51"/>
        <v>2577599.0368011519</v>
      </c>
      <c r="N29" s="38">
        <f t="shared" ca="1" si="51"/>
        <v>10310396.147204608</v>
      </c>
      <c r="O29" s="38">
        <f t="shared" ca="1" si="51"/>
        <v>3651399.2062988626</v>
      </c>
      <c r="P29" s="38">
        <f t="shared" ca="1" si="51"/>
        <v>2647455.4908845066</v>
      </c>
      <c r="Q29" s="38">
        <f t="shared" ca="1" si="51"/>
        <v>1732663.9862844783</v>
      </c>
      <c r="R29" s="38">
        <f t="shared" ca="1" si="51"/>
        <v>11666366.705976054</v>
      </c>
      <c r="S29" s="38">
        <f t="shared" ca="1" si="51"/>
        <v>2443600.9746967512</v>
      </c>
      <c r="T29" s="38">
        <f t="shared" ca="1" si="51"/>
        <v>1462999.6389425336</v>
      </c>
      <c r="U29" s="38">
        <f t="shared" ca="1" si="51"/>
        <v>1562204.9448259503</v>
      </c>
      <c r="X29" s="40"/>
      <c r="Y29" s="38">
        <f t="shared" ca="1" si="52"/>
        <v>1461971.6723572584</v>
      </c>
      <c r="Z29" s="38">
        <f t="shared" ca="1" si="52"/>
        <v>5847886.6894290335</v>
      </c>
      <c r="AA29" s="38">
        <f t="shared" ca="1" si="52"/>
        <v>2835615.7841107515</v>
      </c>
      <c r="AB29" s="38">
        <f t="shared" ca="1" si="52"/>
        <v>2414513.931228884</v>
      </c>
      <c r="AC29" s="38">
        <f t="shared" ca="1" si="52"/>
        <v>918130.32805222797</v>
      </c>
      <c r="AD29" s="38">
        <f t="shared" ca="1" si="52"/>
        <v>5286945.4360959586</v>
      </c>
      <c r="AE29" s="38">
        <f t="shared" ca="1" si="52"/>
        <v>0</v>
      </c>
      <c r="AF29" s="38">
        <f t="shared" ca="1" si="52"/>
        <v>963094.05659822957</v>
      </c>
      <c r="AG29" s="38">
        <f t="shared" ca="1" si="52"/>
        <v>0</v>
      </c>
      <c r="AI29" s="40"/>
      <c r="AJ29" s="38">
        <f t="shared" ca="1" si="53"/>
        <v>0</v>
      </c>
      <c r="AK29" s="38">
        <f t="shared" ca="1" si="53"/>
        <v>0</v>
      </c>
      <c r="AL29" s="38">
        <f t="shared" ca="1" si="53"/>
        <v>0</v>
      </c>
      <c r="AM29" s="38">
        <f t="shared" ca="1" si="53"/>
        <v>0</v>
      </c>
      <c r="AN29" s="38">
        <f t="shared" ca="1" si="53"/>
        <v>0</v>
      </c>
      <c r="AO29" s="38">
        <f t="shared" ca="1" si="53"/>
        <v>0</v>
      </c>
      <c r="AP29" s="38">
        <f t="shared" ca="1" si="53"/>
        <v>0</v>
      </c>
      <c r="AQ29" s="38">
        <f t="shared" ca="1" si="53"/>
        <v>0</v>
      </c>
      <c r="AR29" s="38">
        <f t="shared" ca="1" si="53"/>
        <v>0</v>
      </c>
      <c r="AT29" s="40"/>
      <c r="AU29" s="38">
        <f t="shared" ca="1" si="54"/>
        <v>1115627.3644438938</v>
      </c>
      <c r="AV29" s="38">
        <f t="shared" ca="1" si="54"/>
        <v>4462509.4577755751</v>
      </c>
      <c r="AW29" s="38">
        <f t="shared" ca="1" si="54"/>
        <v>815783.42218811112</v>
      </c>
      <c r="AX29" s="38">
        <f t="shared" ca="1" si="54"/>
        <v>232941.5596556224</v>
      </c>
      <c r="AY29" s="38">
        <f t="shared" ca="1" si="54"/>
        <v>814533.65823225037</v>
      </c>
      <c r="AZ29" s="38">
        <f t="shared" ca="1" si="54"/>
        <v>6379421.2698800964</v>
      </c>
      <c r="BA29" s="38">
        <f t="shared" ca="1" si="54"/>
        <v>2443600.9746967512</v>
      </c>
      <c r="BB29" s="38">
        <f t="shared" ca="1" si="54"/>
        <v>499905.58234430407</v>
      </c>
      <c r="BC29" s="38">
        <f t="shared" ca="1" si="54"/>
        <v>1562204.9448259503</v>
      </c>
    </row>
    <row r="30" spans="2:55" x14ac:dyDescent="0.2">
      <c r="B30" s="9" t="s">
        <v>376</v>
      </c>
      <c r="C30" s="9"/>
      <c r="D30" s="39"/>
      <c r="E30" s="20"/>
      <c r="F30" s="104">
        <f t="shared" ca="1" si="50"/>
        <v>4.7742546296108985</v>
      </c>
      <c r="G30" s="537">
        <f>+SUM(H30:J30)</f>
        <v>21240000</v>
      </c>
      <c r="H30" s="38">
        <f>SUM(Infra!G6:G7)</f>
        <v>8992500</v>
      </c>
      <c r="I30" s="38">
        <f>SUM(Infra!H6:H7)</f>
        <v>8347500</v>
      </c>
      <c r="J30" s="38">
        <f>SUM(Infra!I6:I7)</f>
        <v>3900000</v>
      </c>
      <c r="M30" s="38">
        <f t="shared" ca="1" si="51"/>
        <v>1664512.8720950398</v>
      </c>
      <c r="N30" s="38">
        <f t="shared" ca="1" si="51"/>
        <v>6658051.4883801593</v>
      </c>
      <c r="O30" s="38">
        <f t="shared" ca="1" si="51"/>
        <v>2765950.0561192618</v>
      </c>
      <c r="P30" s="38">
        <f t="shared" ca="1" si="51"/>
        <v>2234184.7269138955</v>
      </c>
      <c r="Q30" s="38">
        <f t="shared" ca="1" si="51"/>
        <v>591840.54564316978</v>
      </c>
      <c r="R30" s="38">
        <f t="shared" ca="1" si="51"/>
        <v>5032941.2622181736</v>
      </c>
      <c r="S30" s="38">
        <f t="shared" ca="1" si="51"/>
        <v>520013.59338833956</v>
      </c>
      <c r="T30" s="38">
        <f t="shared" ca="1" si="51"/>
        <v>1440058.4578066336</v>
      </c>
      <c r="U30" s="38">
        <f t="shared" ca="1" si="51"/>
        <v>332446.99743532768</v>
      </c>
      <c r="X30" s="40"/>
      <c r="Y30" s="38">
        <f t="shared" ca="1" si="52"/>
        <v>666396.74782258866</v>
      </c>
      <c r="Z30" s="38">
        <f t="shared" ca="1" si="52"/>
        <v>2665586.9912903546</v>
      </c>
      <c r="AA30" s="38">
        <f t="shared" ca="1" si="52"/>
        <v>1292531.9774212674</v>
      </c>
      <c r="AB30" s="38">
        <f t="shared" ca="1" si="52"/>
        <v>1100585.094613289</v>
      </c>
      <c r="AC30" s="38">
        <f t="shared" ca="1" si="52"/>
        <v>418502.68118038989</v>
      </c>
      <c r="AD30" s="38">
        <f t="shared" ca="1" si="52"/>
        <v>2409898.4345223811</v>
      </c>
      <c r="AE30" s="38">
        <f t="shared" ca="1" si="52"/>
        <v>0</v>
      </c>
      <c r="AF30" s="38">
        <f t="shared" ca="1" si="52"/>
        <v>438998.07314972964</v>
      </c>
      <c r="AG30" s="38">
        <f t="shared" ca="1" si="52"/>
        <v>0</v>
      </c>
      <c r="AI30" s="40"/>
      <c r="AJ30" s="38">
        <f t="shared" ca="1" si="53"/>
        <v>760703.63316848653</v>
      </c>
      <c r="AK30" s="38">
        <f t="shared" ca="1" si="53"/>
        <v>3042814.5326739461</v>
      </c>
      <c r="AL30" s="38">
        <f t="shared" ca="1" si="53"/>
        <v>1299814.2566372664</v>
      </c>
      <c r="AM30" s="38">
        <f t="shared" ca="1" si="53"/>
        <v>1084028.2093308487</v>
      </c>
      <c r="AN30" s="38">
        <f t="shared" ca="1" si="53"/>
        <v>0</v>
      </c>
      <c r="AO30" s="38">
        <f t="shared" ca="1" si="53"/>
        <v>1265462.022711853</v>
      </c>
      <c r="AP30" s="38">
        <f t="shared" ca="1" si="53"/>
        <v>0</v>
      </c>
      <c r="AQ30" s="38">
        <f t="shared" ca="1" si="53"/>
        <v>894677.34547759907</v>
      </c>
      <c r="AR30" s="38">
        <f t="shared" ca="1" si="53"/>
        <v>0</v>
      </c>
      <c r="AT30" s="40"/>
      <c r="AU30" s="38">
        <f t="shared" ca="1" si="54"/>
        <v>237412.49110396468</v>
      </c>
      <c r="AV30" s="38">
        <f t="shared" ca="1" si="54"/>
        <v>949649.96441585873</v>
      </c>
      <c r="AW30" s="38">
        <f t="shared" ca="1" si="54"/>
        <v>173603.8220607281</v>
      </c>
      <c r="AX30" s="38">
        <f t="shared" ca="1" si="54"/>
        <v>49571.42296975755</v>
      </c>
      <c r="AY30" s="38">
        <f t="shared" ca="1" si="54"/>
        <v>173337.86446277986</v>
      </c>
      <c r="AZ30" s="38">
        <f t="shared" ca="1" si="54"/>
        <v>1357580.804983939</v>
      </c>
      <c r="BA30" s="38">
        <f t="shared" ca="1" si="54"/>
        <v>520013.59338833956</v>
      </c>
      <c r="BB30" s="38">
        <f t="shared" ca="1" si="54"/>
        <v>106383.03917930486</v>
      </c>
      <c r="BC30" s="38">
        <f t="shared" ca="1" si="54"/>
        <v>332446.99743532768</v>
      </c>
    </row>
    <row r="31" spans="2:55" x14ac:dyDescent="0.2">
      <c r="B31" s="12" t="s">
        <v>67</v>
      </c>
      <c r="C31" s="12"/>
      <c r="D31" s="12"/>
      <c r="E31" s="12"/>
      <c r="F31" s="105">
        <f t="shared" ca="1" si="50"/>
        <v>16.834762717278014</v>
      </c>
      <c r="G31" s="13">
        <f>SUM(H31:J31)</f>
        <v>74895536.131914899</v>
      </c>
      <c r="H31" s="128">
        <f>+SUM(H27:H30)</f>
        <v>31353547.897872344</v>
      </c>
      <c r="I31" s="128">
        <f>+SUM(I27:I30)</f>
        <v>10461100</v>
      </c>
      <c r="J31" s="128">
        <f>+SUM(J27:J30)</f>
        <v>33080888.234042555</v>
      </c>
      <c r="M31" s="128">
        <f t="shared" ref="M31:U31" ca="1" si="55">+SUM(M27:M30)</f>
        <v>5290594.9134359136</v>
      </c>
      <c r="N31" s="128">
        <f t="shared" ca="1" si="55"/>
        <v>21162379.653743654</v>
      </c>
      <c r="O31" s="128">
        <f t="shared" ca="1" si="55"/>
        <v>7608070.0496334787</v>
      </c>
      <c r="P31" s="128">
        <f t="shared" ca="1" si="55"/>
        <v>5616320.8710811548</v>
      </c>
      <c r="Q31" s="128">
        <f t="shared" ca="1" si="55"/>
        <v>2929465.4224221483</v>
      </c>
      <c r="R31" s="128">
        <f t="shared" ca="1" si="55"/>
        <v>21503689.758618489</v>
      </c>
      <c r="S31" s="128">
        <f t="shared" ca="1" si="55"/>
        <v>4410900.400785259</v>
      </c>
      <c r="T31" s="128">
        <f t="shared" ca="1" si="55"/>
        <v>3554206.8658099035</v>
      </c>
      <c r="U31" s="128">
        <f t="shared" ca="1" si="55"/>
        <v>2819908.1963848993</v>
      </c>
      <c r="X31" s="33">
        <f ca="1">+SUM(Y31:AG31)</f>
        <v>31353547.897872344</v>
      </c>
      <c r="Y31" s="128">
        <f t="shared" ref="Y31:AG31" ca="1" si="56">+SUM(Y27:Y30)</f>
        <v>2323480.9398767739</v>
      </c>
      <c r="Z31" s="128">
        <f t="shared" ca="1" si="56"/>
        <v>9293923.7595070954</v>
      </c>
      <c r="AA31" s="128">
        <f t="shared" ca="1" si="56"/>
        <v>4506584.7387944795</v>
      </c>
      <c r="AB31" s="128">
        <f t="shared" ca="1" si="56"/>
        <v>3837336.389173436</v>
      </c>
      <c r="AC31" s="128">
        <f t="shared" ca="1" si="56"/>
        <v>1459165.2888270617</v>
      </c>
      <c r="AD31" s="128">
        <f t="shared" ca="1" si="56"/>
        <v>8402431.58140729</v>
      </c>
      <c r="AE31" s="128">
        <f t="shared" ca="1" si="56"/>
        <v>0</v>
      </c>
      <c r="AF31" s="128">
        <f t="shared" ca="1" si="56"/>
        <v>1530625.2002862068</v>
      </c>
      <c r="AG31" s="128">
        <f t="shared" ca="1" si="56"/>
        <v>0</v>
      </c>
      <c r="AH31" s="33"/>
      <c r="AI31" s="33">
        <f ca="1">+SUM(AJ31:AR31)</f>
        <v>10461099.999999998</v>
      </c>
      <c r="AJ31" s="128">
        <f t="shared" ref="AJ31:AR31" ca="1" si="57">+SUM(AJ27:AJ30)</f>
        <v>953314.97777045274</v>
      </c>
      <c r="AK31" s="128">
        <f t="shared" ca="1" si="57"/>
        <v>3813259.9110818109</v>
      </c>
      <c r="AL31" s="128">
        <f t="shared" ca="1" si="57"/>
        <v>1628929.2506868052</v>
      </c>
      <c r="AM31" s="128">
        <f t="shared" ca="1" si="57"/>
        <v>1358505.8401474622</v>
      </c>
      <c r="AN31" s="128">
        <f t="shared" ca="1" si="57"/>
        <v>0</v>
      </c>
      <c r="AO31" s="128">
        <f t="shared" ca="1" si="57"/>
        <v>1585878.9776329398</v>
      </c>
      <c r="AP31" s="128">
        <f t="shared" ca="1" si="57"/>
        <v>0</v>
      </c>
      <c r="AQ31" s="128">
        <f t="shared" ca="1" si="57"/>
        <v>1121211.0426805285</v>
      </c>
      <c r="AR31" s="128">
        <f t="shared" ca="1" si="57"/>
        <v>0</v>
      </c>
      <c r="AT31" s="33">
        <f ca="1">+SUM(AU31:BC31)</f>
        <v>33080888.234042555</v>
      </c>
      <c r="AU31" s="128">
        <f t="shared" ref="AU31:BC31" ca="1" si="58">+SUM(AU27:AU30)</f>
        <v>2013798.9957886867</v>
      </c>
      <c r="AV31" s="128">
        <f t="shared" ca="1" si="58"/>
        <v>8055195.9831547467</v>
      </c>
      <c r="AW31" s="128">
        <f t="shared" ca="1" si="58"/>
        <v>1472556.060152194</v>
      </c>
      <c r="AX31" s="128">
        <f t="shared" ca="1" si="58"/>
        <v>420478.64176025626</v>
      </c>
      <c r="AY31" s="128">
        <f t="shared" ca="1" si="58"/>
        <v>1470300.1335950864</v>
      </c>
      <c r="AZ31" s="128">
        <f t="shared" ca="1" si="58"/>
        <v>11515379.199578259</v>
      </c>
      <c r="BA31" s="128">
        <f t="shared" ca="1" si="58"/>
        <v>4410900.400785259</v>
      </c>
      <c r="BB31" s="128">
        <f t="shared" ca="1" si="58"/>
        <v>902370.62284316774</v>
      </c>
      <c r="BC31" s="128">
        <f t="shared" ca="1" si="58"/>
        <v>2819908.1963848993</v>
      </c>
    </row>
    <row r="32" spans="2:55" x14ac:dyDescent="0.2">
      <c r="B32" s="9"/>
      <c r="C32" s="9"/>
      <c r="D32" s="9"/>
      <c r="E32" s="9"/>
      <c r="F32" s="9"/>
      <c r="G32" s="9"/>
      <c r="H32" s="38"/>
      <c r="I32" s="9"/>
      <c r="J32" s="38"/>
      <c r="M32" s="32"/>
      <c r="N32" s="32"/>
      <c r="O32" s="32"/>
      <c r="P32" s="32"/>
      <c r="Q32" s="32"/>
      <c r="R32" s="32"/>
      <c r="S32" s="32"/>
      <c r="T32" s="32"/>
      <c r="U32" s="32"/>
      <c r="X32" s="40"/>
      <c r="Y32" s="32"/>
      <c r="Z32" s="32"/>
      <c r="AA32" s="32"/>
      <c r="AB32" s="32"/>
      <c r="AC32" s="32"/>
      <c r="AD32" s="32"/>
      <c r="AE32" s="32"/>
      <c r="AF32" s="32"/>
      <c r="AG32" s="32"/>
      <c r="AI32" s="40"/>
      <c r="AJ32" s="32"/>
      <c r="AK32" s="32"/>
      <c r="AL32" s="32"/>
      <c r="AM32" s="32"/>
      <c r="AN32" s="32"/>
      <c r="AO32" s="32"/>
      <c r="AP32" s="32"/>
      <c r="AQ32" s="32"/>
      <c r="AR32" s="32"/>
      <c r="AT32" s="40"/>
      <c r="AU32" s="32"/>
      <c r="AV32" s="32"/>
      <c r="AW32" s="32"/>
      <c r="AX32" s="32"/>
      <c r="AY32" s="32"/>
      <c r="AZ32" s="32"/>
      <c r="BA32" s="32"/>
      <c r="BB32" s="32"/>
      <c r="BC32" s="32"/>
    </row>
    <row r="33" spans="2:55" ht="32.25" customHeight="1" x14ac:dyDescent="0.2">
      <c r="B33" s="15" t="s">
        <v>57</v>
      </c>
      <c r="C33" s="16"/>
      <c r="D33" s="16" t="s">
        <v>37</v>
      </c>
      <c r="E33" s="16"/>
      <c r="F33" s="44" t="s">
        <v>56</v>
      </c>
      <c r="G33" s="15" t="s">
        <v>17</v>
      </c>
      <c r="H33" s="23" t="str">
        <f>+H$22</f>
        <v>I</v>
      </c>
      <c r="I33" s="23" t="str">
        <f t="shared" ref="I33:J33" si="59">+I$22</f>
        <v>II</v>
      </c>
      <c r="J33" s="45" t="str">
        <f t="shared" si="59"/>
        <v>III</v>
      </c>
      <c r="M33" s="211" t="str">
        <f t="shared" ref="M33:U33" ca="1" si="60">+M$22</f>
        <v>Affordable Residential</v>
      </c>
      <c r="N33" s="211" t="str">
        <f t="shared" ca="1" si="60"/>
        <v>Market Rate and WF Residential</v>
      </c>
      <c r="O33" s="211" t="str">
        <f t="shared" ca="1" si="60"/>
        <v>Retail</v>
      </c>
      <c r="P33" s="211" t="str">
        <f t="shared" ca="1" si="60"/>
        <v>Hotel</v>
      </c>
      <c r="Q33" s="211" t="str">
        <f t="shared" ca="1" si="60"/>
        <v>Community Facility</v>
      </c>
      <c r="R33" s="211" t="str">
        <f t="shared" ca="1" si="60"/>
        <v>Office</v>
      </c>
      <c r="S33" s="211" t="str">
        <f t="shared" ca="1" si="60"/>
        <v>Industrial</v>
      </c>
      <c r="T33" s="211" t="str">
        <f t="shared" ca="1" si="60"/>
        <v>Structural Parking</v>
      </c>
      <c r="U33" s="211" t="str">
        <f t="shared" ca="1" si="60"/>
        <v>Surface Parking</v>
      </c>
      <c r="X33" s="40"/>
      <c r="Y33" s="211" t="str">
        <f t="shared" ref="Y33:AG33" ca="1" si="61">+Y$22</f>
        <v>Affordable Residential</v>
      </c>
      <c r="Z33" s="211" t="str">
        <f t="shared" ca="1" si="61"/>
        <v>Market Rate and WF Residential</v>
      </c>
      <c r="AA33" s="211" t="str">
        <f t="shared" ca="1" si="61"/>
        <v>Retail</v>
      </c>
      <c r="AB33" s="211" t="str">
        <f t="shared" ca="1" si="61"/>
        <v>Hotel</v>
      </c>
      <c r="AC33" s="211" t="str">
        <f t="shared" ca="1" si="61"/>
        <v>Community Facility</v>
      </c>
      <c r="AD33" s="211" t="str">
        <f t="shared" ca="1" si="61"/>
        <v>Office</v>
      </c>
      <c r="AE33" s="211" t="str">
        <f t="shared" ca="1" si="61"/>
        <v>Industrial</v>
      </c>
      <c r="AF33" s="211" t="str">
        <f t="shared" ca="1" si="61"/>
        <v>Structural Parking</v>
      </c>
      <c r="AG33" s="211" t="str">
        <f t="shared" ca="1" si="61"/>
        <v>Surface Parking</v>
      </c>
      <c r="AI33" s="40"/>
      <c r="AJ33" s="211" t="str">
        <f t="shared" ref="AJ33:AR33" ca="1" si="62">+AJ$22</f>
        <v>Affordable Residential</v>
      </c>
      <c r="AK33" s="211" t="str">
        <f t="shared" ca="1" si="62"/>
        <v>Market Rate and WF Residential</v>
      </c>
      <c r="AL33" s="211" t="str">
        <f t="shared" ca="1" si="62"/>
        <v>Retail</v>
      </c>
      <c r="AM33" s="211" t="str">
        <f t="shared" ca="1" si="62"/>
        <v>Hotel</v>
      </c>
      <c r="AN33" s="211" t="str">
        <f t="shared" ca="1" si="62"/>
        <v>Community Facility</v>
      </c>
      <c r="AO33" s="211" t="str">
        <f t="shared" ca="1" si="62"/>
        <v>Office</v>
      </c>
      <c r="AP33" s="211" t="str">
        <f t="shared" ca="1" si="62"/>
        <v>Industrial</v>
      </c>
      <c r="AQ33" s="211" t="str">
        <f t="shared" ca="1" si="62"/>
        <v>Structural Parking</v>
      </c>
      <c r="AR33" s="211" t="str">
        <f t="shared" ca="1" si="62"/>
        <v>Surface Parking</v>
      </c>
      <c r="AT33" s="40"/>
      <c r="AU33" s="211" t="str">
        <f t="shared" ref="AU33:BC33" ca="1" si="63">+AU$22</f>
        <v>Affordable Residential</v>
      </c>
      <c r="AV33" s="211" t="str">
        <f t="shared" ca="1" si="63"/>
        <v>Market Rate and WF Residential</v>
      </c>
      <c r="AW33" s="211" t="str">
        <f t="shared" ca="1" si="63"/>
        <v>Retail</v>
      </c>
      <c r="AX33" s="211" t="str">
        <f t="shared" ca="1" si="63"/>
        <v>Hotel</v>
      </c>
      <c r="AY33" s="211" t="str">
        <f t="shared" ca="1" si="63"/>
        <v>Community Facility</v>
      </c>
      <c r="AZ33" s="211" t="str">
        <f t="shared" ca="1" si="63"/>
        <v>Office</v>
      </c>
      <c r="BA33" s="211" t="str">
        <f t="shared" ca="1" si="63"/>
        <v>Industrial</v>
      </c>
      <c r="BB33" s="211" t="str">
        <f t="shared" ca="1" si="63"/>
        <v>Structural Parking</v>
      </c>
      <c r="BC33" s="211" t="str">
        <f t="shared" ca="1" si="63"/>
        <v>Surface Parking</v>
      </c>
    </row>
    <row r="34" spans="2:55" x14ac:dyDescent="0.2">
      <c r="B34" s="9" t="s">
        <v>50</v>
      </c>
      <c r="C34" s="9"/>
      <c r="D34" s="17">
        <v>8</v>
      </c>
      <c r="E34" s="9"/>
      <c r="F34" s="104">
        <f t="shared" ref="F34:F45" ca="1" si="64">+G34/$G$10</f>
        <v>3.5964253330402249E-2</v>
      </c>
      <c r="G34" s="21">
        <f t="shared" ref="G34:G44" si="65">+SUM(H34:J34)</f>
        <v>160000</v>
      </c>
      <c r="H34" s="11">
        <f>+$D34*H$9</f>
        <v>160000</v>
      </c>
      <c r="I34" s="33">
        <f t="shared" ref="I34:J34" si="66">+$D34*I$9</f>
        <v>0</v>
      </c>
      <c r="J34" s="33">
        <f t="shared" si="66"/>
        <v>0</v>
      </c>
      <c r="M34" s="38">
        <f t="shared" ref="M34:U34" ca="1" si="67">+$H34*M$5+$I34*M$6+$J34*M$7</f>
        <v>11856.934073017979</v>
      </c>
      <c r="N34" s="38">
        <f t="shared" ca="1" si="67"/>
        <v>47427.736292071917</v>
      </c>
      <c r="O34" s="38">
        <f t="shared" ca="1" si="67"/>
        <v>22997.510857648347</v>
      </c>
      <c r="P34" s="38">
        <f t="shared" ca="1" si="67"/>
        <v>19582.275800736865</v>
      </c>
      <c r="Q34" s="38">
        <f t="shared" ca="1" si="67"/>
        <v>7446.2528761592857</v>
      </c>
      <c r="R34" s="38">
        <f t="shared" ca="1" si="67"/>
        <v>42878.3708116298</v>
      </c>
      <c r="S34" s="38">
        <f t="shared" ca="1" si="67"/>
        <v>0</v>
      </c>
      <c r="T34" s="38">
        <f t="shared" ca="1" si="67"/>
        <v>7810.9192887358067</v>
      </c>
      <c r="U34" s="38">
        <f t="shared" ca="1" si="67"/>
        <v>0</v>
      </c>
      <c r="X34" s="40"/>
      <c r="Y34" s="38">
        <f t="shared" ref="Y34:AG34" ca="1" si="68">+$H34*Y$5+$I34*Y$6+$J34*Y$7</f>
        <v>11856.934073017979</v>
      </c>
      <c r="Z34" s="38">
        <f t="shared" ca="1" si="68"/>
        <v>47427.736292071917</v>
      </c>
      <c r="AA34" s="38">
        <f t="shared" ca="1" si="68"/>
        <v>22997.510857648347</v>
      </c>
      <c r="AB34" s="38">
        <f t="shared" ca="1" si="68"/>
        <v>19582.275800736865</v>
      </c>
      <c r="AC34" s="38">
        <f t="shared" ca="1" si="68"/>
        <v>7446.2528761592857</v>
      </c>
      <c r="AD34" s="38">
        <f t="shared" ca="1" si="68"/>
        <v>42878.3708116298</v>
      </c>
      <c r="AE34" s="38">
        <f t="shared" ca="1" si="68"/>
        <v>0</v>
      </c>
      <c r="AF34" s="38">
        <f t="shared" ca="1" si="68"/>
        <v>7810.9192887358067</v>
      </c>
      <c r="AG34" s="38">
        <f t="shared" ca="1" si="68"/>
        <v>0</v>
      </c>
      <c r="AI34" s="40"/>
      <c r="AJ34" s="38">
        <f t="shared" ref="AJ34:AR34" ca="1" si="69">+$H34*AJ$5+$I34*AJ$6+$J34*AJ$7</f>
        <v>0</v>
      </c>
      <c r="AK34" s="38">
        <f t="shared" ca="1" si="69"/>
        <v>0</v>
      </c>
      <c r="AL34" s="38">
        <f t="shared" ca="1" si="69"/>
        <v>0</v>
      </c>
      <c r="AM34" s="38">
        <f t="shared" ca="1" si="69"/>
        <v>0</v>
      </c>
      <c r="AN34" s="38">
        <f t="shared" ca="1" si="69"/>
        <v>0</v>
      </c>
      <c r="AO34" s="38">
        <f t="shared" ca="1" si="69"/>
        <v>0</v>
      </c>
      <c r="AP34" s="38">
        <f t="shared" ca="1" si="69"/>
        <v>0</v>
      </c>
      <c r="AQ34" s="38">
        <f t="shared" ca="1" si="69"/>
        <v>0</v>
      </c>
      <c r="AR34" s="38">
        <f t="shared" ca="1" si="69"/>
        <v>0</v>
      </c>
      <c r="AT34" s="40"/>
      <c r="AU34" s="38">
        <f t="shared" ref="AU34:BC34" ca="1" si="70">+$H34*AU$5+$I34*AU$6+$J34*AU$7</f>
        <v>0</v>
      </c>
      <c r="AV34" s="38">
        <f t="shared" ca="1" si="70"/>
        <v>0</v>
      </c>
      <c r="AW34" s="38">
        <f t="shared" ca="1" si="70"/>
        <v>0</v>
      </c>
      <c r="AX34" s="38">
        <f t="shared" ca="1" si="70"/>
        <v>0</v>
      </c>
      <c r="AY34" s="38">
        <f t="shared" ca="1" si="70"/>
        <v>0</v>
      </c>
      <c r="AZ34" s="38">
        <f t="shared" ca="1" si="70"/>
        <v>0</v>
      </c>
      <c r="BA34" s="38">
        <f t="shared" ca="1" si="70"/>
        <v>0</v>
      </c>
      <c r="BB34" s="38">
        <f t="shared" ca="1" si="70"/>
        <v>0</v>
      </c>
      <c r="BC34" s="38">
        <f t="shared" ca="1" si="70"/>
        <v>0</v>
      </c>
    </row>
    <row r="35" spans="2:55" x14ac:dyDescent="0.2">
      <c r="B35" s="54" t="s">
        <v>141</v>
      </c>
      <c r="C35" s="9"/>
      <c r="D35" s="17">
        <v>170</v>
      </c>
      <c r="E35" s="9"/>
      <c r="F35" s="104">
        <f t="shared" ca="1" si="64"/>
        <v>12.828245467950573</v>
      </c>
      <c r="G35" s="21">
        <f t="shared" ca="1" si="65"/>
        <v>57071093.789037526</v>
      </c>
      <c r="H35" s="11">
        <f t="shared" ref="H35" ca="1" si="71">+$D35*H11</f>
        <v>21418905.199999999</v>
      </c>
      <c r="I35" s="33">
        <f ca="1">+$D35*I11*(1+'Assumptions and Sensis'!O$107)^'Assumptions and Sensis'!O$108</f>
        <v>15940582.236</v>
      </c>
      <c r="J35" s="33">
        <f ca="1">+$D35*J11*(1+'Assumptions and Sensis'!P$107)^'Assumptions and Sensis'!P$108</f>
        <v>19711606.353037525</v>
      </c>
      <c r="K35" s="33"/>
      <c r="L35" s="33"/>
      <c r="M35" s="33">
        <f ca="1">+$G$35</f>
        <v>57071093.789037526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X35" s="33"/>
      <c r="Y35" s="33">
        <f ca="1">+$H$35</f>
        <v>21418905.199999999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I35" s="33"/>
      <c r="AJ35" s="33">
        <f ca="1">+$I$35</f>
        <v>15940582.236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T35" s="33"/>
      <c r="AU35" s="33">
        <f ca="1">+$J$35</f>
        <v>19711606.353037525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</row>
    <row r="36" spans="2:55" x14ac:dyDescent="0.2">
      <c r="B36" s="54" t="s">
        <v>928</v>
      </c>
      <c r="C36" s="9"/>
      <c r="D36" s="17">
        <v>180</v>
      </c>
      <c r="E36" s="9"/>
      <c r="F36" s="104">
        <f t="shared" ca="1" si="64"/>
        <v>54.331392570143599</v>
      </c>
      <c r="G36" s="21">
        <f t="shared" ca="1" si="65"/>
        <v>241712867.8123942</v>
      </c>
      <c r="H36" s="33">
        <f t="shared" ref="H36" ca="1" si="72">+$D36*H12</f>
        <v>90715363.200000003</v>
      </c>
      <c r="I36" s="33">
        <f ca="1">+$D36*I12*(1+'Assumptions and Sensis'!O$107)^'Assumptions and Sensis'!O$108</f>
        <v>67513054.175999999</v>
      </c>
      <c r="J36" s="33">
        <f ca="1">+$D36*J12*(1+'Assumptions and Sensis'!P$107)^'Assumptions and Sensis'!P$108</f>
        <v>83484450.436394215</v>
      </c>
      <c r="K36" s="33"/>
      <c r="L36" s="33"/>
      <c r="M36" s="33">
        <v>0</v>
      </c>
      <c r="N36" s="33">
        <f ca="1">+$G$36</f>
        <v>241712867.8123942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X36" s="33"/>
      <c r="Y36" s="33">
        <v>0</v>
      </c>
      <c r="Z36" s="33">
        <f ca="1">+$H$36</f>
        <v>90715363.200000003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I36" s="33"/>
      <c r="AJ36" s="33">
        <v>0</v>
      </c>
      <c r="AK36" s="33">
        <f ca="1">+$I$36</f>
        <v>67513054.175999999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T36" s="33"/>
      <c r="AU36" s="33">
        <v>0</v>
      </c>
      <c r="AV36" s="33">
        <f ca="1">+$J$36</f>
        <v>83484450.436394215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</row>
    <row r="37" spans="2:55" x14ac:dyDescent="0.2">
      <c r="B37" s="54" t="s">
        <v>25</v>
      </c>
      <c r="C37" s="9"/>
      <c r="D37" s="17">
        <v>165</v>
      </c>
      <c r="E37" s="9"/>
      <c r="F37" s="104">
        <f t="shared" ca="1" si="64"/>
        <v>18.150322336433902</v>
      </c>
      <c r="G37" s="21">
        <f t="shared" ca="1" si="65"/>
        <v>80748279.330311999</v>
      </c>
      <c r="H37" s="33">
        <f t="shared" ref="H37" ca="1" si="73">+$D37*H13</f>
        <v>40321875</v>
      </c>
      <c r="I37" s="33">
        <f ca="1">+$D37*I13*(1+'Assumptions and Sensis'!O$107)^'Assumptions and Sensis'!O$108</f>
        <v>26436564</v>
      </c>
      <c r="J37" s="33">
        <f ca="1">+$D37*J13*(1+'Assumptions and Sensis'!P$107)^'Assumptions and Sensis'!P$108</f>
        <v>13989840.330312001</v>
      </c>
      <c r="K37" s="33"/>
      <c r="L37" s="33"/>
      <c r="M37" s="33">
        <v>0</v>
      </c>
      <c r="N37" s="33">
        <v>0</v>
      </c>
      <c r="O37" s="33">
        <f ca="1">+$G$37</f>
        <v>80748279.330311999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X37" s="33"/>
      <c r="Y37" s="33">
        <v>0</v>
      </c>
      <c r="Z37" s="33">
        <v>0</v>
      </c>
      <c r="AA37" s="33">
        <f ca="1">+$H$37</f>
        <v>40321875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I37" s="33"/>
      <c r="AJ37" s="33">
        <v>0</v>
      </c>
      <c r="AK37" s="33">
        <v>0</v>
      </c>
      <c r="AL37" s="33">
        <f ca="1">+$I$37</f>
        <v>26436564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T37" s="33"/>
      <c r="AU37" s="33">
        <v>0</v>
      </c>
      <c r="AV37" s="33">
        <v>0</v>
      </c>
      <c r="AW37" s="33">
        <f ca="1">+$J$37</f>
        <v>13989840.330312001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</row>
    <row r="38" spans="2:55" x14ac:dyDescent="0.2">
      <c r="B38" s="54" t="s">
        <v>26</v>
      </c>
      <c r="C38" s="9"/>
      <c r="D38" s="17">
        <v>185</v>
      </c>
      <c r="E38" s="9"/>
      <c r="F38" s="104">
        <f t="shared" ca="1" si="64"/>
        <v>15.216182454911545</v>
      </c>
      <c r="G38" s="21">
        <f t="shared" ca="1" si="65"/>
        <v>67694695.908722684</v>
      </c>
      <c r="H38" s="33">
        <f t="shared" ref="H38" ca="1" si="74">+$D38*H14</f>
        <v>38495577</v>
      </c>
      <c r="I38" s="33">
        <f ca="1">+$D38*I14*(1+'Assumptions and Sensis'!O$107)^'Assumptions and Sensis'!O$108</f>
        <v>24720205.715999998</v>
      </c>
      <c r="J38" s="33">
        <f ca="1">+$D38*J14*(1+'Assumptions and Sensis'!P$107)^'Assumptions and Sensis'!P$108</f>
        <v>4478913.1927226875</v>
      </c>
      <c r="K38" s="33"/>
      <c r="L38" s="33"/>
      <c r="M38" s="33">
        <v>0</v>
      </c>
      <c r="N38" s="33">
        <v>0</v>
      </c>
      <c r="O38" s="33">
        <v>0</v>
      </c>
      <c r="P38" s="33">
        <f ca="1">+$G$38</f>
        <v>67694695.908722684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X38" s="33"/>
      <c r="Y38" s="33">
        <v>0</v>
      </c>
      <c r="Z38" s="33">
        <v>0</v>
      </c>
      <c r="AA38" s="33">
        <v>0</v>
      </c>
      <c r="AB38" s="33">
        <f ca="1">+$H$38</f>
        <v>38495577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I38" s="33"/>
      <c r="AJ38" s="33">
        <v>0</v>
      </c>
      <c r="AK38" s="33">
        <v>0</v>
      </c>
      <c r="AL38" s="33">
        <v>0</v>
      </c>
      <c r="AM38" s="33">
        <f ca="1">+$I$38</f>
        <v>24720205.715999998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T38" s="33"/>
      <c r="AU38" s="33">
        <v>0</v>
      </c>
      <c r="AV38" s="33">
        <v>0</v>
      </c>
      <c r="AW38" s="33">
        <v>0</v>
      </c>
      <c r="AX38" s="33">
        <f ca="1">+$J$38</f>
        <v>4478913.1927226875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</row>
    <row r="39" spans="2:55" x14ac:dyDescent="0.2">
      <c r="B39" s="54" t="s">
        <v>145</v>
      </c>
      <c r="C39" s="9"/>
      <c r="D39" s="17">
        <v>165</v>
      </c>
      <c r="E39" s="9"/>
      <c r="F39" s="104">
        <f t="shared" ca="1" si="64"/>
        <v>6.0743698441408158</v>
      </c>
      <c r="G39" s="21">
        <f t="shared" ca="1" si="65"/>
        <v>27024033.173543997</v>
      </c>
      <c r="H39" s="33">
        <f t="shared" ref="H39" ca="1" si="75">+$D39*H15</f>
        <v>13055625</v>
      </c>
      <c r="I39" s="33">
        <f ca="1">+$D39*I15*(1+'Assumptions and Sensis'!O$107)^'Assumptions and Sensis'!O$108</f>
        <v>0</v>
      </c>
      <c r="J39" s="33">
        <f ca="1">+$D39*J15*(1+'Assumptions and Sensis'!P$107)^'Assumptions and Sensis'!P$108</f>
        <v>13968408.173543999</v>
      </c>
      <c r="K39" s="33"/>
      <c r="L39" s="33"/>
      <c r="M39" s="33">
        <v>0</v>
      </c>
      <c r="N39" s="33">
        <v>0</v>
      </c>
      <c r="O39" s="33">
        <v>0</v>
      </c>
      <c r="P39" s="33">
        <v>0</v>
      </c>
      <c r="Q39" s="33">
        <f ca="1">+$G$39</f>
        <v>27024033.173543997</v>
      </c>
      <c r="R39" s="33">
        <v>0</v>
      </c>
      <c r="S39" s="33">
        <v>0</v>
      </c>
      <c r="T39" s="33">
        <v>0</v>
      </c>
      <c r="U39" s="33">
        <v>0</v>
      </c>
      <c r="X39" s="33"/>
      <c r="Y39" s="33">
        <v>0</v>
      </c>
      <c r="Z39" s="33">
        <v>0</v>
      </c>
      <c r="AA39" s="33">
        <v>0</v>
      </c>
      <c r="AB39" s="33">
        <v>0</v>
      </c>
      <c r="AC39" s="33">
        <f ca="1">+$H$39</f>
        <v>13055625</v>
      </c>
      <c r="AD39" s="33">
        <v>0</v>
      </c>
      <c r="AE39" s="33">
        <v>0</v>
      </c>
      <c r="AF39" s="33">
        <v>0</v>
      </c>
      <c r="AG39" s="33">
        <v>0</v>
      </c>
      <c r="AI39" s="33"/>
      <c r="AJ39" s="33">
        <v>0</v>
      </c>
      <c r="AK39" s="33">
        <v>0</v>
      </c>
      <c r="AL39" s="33">
        <v>0</v>
      </c>
      <c r="AM39" s="33">
        <v>0</v>
      </c>
      <c r="AN39" s="33">
        <f ca="1">+$I$39</f>
        <v>0</v>
      </c>
      <c r="AO39" s="33">
        <v>0</v>
      </c>
      <c r="AP39" s="33">
        <v>0</v>
      </c>
      <c r="AQ39" s="33">
        <v>0</v>
      </c>
      <c r="AR39" s="33">
        <v>0</v>
      </c>
      <c r="AT39" s="33"/>
      <c r="AU39" s="33">
        <v>0</v>
      </c>
      <c r="AV39" s="33">
        <v>0</v>
      </c>
      <c r="AW39" s="33">
        <v>0</v>
      </c>
      <c r="AX39" s="33">
        <v>0</v>
      </c>
      <c r="AY39" s="33">
        <f ca="1">+$J$39</f>
        <v>13968408.173543999</v>
      </c>
      <c r="AZ39" s="33">
        <v>0</v>
      </c>
      <c r="BA39" s="33">
        <v>0</v>
      </c>
      <c r="BB39" s="33">
        <v>0</v>
      </c>
      <c r="BC39" s="33">
        <v>0</v>
      </c>
    </row>
    <row r="40" spans="2:55" x14ac:dyDescent="0.2">
      <c r="B40" s="54" t="s">
        <v>146</v>
      </c>
      <c r="C40" s="9"/>
      <c r="D40" s="17">
        <v>165</v>
      </c>
      <c r="E40" s="9"/>
      <c r="F40" s="104">
        <f t="shared" ca="1" si="64"/>
        <v>47.274477708421969</v>
      </c>
      <c r="G40" s="21">
        <f t="shared" ca="1" si="65"/>
        <v>210317627.44684559</v>
      </c>
      <c r="H40" s="33">
        <f t="shared" ref="H40" ca="1" si="76">+$D40*H16</f>
        <v>75179280</v>
      </c>
      <c r="I40" s="33">
        <f ca="1">+$D40*I16*(1+'Assumptions and Sensis'!O$107)^'Assumptions and Sensis'!O$108</f>
        <v>25737883.379999999</v>
      </c>
      <c r="J40" s="33">
        <f ca="1">+$D40*J16*(1+'Assumptions and Sensis'!P$107)^'Assumptions and Sensis'!P$108</f>
        <v>109400464.06684558</v>
      </c>
      <c r="K40" s="33"/>
      <c r="L40" s="33"/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f ca="1">+$G$40</f>
        <v>210317627.44684559</v>
      </c>
      <c r="S40" s="33">
        <v>0</v>
      </c>
      <c r="T40" s="33">
        <v>0</v>
      </c>
      <c r="U40" s="33">
        <v>0</v>
      </c>
      <c r="X40" s="33"/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f ca="1">+$H$40</f>
        <v>75179280</v>
      </c>
      <c r="AE40" s="33">
        <v>0</v>
      </c>
      <c r="AF40" s="33">
        <v>0</v>
      </c>
      <c r="AG40" s="33">
        <v>0</v>
      </c>
      <c r="AI40" s="33"/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f ca="1">+$I$40</f>
        <v>25737883.379999999</v>
      </c>
      <c r="AP40" s="33">
        <v>0</v>
      </c>
      <c r="AQ40" s="33">
        <v>0</v>
      </c>
      <c r="AR40" s="33">
        <v>0</v>
      </c>
      <c r="AT40" s="33"/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f ca="1">+$J$40</f>
        <v>109400464.06684558</v>
      </c>
      <c r="BA40" s="33">
        <v>0</v>
      </c>
      <c r="BB40" s="33">
        <v>0</v>
      </c>
      <c r="BC40" s="33">
        <v>0</v>
      </c>
    </row>
    <row r="41" spans="2:55" s="40" customFormat="1" x14ac:dyDescent="0.2">
      <c r="B41" s="54" t="s">
        <v>235</v>
      </c>
      <c r="C41" s="32"/>
      <c r="D41" s="170">
        <v>110</v>
      </c>
      <c r="E41" s="32"/>
      <c r="F41" s="104">
        <f t="shared" ref="F41" ca="1" si="77">+G41/$G$10</f>
        <v>6.2795421271974714</v>
      </c>
      <c r="G41" s="42">
        <f t="shared" ca="1" si="65"/>
        <v>27936816.347087998</v>
      </c>
      <c r="H41" s="33">
        <f t="shared" ref="H41" ca="1" si="78">+$D41*H17</f>
        <v>0</v>
      </c>
      <c r="I41" s="33">
        <f ca="1">+$D41*I17*(1+'Assumptions and Sensis'!O$107)^'Assumptions and Sensis'!O$108</f>
        <v>0</v>
      </c>
      <c r="J41" s="33">
        <f ca="1">+$D41*J17*(1+'Assumptions and Sensis'!P$107)^'Assumptions and Sensis'!P$108</f>
        <v>27936816.347087998</v>
      </c>
      <c r="K41" s="33"/>
      <c r="L41" s="33"/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f ca="1">+$G$41</f>
        <v>27936816.347087998</v>
      </c>
      <c r="T41" s="33">
        <v>0</v>
      </c>
      <c r="U41" s="33">
        <v>0</v>
      </c>
      <c r="X41" s="33"/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f ca="1">+$H$41</f>
        <v>0</v>
      </c>
      <c r="AF41" s="33">
        <v>0</v>
      </c>
      <c r="AG41" s="33">
        <v>0</v>
      </c>
      <c r="AI41" s="33"/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f ca="1">+$I$41</f>
        <v>0</v>
      </c>
      <c r="AQ41" s="33">
        <v>0</v>
      </c>
      <c r="AR41" s="33">
        <v>0</v>
      </c>
      <c r="AT41" s="33"/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f ca="1">+$J$41</f>
        <v>27936816.347087998</v>
      </c>
      <c r="BB41" s="33">
        <v>0</v>
      </c>
      <c r="BC41" s="33">
        <v>0</v>
      </c>
    </row>
    <row r="42" spans="2:55" x14ac:dyDescent="0.2">
      <c r="B42" s="54" t="s">
        <v>210</v>
      </c>
      <c r="C42" s="9"/>
      <c r="D42" s="170">
        <v>50</v>
      </c>
      <c r="E42" s="9"/>
      <c r="F42" s="104">
        <f t="shared" ca="1" si="64"/>
        <v>2.7562008405745111</v>
      </c>
      <c r="G42" s="21">
        <f t="shared" ca="1" si="65"/>
        <v>12261957.184</v>
      </c>
      <c r="H42" s="33">
        <f t="shared" ref="H42" ca="1" si="79">+$D42*H18</f>
        <v>4150000</v>
      </c>
      <c r="I42" s="33">
        <f ca="1">+$D42*I18*(1+'Assumptions and Sensis'!O$107)^'Assumptions and Sensis'!O$108</f>
        <v>5514120</v>
      </c>
      <c r="J42" s="33">
        <f ca="1">+$D42*J18*(1+'Assumptions and Sensis'!P$107)^'Assumptions and Sensis'!P$108</f>
        <v>2597837.1839999999</v>
      </c>
      <c r="K42" s="33"/>
      <c r="L42" s="33"/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f ca="1">+$G$42</f>
        <v>12261957.184</v>
      </c>
      <c r="U42" s="33">
        <v>0</v>
      </c>
      <c r="X42" s="33"/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f ca="1">+$H$42</f>
        <v>4150000</v>
      </c>
      <c r="AG42" s="33">
        <v>0</v>
      </c>
      <c r="AI42" s="33"/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f ca="1">+$I$42</f>
        <v>5514120</v>
      </c>
      <c r="AR42" s="33">
        <v>0</v>
      </c>
      <c r="AT42" s="33"/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f ca="1">+$J$42</f>
        <v>2597837.1839999999</v>
      </c>
      <c r="BC42" s="33">
        <v>0</v>
      </c>
    </row>
    <row r="43" spans="2:55" x14ac:dyDescent="0.2">
      <c r="B43" s="54" t="s">
        <v>28</v>
      </c>
      <c r="C43" s="9"/>
      <c r="D43" s="17">
        <v>10</v>
      </c>
      <c r="E43" s="9"/>
      <c r="F43" s="104">
        <f t="shared" ca="1" si="64"/>
        <v>0.36495810389263589</v>
      </c>
      <c r="G43" s="21">
        <f t="shared" ca="1" si="65"/>
        <v>1623648.24</v>
      </c>
      <c r="H43" s="33">
        <f t="shared" ref="H43" ca="1" si="80">+$D43*H19</f>
        <v>0</v>
      </c>
      <c r="I43" s="33">
        <f ca="1">+$D43*I19*(1+'Assumptions and Sensis'!O$107)^'Assumptions and Sensis'!O$108</f>
        <v>0</v>
      </c>
      <c r="J43" s="33">
        <f ca="1">+$D43*J19*(1+'Assumptions and Sensis'!P$107)^'Assumptions and Sensis'!P$108</f>
        <v>1623648.24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f ca="1">+$G$43</f>
        <v>1623648.24</v>
      </c>
      <c r="X43" s="40"/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f ca="1">+$H$43</f>
        <v>0</v>
      </c>
      <c r="AI43" s="40"/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f ca="1">+$I$43</f>
        <v>0</v>
      </c>
      <c r="AT43" s="40"/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f ca="1">+$J$43</f>
        <v>1623648.24</v>
      </c>
    </row>
    <row r="44" spans="2:55" ht="18" x14ac:dyDescent="0.2">
      <c r="B44" s="9" t="s">
        <v>357</v>
      </c>
      <c r="C44" s="9"/>
      <c r="D44" s="22">
        <v>0.05</v>
      </c>
      <c r="E44" s="9"/>
      <c r="F44" s="104">
        <f t="shared" ca="1" si="64"/>
        <v>8.1637845726833529</v>
      </c>
      <c r="G44" s="21">
        <f t="shared" ca="1" si="65"/>
        <v>36319550.961597204</v>
      </c>
      <c r="H44" s="11">
        <f t="shared" ref="H44:J44" ca="1" si="81">+SUM(H35:H43)*$D$44</f>
        <v>14166831.27</v>
      </c>
      <c r="I44" s="33">
        <f t="shared" ca="1" si="81"/>
        <v>8293120.4753999999</v>
      </c>
      <c r="J44" s="33">
        <f t="shared" ca="1" si="81"/>
        <v>13859599.216197202</v>
      </c>
      <c r="M44" s="33">
        <f t="shared" ref="M44:N44" ca="1" si="82">+SUM(M35:M43)*$D$44</f>
        <v>2853554.6894518766</v>
      </c>
      <c r="N44" s="33">
        <f t="shared" ca="1" si="82"/>
        <v>12085643.39061971</v>
      </c>
      <c r="O44" s="33">
        <f t="shared" ref="O44:U44" ca="1" si="83">+SUM(O35:O43)*$D$44</f>
        <v>4037413.9665156002</v>
      </c>
      <c r="P44" s="33">
        <f t="shared" ca="1" si="83"/>
        <v>3384734.7954361346</v>
      </c>
      <c r="Q44" s="33">
        <f t="shared" ca="1" si="83"/>
        <v>1351201.6586771999</v>
      </c>
      <c r="R44" s="33">
        <f t="shared" ca="1" si="83"/>
        <v>10515881.372342281</v>
      </c>
      <c r="S44" s="33">
        <f t="shared" ca="1" si="83"/>
        <v>1396840.8173543999</v>
      </c>
      <c r="T44" s="33">
        <f t="shared" ca="1" si="83"/>
        <v>613097.85920000006</v>
      </c>
      <c r="U44" s="33">
        <f t="shared" ca="1" si="83"/>
        <v>81182.412000000011</v>
      </c>
      <c r="X44" s="40"/>
      <c r="Y44" s="33">
        <f t="shared" ref="Y44:Z44" ca="1" si="84">+SUM(Y35:Y43)*$D$44</f>
        <v>1070945.26</v>
      </c>
      <c r="Z44" s="33">
        <f t="shared" ca="1" si="84"/>
        <v>4535768.16</v>
      </c>
      <c r="AA44" s="33">
        <f t="shared" ref="AA44:AG44" ca="1" si="85">+SUM(AA35:AA43)*$D$44</f>
        <v>2016093.75</v>
      </c>
      <c r="AB44" s="33">
        <f t="shared" ca="1" si="85"/>
        <v>1924778.85</v>
      </c>
      <c r="AC44" s="33">
        <f t="shared" ca="1" si="85"/>
        <v>652781.25</v>
      </c>
      <c r="AD44" s="33">
        <f t="shared" ca="1" si="85"/>
        <v>3758964</v>
      </c>
      <c r="AE44" s="33">
        <f t="shared" ca="1" si="85"/>
        <v>0</v>
      </c>
      <c r="AF44" s="33">
        <f t="shared" ca="1" si="85"/>
        <v>207500</v>
      </c>
      <c r="AG44" s="33">
        <f t="shared" ca="1" si="85"/>
        <v>0</v>
      </c>
      <c r="AI44" s="40"/>
      <c r="AJ44" s="33">
        <f t="shared" ref="AJ44:AK44" ca="1" si="86">+SUM(AJ35:AJ43)*$D$44</f>
        <v>797029.11180000007</v>
      </c>
      <c r="AK44" s="33">
        <f t="shared" ca="1" si="86"/>
        <v>3375652.7088000001</v>
      </c>
      <c r="AL44" s="33">
        <f t="shared" ref="AL44:AR44" ca="1" si="87">+SUM(AL35:AL43)*$D$44</f>
        <v>1321828.2000000002</v>
      </c>
      <c r="AM44" s="33">
        <f t="shared" ca="1" si="87"/>
        <v>1236010.2858</v>
      </c>
      <c r="AN44" s="33">
        <f t="shared" ca="1" si="87"/>
        <v>0</v>
      </c>
      <c r="AO44" s="33">
        <f t="shared" ca="1" si="87"/>
        <v>1286894.169</v>
      </c>
      <c r="AP44" s="33">
        <f t="shared" ca="1" si="87"/>
        <v>0</v>
      </c>
      <c r="AQ44" s="33">
        <f t="shared" ca="1" si="87"/>
        <v>275706</v>
      </c>
      <c r="AR44" s="33">
        <f t="shared" ca="1" si="87"/>
        <v>0</v>
      </c>
      <c r="AT44" s="40"/>
      <c r="AU44" s="33">
        <f t="shared" ref="AU44:AV44" ca="1" si="88">+SUM(AU35:AU43)*$D$44</f>
        <v>985580.31765187625</v>
      </c>
      <c r="AV44" s="33">
        <f t="shared" ca="1" si="88"/>
        <v>4174222.5218197107</v>
      </c>
      <c r="AW44" s="33">
        <f t="shared" ref="AW44:BC44" ca="1" si="89">+SUM(AW35:AW43)*$D$44</f>
        <v>699492.01651560003</v>
      </c>
      <c r="AX44" s="33">
        <f t="shared" ca="1" si="89"/>
        <v>223945.6596361344</v>
      </c>
      <c r="AY44" s="33">
        <f t="shared" ca="1" si="89"/>
        <v>698420.40867719997</v>
      </c>
      <c r="AZ44" s="33">
        <f t="shared" ca="1" si="89"/>
        <v>5470023.2033422794</v>
      </c>
      <c r="BA44" s="33">
        <f t="shared" ca="1" si="89"/>
        <v>1396840.8173543999</v>
      </c>
      <c r="BB44" s="33">
        <f t="shared" ca="1" si="89"/>
        <v>129891.85920000001</v>
      </c>
      <c r="BC44" s="33">
        <f t="shared" ca="1" si="89"/>
        <v>81182.412000000011</v>
      </c>
    </row>
    <row r="45" spans="2:55" x14ac:dyDescent="0.2">
      <c r="B45" s="12" t="s">
        <v>67</v>
      </c>
      <c r="C45" s="12"/>
      <c r="D45" s="12"/>
      <c r="E45" s="12"/>
      <c r="F45" s="105">
        <f t="shared" ca="1" si="64"/>
        <v>171.47544027968078</v>
      </c>
      <c r="G45" s="13">
        <f t="shared" ref="G45:J45" ca="1" si="90">+SUM(G34:G44)</f>
        <v>762870570.19354117</v>
      </c>
      <c r="H45" s="128">
        <f t="shared" ca="1" si="90"/>
        <v>297663456.66999996</v>
      </c>
      <c r="I45" s="128">
        <f t="shared" ca="1" si="90"/>
        <v>174155529.98339999</v>
      </c>
      <c r="J45" s="128">
        <f t="shared" ca="1" si="90"/>
        <v>291051583.54014122</v>
      </c>
      <c r="M45" s="128">
        <f t="shared" ref="M45:N45" ca="1" si="91">+SUM(M34:M44)</f>
        <v>59936505.412562415</v>
      </c>
      <c r="N45" s="128">
        <f t="shared" ca="1" si="91"/>
        <v>253845938.93930596</v>
      </c>
      <c r="O45" s="128">
        <f t="shared" ref="O45:U45" ca="1" si="92">+SUM(O34:O44)</f>
        <v>84808690.807685241</v>
      </c>
      <c r="P45" s="128">
        <f t="shared" ca="1" si="92"/>
        <v>71099012.979959548</v>
      </c>
      <c r="Q45" s="128">
        <f t="shared" ca="1" si="92"/>
        <v>28382681.085097358</v>
      </c>
      <c r="R45" s="128">
        <f t="shared" ca="1" si="92"/>
        <v>220876387.18999952</v>
      </c>
      <c r="S45" s="128">
        <f t="shared" ca="1" si="92"/>
        <v>29333657.164442398</v>
      </c>
      <c r="T45" s="128">
        <f t="shared" ca="1" si="92"/>
        <v>12882865.962488737</v>
      </c>
      <c r="U45" s="128">
        <f t="shared" ca="1" si="92"/>
        <v>1704830.652</v>
      </c>
      <c r="X45" s="33">
        <f ca="1">+SUM(Y45:AG45)</f>
        <v>297663456.67000002</v>
      </c>
      <c r="Y45" s="128">
        <f t="shared" ref="Y45:AG45" ca="1" si="93">+SUM(Y34:Y44)</f>
        <v>22501707.394073021</v>
      </c>
      <c r="Z45" s="128">
        <f t="shared" ca="1" si="93"/>
        <v>95298559.096292078</v>
      </c>
      <c r="AA45" s="128">
        <f t="shared" ca="1" si="93"/>
        <v>42360966.260857649</v>
      </c>
      <c r="AB45" s="128">
        <f t="shared" ca="1" si="93"/>
        <v>40439938.125800736</v>
      </c>
      <c r="AC45" s="128">
        <f t="shared" ca="1" si="93"/>
        <v>13715852.502876159</v>
      </c>
      <c r="AD45" s="128">
        <f t="shared" ca="1" si="93"/>
        <v>78981122.370811626</v>
      </c>
      <c r="AE45" s="128">
        <f t="shared" ca="1" si="93"/>
        <v>0</v>
      </c>
      <c r="AF45" s="128">
        <f t="shared" ca="1" si="93"/>
        <v>4365310.9192887358</v>
      </c>
      <c r="AG45" s="128">
        <f t="shared" ca="1" si="93"/>
        <v>0</v>
      </c>
      <c r="AH45" s="33"/>
      <c r="AI45" s="33">
        <f ca="1">+SUM(AJ45:AR45)</f>
        <v>174155529.98339999</v>
      </c>
      <c r="AJ45" s="128">
        <f t="shared" ref="AJ45:AR45" ca="1" si="94">+SUM(AJ34:AJ44)</f>
        <v>16737611.3478</v>
      </c>
      <c r="AK45" s="128">
        <f t="shared" ca="1" si="94"/>
        <v>70888706.884800002</v>
      </c>
      <c r="AL45" s="128">
        <f t="shared" ca="1" si="94"/>
        <v>27758392.199999999</v>
      </c>
      <c r="AM45" s="128">
        <f t="shared" ca="1" si="94"/>
        <v>25956216.001799997</v>
      </c>
      <c r="AN45" s="128">
        <f t="shared" ca="1" si="94"/>
        <v>0</v>
      </c>
      <c r="AO45" s="128">
        <f t="shared" ca="1" si="94"/>
        <v>27024777.548999999</v>
      </c>
      <c r="AP45" s="128">
        <f t="shared" ca="1" si="94"/>
        <v>0</v>
      </c>
      <c r="AQ45" s="128">
        <f t="shared" ca="1" si="94"/>
        <v>5789826</v>
      </c>
      <c r="AR45" s="128">
        <f t="shared" ca="1" si="94"/>
        <v>0</v>
      </c>
      <c r="AT45" s="33">
        <f ca="1">+SUM(AU45:BC45)</f>
        <v>291051583.54014122</v>
      </c>
      <c r="AU45" s="128">
        <f t="shared" ref="AU45:BC45" ca="1" si="95">+SUM(AU34:AU44)</f>
        <v>20697186.6706894</v>
      </c>
      <c r="AV45" s="128">
        <f t="shared" ca="1" si="95"/>
        <v>87658672.958213925</v>
      </c>
      <c r="AW45" s="128">
        <f t="shared" ca="1" si="95"/>
        <v>14689332.3468276</v>
      </c>
      <c r="AX45" s="128">
        <f t="shared" ca="1" si="95"/>
        <v>4702858.8523588218</v>
      </c>
      <c r="AY45" s="128">
        <f t="shared" ca="1" si="95"/>
        <v>14666828.582221199</v>
      </c>
      <c r="AZ45" s="128">
        <f t="shared" ca="1" si="95"/>
        <v>114870487.27018785</v>
      </c>
      <c r="BA45" s="128">
        <f t="shared" ca="1" si="95"/>
        <v>29333657.164442398</v>
      </c>
      <c r="BB45" s="128">
        <f t="shared" ca="1" si="95"/>
        <v>2727729.0431999997</v>
      </c>
      <c r="BC45" s="128">
        <f t="shared" ca="1" si="95"/>
        <v>1704830.652</v>
      </c>
    </row>
    <row r="46" spans="2:55" x14ac:dyDescent="0.2">
      <c r="B46" s="207" t="s">
        <v>358</v>
      </c>
      <c r="C46" s="207"/>
      <c r="D46" s="207"/>
      <c r="E46" s="207"/>
      <c r="F46" s="207"/>
      <c r="G46" s="207"/>
      <c r="H46" s="207"/>
      <c r="I46" s="207"/>
      <c r="J46" s="207"/>
      <c r="M46" s="207"/>
      <c r="N46" s="207"/>
      <c r="O46" s="207"/>
      <c r="P46" s="207"/>
      <c r="Q46" s="207"/>
      <c r="R46" s="207"/>
      <c r="S46" s="207"/>
      <c r="T46" s="207"/>
      <c r="U46" s="207"/>
      <c r="X46" s="40"/>
      <c r="Y46" s="207"/>
      <c r="Z46" s="207"/>
      <c r="AA46" s="207"/>
      <c r="AB46" s="207"/>
      <c r="AC46" s="207"/>
      <c r="AD46" s="207"/>
      <c r="AE46" s="207"/>
      <c r="AF46" s="207"/>
      <c r="AG46" s="207"/>
      <c r="AI46" s="40"/>
      <c r="AJ46" s="207"/>
      <c r="AK46" s="207"/>
      <c r="AL46" s="207"/>
      <c r="AM46" s="207"/>
      <c r="AN46" s="207"/>
      <c r="AO46" s="207"/>
      <c r="AP46" s="207"/>
      <c r="AQ46" s="207"/>
      <c r="AR46" s="207"/>
      <c r="AT46" s="40"/>
      <c r="AU46" s="207"/>
      <c r="AV46" s="207"/>
      <c r="AW46" s="207"/>
      <c r="AX46" s="207"/>
      <c r="AY46" s="207"/>
      <c r="AZ46" s="207"/>
      <c r="BA46" s="207"/>
      <c r="BB46" s="207"/>
      <c r="BC46" s="207"/>
    </row>
    <row r="47" spans="2:55" s="40" customFormat="1" x14ac:dyDescent="0.2">
      <c r="B47" s="32"/>
      <c r="C47" s="32"/>
      <c r="D47" s="32"/>
      <c r="E47" s="32"/>
      <c r="F47" s="32"/>
      <c r="G47" s="32"/>
      <c r="H47" s="32"/>
      <c r="I47" s="32"/>
      <c r="J47" s="32"/>
      <c r="M47" s="32"/>
      <c r="N47" s="32"/>
      <c r="O47" s="32"/>
      <c r="P47" s="32"/>
      <c r="Q47" s="32"/>
      <c r="R47" s="32"/>
      <c r="S47" s="32"/>
      <c r="T47" s="32"/>
      <c r="U47" s="32"/>
      <c r="Y47" s="32"/>
      <c r="Z47" s="32"/>
      <c r="AA47" s="32"/>
      <c r="AB47" s="32"/>
      <c r="AC47" s="32"/>
      <c r="AD47" s="32"/>
      <c r="AE47" s="32"/>
      <c r="AF47" s="32"/>
      <c r="AG47" s="32"/>
      <c r="AJ47" s="32"/>
      <c r="AK47" s="32"/>
      <c r="AL47" s="32"/>
      <c r="AM47" s="32"/>
      <c r="AN47" s="32"/>
      <c r="AO47" s="32"/>
      <c r="AP47" s="32"/>
      <c r="AQ47" s="32"/>
      <c r="AR47" s="32"/>
      <c r="AU47" s="32"/>
      <c r="AV47" s="32"/>
      <c r="AW47" s="32"/>
      <c r="AX47" s="32"/>
      <c r="AY47" s="32"/>
      <c r="AZ47" s="32"/>
      <c r="BA47" s="32"/>
      <c r="BB47" s="32"/>
      <c r="BC47" s="32"/>
    </row>
    <row r="48" spans="2:55" ht="32.25" customHeight="1" x14ac:dyDescent="0.2">
      <c r="B48" s="15" t="s">
        <v>58</v>
      </c>
      <c r="C48" s="16"/>
      <c r="D48" s="16"/>
      <c r="E48" s="197" t="s">
        <v>359</v>
      </c>
      <c r="F48" s="44" t="s">
        <v>56</v>
      </c>
      <c r="G48" s="15" t="s">
        <v>17</v>
      </c>
      <c r="H48" s="23" t="str">
        <f>+H$22</f>
        <v>I</v>
      </c>
      <c r="I48" s="23" t="str">
        <f t="shared" ref="I48:J48" si="96">+I$22</f>
        <v>II</v>
      </c>
      <c r="J48" s="45" t="str">
        <f t="shared" si="96"/>
        <v>III</v>
      </c>
      <c r="M48" s="211" t="str">
        <f t="shared" ref="M48:U48" ca="1" si="97">+M$22</f>
        <v>Affordable Residential</v>
      </c>
      <c r="N48" s="211" t="str">
        <f t="shared" ca="1" si="97"/>
        <v>Market Rate and WF Residential</v>
      </c>
      <c r="O48" s="211" t="str">
        <f t="shared" ca="1" si="97"/>
        <v>Retail</v>
      </c>
      <c r="P48" s="211" t="str">
        <f t="shared" ca="1" si="97"/>
        <v>Hotel</v>
      </c>
      <c r="Q48" s="211" t="str">
        <f t="shared" ca="1" si="97"/>
        <v>Community Facility</v>
      </c>
      <c r="R48" s="211" t="str">
        <f t="shared" ca="1" si="97"/>
        <v>Office</v>
      </c>
      <c r="S48" s="211" t="str">
        <f t="shared" ca="1" si="97"/>
        <v>Industrial</v>
      </c>
      <c r="T48" s="211" t="str">
        <f t="shared" ca="1" si="97"/>
        <v>Structural Parking</v>
      </c>
      <c r="U48" s="211" t="str">
        <f t="shared" ca="1" si="97"/>
        <v>Surface Parking</v>
      </c>
      <c r="X48" s="40"/>
      <c r="Y48" s="211" t="str">
        <f t="shared" ref="Y48:AG48" ca="1" si="98">+Y$22</f>
        <v>Affordable Residential</v>
      </c>
      <c r="Z48" s="211" t="str">
        <f t="shared" ca="1" si="98"/>
        <v>Market Rate and WF Residential</v>
      </c>
      <c r="AA48" s="211" t="str">
        <f t="shared" ca="1" si="98"/>
        <v>Retail</v>
      </c>
      <c r="AB48" s="211" t="str">
        <f t="shared" ca="1" si="98"/>
        <v>Hotel</v>
      </c>
      <c r="AC48" s="211" t="str">
        <f t="shared" ca="1" si="98"/>
        <v>Community Facility</v>
      </c>
      <c r="AD48" s="211" t="str">
        <f t="shared" ca="1" si="98"/>
        <v>Office</v>
      </c>
      <c r="AE48" s="211" t="str">
        <f t="shared" ca="1" si="98"/>
        <v>Industrial</v>
      </c>
      <c r="AF48" s="211" t="str">
        <f t="shared" ca="1" si="98"/>
        <v>Structural Parking</v>
      </c>
      <c r="AG48" s="211" t="str">
        <f t="shared" ca="1" si="98"/>
        <v>Surface Parking</v>
      </c>
      <c r="AI48" s="40"/>
      <c r="AJ48" s="211" t="str">
        <f t="shared" ref="AJ48:AR48" ca="1" si="99">+AJ$22</f>
        <v>Affordable Residential</v>
      </c>
      <c r="AK48" s="211" t="str">
        <f t="shared" ca="1" si="99"/>
        <v>Market Rate and WF Residential</v>
      </c>
      <c r="AL48" s="211" t="str">
        <f t="shared" ca="1" si="99"/>
        <v>Retail</v>
      </c>
      <c r="AM48" s="211" t="str">
        <f t="shared" ca="1" si="99"/>
        <v>Hotel</v>
      </c>
      <c r="AN48" s="211" t="str">
        <f t="shared" ca="1" si="99"/>
        <v>Community Facility</v>
      </c>
      <c r="AO48" s="211" t="str">
        <f t="shared" ca="1" si="99"/>
        <v>Office</v>
      </c>
      <c r="AP48" s="211" t="str">
        <f t="shared" ca="1" si="99"/>
        <v>Industrial</v>
      </c>
      <c r="AQ48" s="211" t="str">
        <f t="shared" ca="1" si="99"/>
        <v>Structural Parking</v>
      </c>
      <c r="AR48" s="211" t="str">
        <f t="shared" ca="1" si="99"/>
        <v>Surface Parking</v>
      </c>
      <c r="AT48" s="40"/>
      <c r="AU48" s="211" t="str">
        <f t="shared" ref="AU48:BC48" ca="1" si="100">+AU$22</f>
        <v>Affordable Residential</v>
      </c>
      <c r="AV48" s="211" t="str">
        <f t="shared" ca="1" si="100"/>
        <v>Market Rate and WF Residential</v>
      </c>
      <c r="AW48" s="211" t="str">
        <f t="shared" ca="1" si="100"/>
        <v>Retail</v>
      </c>
      <c r="AX48" s="211" t="str">
        <f t="shared" ca="1" si="100"/>
        <v>Hotel</v>
      </c>
      <c r="AY48" s="211" t="str">
        <f t="shared" ca="1" si="100"/>
        <v>Community Facility</v>
      </c>
      <c r="AZ48" s="211" t="str">
        <f t="shared" ca="1" si="100"/>
        <v>Office</v>
      </c>
      <c r="BA48" s="211" t="str">
        <f t="shared" ca="1" si="100"/>
        <v>Industrial</v>
      </c>
      <c r="BB48" s="211" t="str">
        <f t="shared" ca="1" si="100"/>
        <v>Structural Parking</v>
      </c>
      <c r="BC48" s="211" t="str">
        <f t="shared" ca="1" si="100"/>
        <v>Surface Parking</v>
      </c>
    </row>
    <row r="49" spans="1:55" x14ac:dyDescent="0.2">
      <c r="A49" s="115"/>
      <c r="B49" s="9" t="s">
        <v>68</v>
      </c>
      <c r="C49" s="9"/>
      <c r="D49" s="106">
        <v>0.05</v>
      </c>
      <c r="E49" s="22">
        <v>0.7</v>
      </c>
      <c r="F49" s="104">
        <f t="shared" ref="F49:F64" ca="1" si="101">+G49/$G$10</f>
        <v>8.1637845726833511</v>
      </c>
      <c r="G49" s="42">
        <f ca="1">+D49*SUM(G35:G43)</f>
        <v>36319550.961597197</v>
      </c>
      <c r="H49" s="11">
        <f t="shared" ref="H49:J54" ca="1" si="102">+$G49*H$20</f>
        <v>13879935.909923071</v>
      </c>
      <c r="I49" s="11">
        <f t="shared" ca="1" si="102"/>
        <v>8073974.7785992604</v>
      </c>
      <c r="J49" s="11">
        <f t="shared" ca="1" si="102"/>
        <v>14365640.273074867</v>
      </c>
      <c r="M49" s="38">
        <f t="shared" ref="M49:U63" ca="1" si="103">+$H49*M$5+$I49*M$6+$J49*M$7</f>
        <v>2638870.0124225952</v>
      </c>
      <c r="N49" s="38">
        <f t="shared" ca="1" si="103"/>
        <v>10555480.049690381</v>
      </c>
      <c r="O49" s="38">
        <f t="shared" ca="1" si="103"/>
        <v>3891716.9247210165</v>
      </c>
      <c r="P49" s="38">
        <f t="shared" ca="1" si="103"/>
        <v>2929858.3024610109</v>
      </c>
      <c r="Q49" s="38">
        <f t="shared" ca="1" si="103"/>
        <v>1284449.045743135</v>
      </c>
      <c r="R49" s="38">
        <f t="shared" ca="1" si="103"/>
        <v>9944323.2226419076</v>
      </c>
      <c r="S49" s="38">
        <f t="shared" ca="1" si="103"/>
        <v>1915468.7742886946</v>
      </c>
      <c r="T49" s="38">
        <f t="shared" ca="1" si="103"/>
        <v>1934816.943725954</v>
      </c>
      <c r="U49" s="38">
        <f t="shared" ca="1" si="103"/>
        <v>1224567.6859025029</v>
      </c>
      <c r="X49" s="40"/>
      <c r="Y49" s="38">
        <f t="shared" ref="Y49:AG63" ca="1" si="104">+$H49*Y$5+$I49*Y$6+$J49*Y$7</f>
        <v>1028584.2813854542</v>
      </c>
      <c r="Z49" s="38">
        <f t="shared" ca="1" si="104"/>
        <v>4114337.1255418169</v>
      </c>
      <c r="AA49" s="38">
        <f t="shared" ca="1" si="104"/>
        <v>1995024.8549494941</v>
      </c>
      <c r="AB49" s="38">
        <f t="shared" ca="1" si="104"/>
        <v>1698754.5817791573</v>
      </c>
      <c r="AC49" s="38">
        <f t="shared" ca="1" si="104"/>
        <v>645959.45431357017</v>
      </c>
      <c r="AD49" s="38">
        <f t="shared" ca="1" si="104"/>
        <v>3719681.4924208606</v>
      </c>
      <c r="AE49" s="38">
        <f t="shared" ca="1" si="104"/>
        <v>0</v>
      </c>
      <c r="AF49" s="38">
        <f t="shared" ca="1" si="104"/>
        <v>677594.11953271809</v>
      </c>
      <c r="AG49" s="38">
        <f t="shared" ca="1" si="104"/>
        <v>0</v>
      </c>
      <c r="AI49" s="40"/>
      <c r="AJ49" s="38">
        <f t="shared" ref="AJ49:AR63" ca="1" si="105">+$H49*AJ$5+$I49*AJ$6+$J49*AJ$7</f>
        <v>735777.41218223225</v>
      </c>
      <c r="AK49" s="38">
        <f t="shared" ca="1" si="105"/>
        <v>2943109.648728929</v>
      </c>
      <c r="AL49" s="38">
        <f t="shared" ca="1" si="105"/>
        <v>1257222.8241932357</v>
      </c>
      <c r="AM49" s="38">
        <f t="shared" ca="1" si="105"/>
        <v>1048507.5078080135</v>
      </c>
      <c r="AN49" s="38">
        <f t="shared" ca="1" si="105"/>
        <v>0</v>
      </c>
      <c r="AO49" s="38">
        <f t="shared" ca="1" si="105"/>
        <v>1223996.2209824147</v>
      </c>
      <c r="AP49" s="38">
        <f t="shared" ca="1" si="105"/>
        <v>0</v>
      </c>
      <c r="AQ49" s="38">
        <f t="shared" ca="1" si="105"/>
        <v>865361.16470443504</v>
      </c>
      <c r="AR49" s="38">
        <f t="shared" ca="1" si="105"/>
        <v>0</v>
      </c>
      <c r="AT49" s="40"/>
      <c r="AU49" s="38">
        <f t="shared" ref="AU49:BC63" ca="1" si="106">+$H49*AU$5+$I49*AU$6+$J49*AU$7</f>
        <v>874508.31885490869</v>
      </c>
      <c r="AV49" s="38">
        <f t="shared" ca="1" si="106"/>
        <v>3498033.2754196348</v>
      </c>
      <c r="AW49" s="38">
        <f t="shared" ca="1" si="106"/>
        <v>639469.24557828682</v>
      </c>
      <c r="AX49" s="38">
        <f t="shared" ca="1" si="106"/>
        <v>182596.21287384041</v>
      </c>
      <c r="AY49" s="38">
        <f t="shared" ca="1" si="106"/>
        <v>638489.59142956487</v>
      </c>
      <c r="AZ49" s="38">
        <f t="shared" ca="1" si="106"/>
        <v>5000645.5092386333</v>
      </c>
      <c r="BA49" s="38">
        <f t="shared" ca="1" si="106"/>
        <v>1915468.7742886946</v>
      </c>
      <c r="BB49" s="38">
        <f t="shared" ca="1" si="106"/>
        <v>391861.65948880085</v>
      </c>
      <c r="BC49" s="38">
        <f t="shared" ca="1" si="106"/>
        <v>1224567.6859025029</v>
      </c>
    </row>
    <row r="50" spans="1:55" x14ac:dyDescent="0.2">
      <c r="A50" s="115"/>
      <c r="B50" s="9" t="s">
        <v>69</v>
      </c>
      <c r="C50" s="9"/>
      <c r="D50" s="9"/>
      <c r="E50" s="22">
        <v>0.75</v>
      </c>
      <c r="F50" s="104">
        <f t="shared" ca="1" si="101"/>
        <v>1.5424298193123287</v>
      </c>
      <c r="G50" s="26">
        <f ca="1">753+8.19*(G45+G31)/1000</f>
        <v>6862057.4108054852</v>
      </c>
      <c r="H50" s="11">
        <f t="shared" ca="1" si="102"/>
        <v>2622414.4999177125</v>
      </c>
      <c r="I50" s="11">
        <f t="shared" ca="1" si="102"/>
        <v>1525461.5488700736</v>
      </c>
      <c r="J50" s="11">
        <f t="shared" ca="1" si="102"/>
        <v>2714181.3620176995</v>
      </c>
      <c r="M50" s="38">
        <f t="shared" ca="1" si="103"/>
        <v>498576.58053216489</v>
      </c>
      <c r="N50" s="38">
        <f t="shared" ca="1" si="103"/>
        <v>1994306.3221286596</v>
      </c>
      <c r="O50" s="38">
        <f t="shared" ca="1" si="103"/>
        <v>735284.00701528369</v>
      </c>
      <c r="P50" s="38">
        <f t="shared" ca="1" si="103"/>
        <v>553554.63778367219</v>
      </c>
      <c r="Q50" s="38">
        <f t="shared" ca="1" si="103"/>
        <v>242678.19562150526</v>
      </c>
      <c r="R50" s="38">
        <f t="shared" ca="1" si="103"/>
        <v>1878837.0191450771</v>
      </c>
      <c r="S50" s="38">
        <f t="shared" ca="1" si="103"/>
        <v>361900.30850525171</v>
      </c>
      <c r="T50" s="38">
        <f t="shared" ca="1" si="103"/>
        <v>365555.86717702186</v>
      </c>
      <c r="U50" s="38">
        <f t="shared" ca="1" si="103"/>
        <v>231364.47289684933</v>
      </c>
      <c r="X50" s="40"/>
      <c r="Y50" s="38">
        <f t="shared" ca="1" si="104"/>
        <v>194336.22398531708</v>
      </c>
      <c r="Z50" s="38">
        <f t="shared" ca="1" si="104"/>
        <v>777344.8959412683</v>
      </c>
      <c r="AA50" s="38">
        <f t="shared" ca="1" si="104"/>
        <v>376931.28709445038</v>
      </c>
      <c r="AB50" s="38">
        <f t="shared" ca="1" si="104"/>
        <v>320955.27500775055</v>
      </c>
      <c r="AC50" s="38">
        <f t="shared" ca="1" si="104"/>
        <v>122044.75945308802</v>
      </c>
      <c r="AD50" s="38">
        <f t="shared" ca="1" si="104"/>
        <v>702780.38343291497</v>
      </c>
      <c r="AE50" s="38">
        <f t="shared" ca="1" si="104"/>
        <v>0</v>
      </c>
      <c r="AF50" s="38">
        <f t="shared" ca="1" si="104"/>
        <v>128021.67500292329</v>
      </c>
      <c r="AG50" s="38">
        <f t="shared" ca="1" si="104"/>
        <v>0</v>
      </c>
      <c r="AI50" s="40"/>
      <c r="AJ50" s="38">
        <f t="shared" ca="1" si="105"/>
        <v>139014.57232516224</v>
      </c>
      <c r="AK50" s="38">
        <f t="shared" ca="1" si="105"/>
        <v>556058.28930064896</v>
      </c>
      <c r="AL50" s="38">
        <f t="shared" ca="1" si="105"/>
        <v>237534.19217409857</v>
      </c>
      <c r="AM50" s="38">
        <f t="shared" ca="1" si="105"/>
        <v>198100.43141355962</v>
      </c>
      <c r="AN50" s="38">
        <f t="shared" ca="1" si="105"/>
        <v>0</v>
      </c>
      <c r="AO50" s="38">
        <f t="shared" ca="1" si="105"/>
        <v>231256.50280949741</v>
      </c>
      <c r="AP50" s="38">
        <f t="shared" ca="1" si="105"/>
        <v>0</v>
      </c>
      <c r="AQ50" s="38">
        <f t="shared" ca="1" si="105"/>
        <v>163497.56084710683</v>
      </c>
      <c r="AR50" s="38">
        <f t="shared" ca="1" si="105"/>
        <v>0</v>
      </c>
      <c r="AT50" s="40"/>
      <c r="AU50" s="38">
        <f t="shared" ca="1" si="106"/>
        <v>165225.78422168561</v>
      </c>
      <c r="AV50" s="38">
        <f t="shared" ca="1" si="106"/>
        <v>660903.13688674243</v>
      </c>
      <c r="AW50" s="38">
        <f t="shared" ca="1" si="106"/>
        <v>120818.5277467347</v>
      </c>
      <c r="AX50" s="38">
        <f t="shared" ca="1" si="106"/>
        <v>34498.931362362055</v>
      </c>
      <c r="AY50" s="38">
        <f t="shared" ca="1" si="106"/>
        <v>120633.43616841723</v>
      </c>
      <c r="AZ50" s="38">
        <f t="shared" ca="1" si="106"/>
        <v>944800.13290266471</v>
      </c>
      <c r="BA50" s="38">
        <f t="shared" ca="1" si="106"/>
        <v>361900.30850525171</v>
      </c>
      <c r="BB50" s="38">
        <f t="shared" ca="1" si="106"/>
        <v>74036.631326991774</v>
      </c>
      <c r="BC50" s="38">
        <f t="shared" ca="1" si="106"/>
        <v>231364.47289684933</v>
      </c>
    </row>
    <row r="51" spans="1:55" x14ac:dyDescent="0.2">
      <c r="B51" s="9" t="s">
        <v>70</v>
      </c>
      <c r="C51" s="9"/>
      <c r="D51" s="9"/>
      <c r="E51" s="22">
        <v>1</v>
      </c>
      <c r="F51" s="104">
        <f t="shared" ca="1" si="101"/>
        <v>6.7432974994504208E-2</v>
      </c>
      <c r="G51" s="47">
        <v>300000</v>
      </c>
      <c r="H51" s="11">
        <f t="shared" ca="1" si="102"/>
        <v>114648.46515805616</v>
      </c>
      <c r="I51" s="11">
        <f t="shared" ca="1" si="102"/>
        <v>66691.144836589665</v>
      </c>
      <c r="J51" s="11">
        <f t="shared" ca="1" si="102"/>
        <v>118660.39000535419</v>
      </c>
      <c r="M51" s="38">
        <f t="shared" ca="1" si="103"/>
        <v>21797.103289185718</v>
      </c>
      <c r="N51" s="38">
        <f t="shared" ca="1" si="103"/>
        <v>87188.41315674287</v>
      </c>
      <c r="O51" s="38">
        <f t="shared" ca="1" si="103"/>
        <v>32145.636344755134</v>
      </c>
      <c r="P51" s="38">
        <f t="shared" ca="1" si="103"/>
        <v>24200.670643413981</v>
      </c>
      <c r="Q51" s="38">
        <f t="shared" ca="1" si="103"/>
        <v>10609.567120760321</v>
      </c>
      <c r="R51" s="38">
        <f t="shared" ca="1" si="103"/>
        <v>82140.249199308339</v>
      </c>
      <c r="S51" s="38">
        <f t="shared" ca="1" si="103"/>
        <v>15821.798922960525</v>
      </c>
      <c r="T51" s="38">
        <f t="shared" ca="1" si="103"/>
        <v>15981.615073697498</v>
      </c>
      <c r="U51" s="38">
        <f t="shared" ca="1" si="103"/>
        <v>10114.946249175633</v>
      </c>
      <c r="X51" s="40"/>
      <c r="Y51" s="38">
        <f t="shared" ca="1" si="104"/>
        <v>8496.1205809485673</v>
      </c>
      <c r="Z51" s="38">
        <f t="shared" ca="1" si="104"/>
        <v>33984.482323794269</v>
      </c>
      <c r="AA51" s="38">
        <f t="shared" ca="1" si="104"/>
        <v>16478.933264281968</v>
      </c>
      <c r="AB51" s="38">
        <f t="shared" ca="1" si="104"/>
        <v>14031.736655351417</v>
      </c>
      <c r="AC51" s="38">
        <f t="shared" ca="1" si="104"/>
        <v>5335.6341464401467</v>
      </c>
      <c r="AD51" s="38">
        <f t="shared" ca="1" si="104"/>
        <v>30724.621262695946</v>
      </c>
      <c r="AE51" s="38">
        <f t="shared" ca="1" si="104"/>
        <v>0</v>
      </c>
      <c r="AF51" s="38">
        <f t="shared" ca="1" si="104"/>
        <v>5596.9369245438502</v>
      </c>
      <c r="AG51" s="38">
        <f t="shared" ca="1" si="104"/>
        <v>0</v>
      </c>
      <c r="AI51" s="40"/>
      <c r="AJ51" s="38">
        <f t="shared" ca="1" si="105"/>
        <v>6077.5317373296803</v>
      </c>
      <c r="AK51" s="38">
        <f t="shared" ca="1" si="105"/>
        <v>24310.126949318721</v>
      </c>
      <c r="AL51" s="38">
        <f t="shared" ca="1" si="105"/>
        <v>10384.678149153648</v>
      </c>
      <c r="AM51" s="38">
        <f t="shared" ca="1" si="105"/>
        <v>8660.6867104441535</v>
      </c>
      <c r="AN51" s="38">
        <f t="shared" ca="1" si="105"/>
        <v>0</v>
      </c>
      <c r="AO51" s="38">
        <f t="shared" ca="1" si="105"/>
        <v>10110.225940926015</v>
      </c>
      <c r="AP51" s="38">
        <f t="shared" ca="1" si="105"/>
        <v>0</v>
      </c>
      <c r="AQ51" s="38">
        <f t="shared" ca="1" si="105"/>
        <v>7147.8953494174457</v>
      </c>
      <c r="AR51" s="38">
        <f t="shared" ca="1" si="105"/>
        <v>0</v>
      </c>
      <c r="AT51" s="40"/>
      <c r="AU51" s="38">
        <f t="shared" ca="1" si="106"/>
        <v>7223.4509709074691</v>
      </c>
      <c r="AV51" s="38">
        <f t="shared" ca="1" si="106"/>
        <v>28893.803883629877</v>
      </c>
      <c r="AW51" s="38">
        <f t="shared" ca="1" si="106"/>
        <v>5282.0249313195154</v>
      </c>
      <c r="AX51" s="38">
        <f t="shared" ca="1" si="106"/>
        <v>1508.2472776184113</v>
      </c>
      <c r="AY51" s="38">
        <f t="shared" ca="1" si="106"/>
        <v>5273.9329743201743</v>
      </c>
      <c r="AZ51" s="38">
        <f t="shared" ca="1" si="106"/>
        <v>41305.401995686378</v>
      </c>
      <c r="BA51" s="38">
        <f t="shared" ca="1" si="106"/>
        <v>15821.798922960525</v>
      </c>
      <c r="BB51" s="38">
        <f t="shared" ca="1" si="106"/>
        <v>3236.7827997362024</v>
      </c>
      <c r="BC51" s="38">
        <f t="shared" ca="1" si="106"/>
        <v>10114.946249175633</v>
      </c>
    </row>
    <row r="52" spans="1:55" x14ac:dyDescent="0.2">
      <c r="B52" s="9" t="s">
        <v>71</v>
      </c>
      <c r="C52" s="9"/>
      <c r="D52" s="9"/>
      <c r="E52" s="22">
        <v>0</v>
      </c>
      <c r="F52" s="104">
        <f t="shared" ca="1" si="101"/>
        <v>0.4045978499670253</v>
      </c>
      <c r="G52" s="47">
        <v>1800000</v>
      </c>
      <c r="H52" s="11">
        <f t="shared" ca="1" si="102"/>
        <v>687890.79094833694</v>
      </c>
      <c r="I52" s="11">
        <f t="shared" ca="1" si="102"/>
        <v>400146.86901953799</v>
      </c>
      <c r="J52" s="11">
        <f t="shared" ca="1" si="102"/>
        <v>711962.34003212512</v>
      </c>
      <c r="M52" s="38">
        <f t="shared" ca="1" si="103"/>
        <v>130782.61973511431</v>
      </c>
      <c r="N52" s="38">
        <f t="shared" ca="1" si="103"/>
        <v>523130.47894045722</v>
      </c>
      <c r="O52" s="38">
        <f t="shared" ca="1" si="103"/>
        <v>192873.81806853079</v>
      </c>
      <c r="P52" s="38">
        <f t="shared" ca="1" si="103"/>
        <v>145204.02386048387</v>
      </c>
      <c r="Q52" s="38">
        <f t="shared" ca="1" si="103"/>
        <v>63657.402724561922</v>
      </c>
      <c r="R52" s="38">
        <f t="shared" ca="1" si="103"/>
        <v>492841.49519585003</v>
      </c>
      <c r="S52" s="38">
        <f t="shared" ca="1" si="103"/>
        <v>94930.793537763137</v>
      </c>
      <c r="T52" s="38">
        <f t="shared" ca="1" si="103"/>
        <v>95889.690442185005</v>
      </c>
      <c r="U52" s="38">
        <f t="shared" ca="1" si="103"/>
        <v>60689.677495053795</v>
      </c>
      <c r="X52" s="40"/>
      <c r="Y52" s="38">
        <f t="shared" ca="1" si="104"/>
        <v>50976.7234856914</v>
      </c>
      <c r="Z52" s="38">
        <f t="shared" ca="1" si="104"/>
        <v>203906.8939427656</v>
      </c>
      <c r="AA52" s="38">
        <f t="shared" ca="1" si="104"/>
        <v>98873.599585691816</v>
      </c>
      <c r="AB52" s="38">
        <f t="shared" ca="1" si="104"/>
        <v>84190.419932108489</v>
      </c>
      <c r="AC52" s="38">
        <f t="shared" ca="1" si="104"/>
        <v>32013.804878640876</v>
      </c>
      <c r="AD52" s="38">
        <f t="shared" ca="1" si="104"/>
        <v>184347.72757617568</v>
      </c>
      <c r="AE52" s="38">
        <f t="shared" ca="1" si="104"/>
        <v>0</v>
      </c>
      <c r="AF52" s="38">
        <f t="shared" ca="1" si="104"/>
        <v>33581.621547263101</v>
      </c>
      <c r="AG52" s="38">
        <f t="shared" ca="1" si="104"/>
        <v>0</v>
      </c>
      <c r="AI52" s="40"/>
      <c r="AJ52" s="38">
        <f t="shared" ca="1" si="105"/>
        <v>36465.190423978085</v>
      </c>
      <c r="AK52" s="38">
        <f t="shared" ca="1" si="105"/>
        <v>145860.76169591234</v>
      </c>
      <c r="AL52" s="38">
        <f t="shared" ca="1" si="105"/>
        <v>62308.068894921882</v>
      </c>
      <c r="AM52" s="38">
        <f t="shared" ca="1" si="105"/>
        <v>51964.120262664925</v>
      </c>
      <c r="AN52" s="38">
        <f t="shared" ca="1" si="105"/>
        <v>0</v>
      </c>
      <c r="AO52" s="38">
        <f t="shared" ca="1" si="105"/>
        <v>60661.355645556097</v>
      </c>
      <c r="AP52" s="38">
        <f t="shared" ca="1" si="105"/>
        <v>0</v>
      </c>
      <c r="AQ52" s="38">
        <f t="shared" ca="1" si="105"/>
        <v>42887.372096504674</v>
      </c>
      <c r="AR52" s="38">
        <f t="shared" ca="1" si="105"/>
        <v>0</v>
      </c>
      <c r="AT52" s="40"/>
      <c r="AU52" s="38">
        <f t="shared" ca="1" si="106"/>
        <v>43340.70582544482</v>
      </c>
      <c r="AV52" s="38">
        <f t="shared" ca="1" si="106"/>
        <v>173362.82330177928</v>
      </c>
      <c r="AW52" s="38">
        <f t="shared" ca="1" si="106"/>
        <v>31692.149587917091</v>
      </c>
      <c r="AX52" s="38">
        <f t="shared" ca="1" si="106"/>
        <v>9049.4836657104679</v>
      </c>
      <c r="AY52" s="38">
        <f t="shared" ca="1" si="106"/>
        <v>31643.597845921049</v>
      </c>
      <c r="AZ52" s="38">
        <f t="shared" ca="1" si="106"/>
        <v>247832.41197411829</v>
      </c>
      <c r="BA52" s="38">
        <f t="shared" ca="1" si="106"/>
        <v>94930.793537763137</v>
      </c>
      <c r="BB52" s="38">
        <f t="shared" ca="1" si="106"/>
        <v>19420.696798417215</v>
      </c>
      <c r="BC52" s="38">
        <f t="shared" ca="1" si="106"/>
        <v>60689.677495053795</v>
      </c>
    </row>
    <row r="53" spans="1:55" x14ac:dyDescent="0.2">
      <c r="B53" s="9" t="s">
        <v>72</v>
      </c>
      <c r="C53" s="9"/>
      <c r="D53" s="9"/>
      <c r="E53" s="22">
        <v>0.5</v>
      </c>
      <c r="F53" s="104">
        <f t="shared" ca="1" si="101"/>
        <v>0.22477658331501404</v>
      </c>
      <c r="G53" s="47">
        <v>1000000</v>
      </c>
      <c r="H53" s="11">
        <f t="shared" ca="1" si="102"/>
        <v>382161.55052685388</v>
      </c>
      <c r="I53" s="11">
        <f t="shared" ca="1" si="102"/>
        <v>222303.81612196556</v>
      </c>
      <c r="J53" s="11">
        <f t="shared" ca="1" si="102"/>
        <v>395534.63335118059</v>
      </c>
      <c r="M53" s="38">
        <f t="shared" ca="1" si="103"/>
        <v>72657.010963952387</v>
      </c>
      <c r="N53" s="38">
        <f t="shared" ca="1" si="103"/>
        <v>290628.04385580955</v>
      </c>
      <c r="O53" s="38">
        <f t="shared" ca="1" si="103"/>
        <v>107152.12114918377</v>
      </c>
      <c r="P53" s="38">
        <f t="shared" ca="1" si="103"/>
        <v>80668.902144713269</v>
      </c>
      <c r="Q53" s="38">
        <f t="shared" ca="1" si="103"/>
        <v>35365.223735867738</v>
      </c>
      <c r="R53" s="38">
        <f t="shared" ca="1" si="103"/>
        <v>273800.83066436113</v>
      </c>
      <c r="S53" s="38">
        <f t="shared" ca="1" si="103"/>
        <v>52739.329743201743</v>
      </c>
      <c r="T53" s="38">
        <f t="shared" ca="1" si="103"/>
        <v>53272.05024565832</v>
      </c>
      <c r="U53" s="38">
        <f t="shared" ca="1" si="103"/>
        <v>33716.487497252107</v>
      </c>
      <c r="X53" s="40"/>
      <c r="Y53" s="38">
        <f t="shared" ca="1" si="104"/>
        <v>28320.401936495226</v>
      </c>
      <c r="Z53" s="38">
        <f t="shared" ca="1" si="104"/>
        <v>113281.6077459809</v>
      </c>
      <c r="AA53" s="38">
        <f t="shared" ca="1" si="104"/>
        <v>54929.777547606565</v>
      </c>
      <c r="AB53" s="38">
        <f t="shared" ca="1" si="104"/>
        <v>46772.455517838054</v>
      </c>
      <c r="AC53" s="38">
        <f t="shared" ca="1" si="104"/>
        <v>17785.447154800488</v>
      </c>
      <c r="AD53" s="38">
        <f t="shared" ca="1" si="104"/>
        <v>102415.4042089865</v>
      </c>
      <c r="AE53" s="38">
        <f t="shared" ca="1" si="104"/>
        <v>0</v>
      </c>
      <c r="AF53" s="38">
        <f t="shared" ca="1" si="104"/>
        <v>18656.456415146167</v>
      </c>
      <c r="AG53" s="38">
        <f t="shared" ca="1" si="104"/>
        <v>0</v>
      </c>
      <c r="AI53" s="40"/>
      <c r="AJ53" s="38">
        <f t="shared" ca="1" si="105"/>
        <v>20258.439124432269</v>
      </c>
      <c r="AK53" s="38">
        <f t="shared" ca="1" si="105"/>
        <v>81033.756497729075</v>
      </c>
      <c r="AL53" s="38">
        <f t="shared" ca="1" si="105"/>
        <v>34615.59383051216</v>
      </c>
      <c r="AM53" s="38">
        <f t="shared" ca="1" si="105"/>
        <v>28868.955701480514</v>
      </c>
      <c r="AN53" s="38">
        <f t="shared" ca="1" si="105"/>
        <v>0</v>
      </c>
      <c r="AO53" s="38">
        <f t="shared" ca="1" si="105"/>
        <v>33700.753136420055</v>
      </c>
      <c r="AP53" s="38">
        <f t="shared" ca="1" si="105"/>
        <v>0</v>
      </c>
      <c r="AQ53" s="38">
        <f t="shared" ca="1" si="105"/>
        <v>23826.317831391487</v>
      </c>
      <c r="AR53" s="38">
        <f t="shared" ca="1" si="105"/>
        <v>0</v>
      </c>
      <c r="AT53" s="40"/>
      <c r="AU53" s="38">
        <f t="shared" ca="1" si="106"/>
        <v>24078.169903024896</v>
      </c>
      <c r="AV53" s="38">
        <f t="shared" ca="1" si="106"/>
        <v>96312.679612099586</v>
      </c>
      <c r="AW53" s="38">
        <f t="shared" ca="1" si="106"/>
        <v>17606.74977106505</v>
      </c>
      <c r="AX53" s="38">
        <f t="shared" ca="1" si="106"/>
        <v>5027.4909253947035</v>
      </c>
      <c r="AY53" s="38">
        <f t="shared" ca="1" si="106"/>
        <v>17579.776581067246</v>
      </c>
      <c r="AZ53" s="38">
        <f t="shared" ca="1" si="106"/>
        <v>137684.67331895459</v>
      </c>
      <c r="BA53" s="38">
        <f t="shared" ca="1" si="106"/>
        <v>52739.329743201743</v>
      </c>
      <c r="BB53" s="38">
        <f t="shared" ca="1" si="106"/>
        <v>10789.275999120673</v>
      </c>
      <c r="BC53" s="38">
        <f t="shared" ca="1" si="106"/>
        <v>33716.487497252107</v>
      </c>
    </row>
    <row r="54" spans="1:55" x14ac:dyDescent="0.2">
      <c r="B54" s="9" t="s">
        <v>73</v>
      </c>
      <c r="C54" s="9"/>
      <c r="D54" s="9"/>
      <c r="E54" s="22">
        <v>0</v>
      </c>
      <c r="F54" s="104">
        <f t="shared" ca="1" si="101"/>
        <v>0.11238829165750702</v>
      </c>
      <c r="G54" s="28">
        <v>500000</v>
      </c>
      <c r="H54" s="11">
        <f t="shared" ca="1" si="102"/>
        <v>191080.77526342694</v>
      </c>
      <c r="I54" s="11">
        <f t="shared" ca="1" si="102"/>
        <v>111151.90806098278</v>
      </c>
      <c r="J54" s="11">
        <f t="shared" ca="1" si="102"/>
        <v>197767.31667559029</v>
      </c>
      <c r="K54" s="27"/>
      <c r="L54" s="27"/>
      <c r="M54" s="38">
        <f t="shared" ca="1" si="103"/>
        <v>36328.505481976194</v>
      </c>
      <c r="N54" s="38">
        <f t="shared" ca="1" si="103"/>
        <v>145314.02192790477</v>
      </c>
      <c r="O54" s="38">
        <f t="shared" ca="1" si="103"/>
        <v>53576.060574591887</v>
      </c>
      <c r="P54" s="38">
        <f t="shared" ca="1" si="103"/>
        <v>40334.451072356635</v>
      </c>
      <c r="Q54" s="38">
        <f t="shared" ca="1" si="103"/>
        <v>17682.611867933869</v>
      </c>
      <c r="R54" s="38">
        <f t="shared" ca="1" si="103"/>
        <v>136900.41533218056</v>
      </c>
      <c r="S54" s="38">
        <f t="shared" ca="1" si="103"/>
        <v>26369.664871600871</v>
      </c>
      <c r="T54" s="38">
        <f t="shared" ca="1" si="103"/>
        <v>26636.02512282916</v>
      </c>
      <c r="U54" s="38">
        <f t="shared" ca="1" si="103"/>
        <v>16858.243748626053</v>
      </c>
      <c r="X54" s="27"/>
      <c r="Y54" s="38">
        <f t="shared" ca="1" si="104"/>
        <v>14160.200968247613</v>
      </c>
      <c r="Z54" s="38">
        <f t="shared" ca="1" si="104"/>
        <v>56640.803872990451</v>
      </c>
      <c r="AA54" s="38">
        <f t="shared" ca="1" si="104"/>
        <v>27464.888773803283</v>
      </c>
      <c r="AB54" s="38">
        <f t="shared" ca="1" si="104"/>
        <v>23386.227758919027</v>
      </c>
      <c r="AC54" s="38">
        <f t="shared" ca="1" si="104"/>
        <v>8892.7235774002438</v>
      </c>
      <c r="AD54" s="38">
        <f t="shared" ca="1" si="104"/>
        <v>51207.702104493248</v>
      </c>
      <c r="AE54" s="38">
        <f t="shared" ca="1" si="104"/>
        <v>0</v>
      </c>
      <c r="AF54" s="38">
        <f t="shared" ca="1" si="104"/>
        <v>9328.2282075730836</v>
      </c>
      <c r="AG54" s="38">
        <f t="shared" ca="1" si="104"/>
        <v>0</v>
      </c>
      <c r="AI54" s="27"/>
      <c r="AJ54" s="38">
        <f t="shared" ca="1" si="105"/>
        <v>10129.219562216134</v>
      </c>
      <c r="AK54" s="38">
        <f t="shared" ca="1" si="105"/>
        <v>40516.878248864537</v>
      </c>
      <c r="AL54" s="38">
        <f t="shared" ca="1" si="105"/>
        <v>17307.79691525608</v>
      </c>
      <c r="AM54" s="38">
        <f t="shared" ca="1" si="105"/>
        <v>14434.477850740257</v>
      </c>
      <c r="AN54" s="38">
        <f t="shared" ca="1" si="105"/>
        <v>0</v>
      </c>
      <c r="AO54" s="38">
        <f t="shared" ca="1" si="105"/>
        <v>16850.376568210027</v>
      </c>
      <c r="AP54" s="38">
        <f t="shared" ca="1" si="105"/>
        <v>0</v>
      </c>
      <c r="AQ54" s="38">
        <f t="shared" ca="1" si="105"/>
        <v>11913.158915695743</v>
      </c>
      <c r="AR54" s="38">
        <f t="shared" ca="1" si="105"/>
        <v>0</v>
      </c>
      <c r="AT54" s="27"/>
      <c r="AU54" s="38">
        <f t="shared" ca="1" si="106"/>
        <v>12039.084951512448</v>
      </c>
      <c r="AV54" s="38">
        <f t="shared" ca="1" si="106"/>
        <v>48156.339806049793</v>
      </c>
      <c r="AW54" s="38">
        <f t="shared" ca="1" si="106"/>
        <v>8803.3748855325248</v>
      </c>
      <c r="AX54" s="38">
        <f t="shared" ca="1" si="106"/>
        <v>2513.7454626973517</v>
      </c>
      <c r="AY54" s="38">
        <f t="shared" ca="1" si="106"/>
        <v>8789.8882905336231</v>
      </c>
      <c r="AZ54" s="38">
        <f t="shared" ca="1" si="106"/>
        <v>68842.336659477296</v>
      </c>
      <c r="BA54" s="38">
        <f t="shared" ca="1" si="106"/>
        <v>26369.664871600871</v>
      </c>
      <c r="BB54" s="38">
        <f t="shared" ca="1" si="106"/>
        <v>5394.6379995603365</v>
      </c>
      <c r="BC54" s="38">
        <f t="shared" ca="1" si="106"/>
        <v>16858.243748626053</v>
      </c>
    </row>
    <row r="55" spans="1:55" x14ac:dyDescent="0.2">
      <c r="B55" s="9" t="s">
        <v>360</v>
      </c>
      <c r="C55" s="9"/>
      <c r="D55" s="9"/>
      <c r="E55" s="22">
        <v>0.1</v>
      </c>
      <c r="F55" s="104">
        <f t="shared" ca="1" si="101"/>
        <v>0.25574493788586605</v>
      </c>
      <c r="G55" s="28">
        <f>+SUM(H55:J55)</f>
        <v>1137773.9358527898</v>
      </c>
      <c r="H55" s="11">
        <f>+SUMIF('Taxes and TIF'!$B$11:$B$45,"&lt;"&amp;'Taxes and TIF'!$H$9,'Taxes and TIF'!$L$11:$L$45)</f>
        <v>466180.54969891993</v>
      </c>
      <c r="I55" s="33">
        <f>+SUMIF('Taxes and TIF'!$R$11:$R$45,"&lt;"&amp;'Taxes and TIF'!$X$9,'Taxes and TIF'!$AB$11:$AB$45)</f>
        <v>55330.576573829996</v>
      </c>
      <c r="J55" s="33">
        <f>+SUMIF('Taxes and TIF'!$AG$11:$AG$45,"&lt;"&amp;'Taxes and TIF'!$AM$9,'Taxes and TIF'!$AQ$11:$AQ$45)</f>
        <v>616262.80958003993</v>
      </c>
      <c r="M55" s="38">
        <f t="shared" ca="1" si="103"/>
        <v>77103.946054157626</v>
      </c>
      <c r="N55" s="38">
        <f t="shared" ca="1" si="103"/>
        <v>308415.78421663051</v>
      </c>
      <c r="O55" s="38">
        <f t="shared" ca="1" si="103"/>
        <v>103054.0913600341</v>
      </c>
      <c r="P55" s="38">
        <f t="shared" ca="1" si="103"/>
        <v>72073.932351438023</v>
      </c>
      <c r="Q55" s="38">
        <f t="shared" ca="1" si="103"/>
        <v>49085.78831376569</v>
      </c>
      <c r="R55" s="38">
        <f t="shared" ca="1" si="103"/>
        <v>347839.26114345517</v>
      </c>
      <c r="S55" s="38">
        <f t="shared" ca="1" si="103"/>
        <v>82170.522584951439</v>
      </c>
      <c r="T55" s="38">
        <f t="shared" ca="1" si="103"/>
        <v>45498.630167859003</v>
      </c>
      <c r="U55" s="38">
        <f t="shared" ca="1" si="103"/>
        <v>52531.979660498306</v>
      </c>
      <c r="X55" s="40"/>
      <c r="Y55" s="38">
        <f t="shared" ca="1" si="104"/>
        <v>34546.700274396098</v>
      </c>
      <c r="Z55" s="38">
        <f t="shared" ca="1" si="104"/>
        <v>138186.80109758439</v>
      </c>
      <c r="AA55" s="38">
        <f t="shared" ca="1" si="104"/>
        <v>67006.201583283662</v>
      </c>
      <c r="AB55" s="38">
        <f t="shared" ca="1" si="104"/>
        <v>57055.475607146051</v>
      </c>
      <c r="AC55" s="38">
        <f t="shared" ca="1" si="104"/>
        <v>21695.614118781872</v>
      </c>
      <c r="AD55" s="38">
        <f t="shared" ca="1" si="104"/>
        <v>124931.64046974815</v>
      </c>
      <c r="AE55" s="38">
        <f t="shared" ca="1" si="104"/>
        <v>0</v>
      </c>
      <c r="AF55" s="38">
        <f t="shared" ca="1" si="104"/>
        <v>22758.11654797972</v>
      </c>
      <c r="AG55" s="38">
        <f t="shared" ca="1" si="104"/>
        <v>0</v>
      </c>
      <c r="AI55" s="40"/>
      <c r="AJ55" s="38">
        <f t="shared" ca="1" si="105"/>
        <v>5042.2486522934569</v>
      </c>
      <c r="AK55" s="38">
        <f t="shared" ca="1" si="105"/>
        <v>20168.994609173827</v>
      </c>
      <c r="AL55" s="38">
        <f t="shared" ca="1" si="105"/>
        <v>8615.6899980382368</v>
      </c>
      <c r="AM55" s="38">
        <f t="shared" ca="1" si="105"/>
        <v>7185.3735662859945</v>
      </c>
      <c r="AN55" s="38">
        <f t="shared" ca="1" si="105"/>
        <v>0</v>
      </c>
      <c r="AO55" s="38">
        <f t="shared" ca="1" si="105"/>
        <v>8387.9896195186557</v>
      </c>
      <c r="AP55" s="38">
        <f t="shared" ca="1" si="105"/>
        <v>0</v>
      </c>
      <c r="AQ55" s="38">
        <f t="shared" ca="1" si="105"/>
        <v>5930.2801285198257</v>
      </c>
      <c r="AR55" s="38">
        <f t="shared" ca="1" si="105"/>
        <v>0</v>
      </c>
      <c r="AT55" s="40"/>
      <c r="AU55" s="38">
        <f t="shared" ca="1" si="106"/>
        <v>37514.997127468079</v>
      </c>
      <c r="AV55" s="38">
        <f t="shared" ca="1" si="106"/>
        <v>150059.98850987232</v>
      </c>
      <c r="AW55" s="38">
        <f t="shared" ca="1" si="106"/>
        <v>27432.199778712209</v>
      </c>
      <c r="AX55" s="38">
        <f t="shared" ca="1" si="106"/>
        <v>7833.083178005978</v>
      </c>
      <c r="AY55" s="38">
        <f t="shared" ca="1" si="106"/>
        <v>27390.174194983814</v>
      </c>
      <c r="AZ55" s="38">
        <f t="shared" ca="1" si="106"/>
        <v>214519.63105418833</v>
      </c>
      <c r="BA55" s="38">
        <f t="shared" ca="1" si="106"/>
        <v>82170.522584951439</v>
      </c>
      <c r="BB55" s="38">
        <f t="shared" ca="1" si="106"/>
        <v>16810.233491359457</v>
      </c>
      <c r="BC55" s="38">
        <f t="shared" ca="1" si="106"/>
        <v>52531.979660498306</v>
      </c>
    </row>
    <row r="56" spans="1:55" x14ac:dyDescent="0.2">
      <c r="B56" s="9" t="s">
        <v>59</v>
      </c>
      <c r="C56" s="9"/>
      <c r="D56" s="106">
        <v>0.01</v>
      </c>
      <c r="E56" s="22">
        <v>0.1</v>
      </c>
      <c r="F56" s="104">
        <f t="shared" ca="1" si="101"/>
        <v>1.6327569145366703</v>
      </c>
      <c r="G56" s="47">
        <f ca="1">$D$56*SUM(G35:G43)</f>
        <v>7263910.1923194397</v>
      </c>
      <c r="H56" s="11">
        <f t="shared" ref="H56:J63" ca="1" si="107">+$G56*H$20</f>
        <v>2775987.1819846141</v>
      </c>
      <c r="I56" s="11">
        <f t="shared" ca="1" si="107"/>
        <v>1614794.9557198524</v>
      </c>
      <c r="J56" s="11">
        <f t="shared" ca="1" si="107"/>
        <v>2873128.0546149733</v>
      </c>
      <c r="M56" s="38">
        <f t="shared" ca="1" si="103"/>
        <v>527774.00248451903</v>
      </c>
      <c r="N56" s="38">
        <f t="shared" ca="1" si="103"/>
        <v>2111096.0099380761</v>
      </c>
      <c r="O56" s="38">
        <f t="shared" ca="1" si="103"/>
        <v>778343.38494420331</v>
      </c>
      <c r="P56" s="38">
        <f t="shared" ca="1" si="103"/>
        <v>585971.66049220215</v>
      </c>
      <c r="Q56" s="38">
        <f t="shared" ca="1" si="103"/>
        <v>256889.80914862698</v>
      </c>
      <c r="R56" s="38">
        <f t="shared" ca="1" si="103"/>
        <v>1988864.6445283815</v>
      </c>
      <c r="S56" s="38">
        <f t="shared" ca="1" si="103"/>
        <v>383093.75485773891</v>
      </c>
      <c r="T56" s="38">
        <f t="shared" ca="1" si="103"/>
        <v>386963.38874519081</v>
      </c>
      <c r="U56" s="38">
        <f t="shared" ca="1" si="103"/>
        <v>244913.53718050054</v>
      </c>
      <c r="X56" s="40"/>
      <c r="Y56" s="38">
        <f t="shared" ca="1" si="104"/>
        <v>205716.85627709085</v>
      </c>
      <c r="Z56" s="38">
        <f t="shared" ca="1" si="104"/>
        <v>822867.42510836339</v>
      </c>
      <c r="AA56" s="38">
        <f t="shared" ca="1" si="104"/>
        <v>399004.97098989878</v>
      </c>
      <c r="AB56" s="38">
        <f t="shared" ca="1" si="104"/>
        <v>339750.91635583143</v>
      </c>
      <c r="AC56" s="38">
        <f t="shared" ca="1" si="104"/>
        <v>129191.89086271403</v>
      </c>
      <c r="AD56" s="38">
        <f t="shared" ca="1" si="104"/>
        <v>743936.29848417209</v>
      </c>
      <c r="AE56" s="38">
        <f t="shared" ca="1" si="104"/>
        <v>0</v>
      </c>
      <c r="AF56" s="38">
        <f t="shared" ca="1" si="104"/>
        <v>135518.82390654361</v>
      </c>
      <c r="AG56" s="38">
        <f t="shared" ca="1" si="104"/>
        <v>0</v>
      </c>
      <c r="AI56" s="40"/>
      <c r="AJ56" s="38">
        <f t="shared" ca="1" si="105"/>
        <v>147155.48243644647</v>
      </c>
      <c r="AK56" s="38">
        <f t="shared" ca="1" si="105"/>
        <v>588621.92974578589</v>
      </c>
      <c r="AL56" s="38">
        <f t="shared" ca="1" si="105"/>
        <v>251444.5648386472</v>
      </c>
      <c r="AM56" s="38">
        <f t="shared" ca="1" si="105"/>
        <v>209701.50156160272</v>
      </c>
      <c r="AN56" s="38">
        <f t="shared" ca="1" si="105"/>
        <v>0</v>
      </c>
      <c r="AO56" s="38">
        <f t="shared" ca="1" si="105"/>
        <v>244799.24419648296</v>
      </c>
      <c r="AP56" s="38">
        <f t="shared" ca="1" si="105"/>
        <v>0</v>
      </c>
      <c r="AQ56" s="38">
        <f t="shared" ca="1" si="105"/>
        <v>173072.23294088704</v>
      </c>
      <c r="AR56" s="38">
        <f t="shared" ca="1" si="105"/>
        <v>0</v>
      </c>
      <c r="AT56" s="40"/>
      <c r="AU56" s="38">
        <f t="shared" ca="1" si="106"/>
        <v>174901.66377098172</v>
      </c>
      <c r="AV56" s="38">
        <f t="shared" ca="1" si="106"/>
        <v>699606.65508392686</v>
      </c>
      <c r="AW56" s="38">
        <f t="shared" ca="1" si="106"/>
        <v>127893.84911565737</v>
      </c>
      <c r="AX56" s="38">
        <f t="shared" ca="1" si="106"/>
        <v>36519.242574768075</v>
      </c>
      <c r="AY56" s="38">
        <f t="shared" ca="1" si="106"/>
        <v>127697.91828591297</v>
      </c>
      <c r="AZ56" s="38">
        <f t="shared" ca="1" si="106"/>
        <v>1000129.1018477266</v>
      </c>
      <c r="BA56" s="38">
        <f t="shared" ca="1" si="106"/>
        <v>383093.75485773891</v>
      </c>
      <c r="BB56" s="38">
        <f t="shared" ca="1" si="106"/>
        <v>78372.331897760159</v>
      </c>
      <c r="BC56" s="38">
        <f t="shared" ca="1" si="106"/>
        <v>244913.53718050054</v>
      </c>
    </row>
    <row r="57" spans="1:55" x14ac:dyDescent="0.2">
      <c r="B57" s="9" t="s">
        <v>88</v>
      </c>
      <c r="C57" s="9"/>
      <c r="D57" s="198"/>
      <c r="E57" s="22">
        <v>0.25</v>
      </c>
      <c r="F57" s="104">
        <f t="shared" ca="1" si="101"/>
        <v>3.3716487497252104E-2</v>
      </c>
      <c r="G57" s="47">
        <v>150000</v>
      </c>
      <c r="H57" s="11">
        <f t="shared" ca="1" si="107"/>
        <v>57324.232579028081</v>
      </c>
      <c r="I57" s="11">
        <f t="shared" ca="1" si="107"/>
        <v>33345.572418294832</v>
      </c>
      <c r="J57" s="11">
        <f t="shared" ca="1" si="107"/>
        <v>59330.195002677094</v>
      </c>
      <c r="M57" s="38">
        <f t="shared" ca="1" si="103"/>
        <v>10898.551644592859</v>
      </c>
      <c r="N57" s="38">
        <f t="shared" ca="1" si="103"/>
        <v>43594.206578371435</v>
      </c>
      <c r="O57" s="38">
        <f t="shared" ca="1" si="103"/>
        <v>16072.818172377567</v>
      </c>
      <c r="P57" s="38">
        <f t="shared" ca="1" si="103"/>
        <v>12100.335321706991</v>
      </c>
      <c r="Q57" s="38">
        <f t="shared" ca="1" si="103"/>
        <v>5304.7835603801605</v>
      </c>
      <c r="R57" s="38">
        <f t="shared" ca="1" si="103"/>
        <v>41070.124599654169</v>
      </c>
      <c r="S57" s="38">
        <f t="shared" ca="1" si="103"/>
        <v>7910.8994614802623</v>
      </c>
      <c r="T57" s="38">
        <f t="shared" ca="1" si="103"/>
        <v>7990.8075368487489</v>
      </c>
      <c r="U57" s="38">
        <f t="shared" ca="1" si="103"/>
        <v>5057.4731245878165</v>
      </c>
      <c r="X57" s="40"/>
      <c r="Y57" s="38">
        <f t="shared" ca="1" si="104"/>
        <v>4248.0602904742836</v>
      </c>
      <c r="Z57" s="38">
        <f t="shared" ca="1" si="104"/>
        <v>16992.241161897135</v>
      </c>
      <c r="AA57" s="38">
        <f t="shared" ca="1" si="104"/>
        <v>8239.4666321409841</v>
      </c>
      <c r="AB57" s="38">
        <f t="shared" ca="1" si="104"/>
        <v>7015.8683276757083</v>
      </c>
      <c r="AC57" s="38">
        <f t="shared" ca="1" si="104"/>
        <v>2667.8170732200733</v>
      </c>
      <c r="AD57" s="38">
        <f t="shared" ca="1" si="104"/>
        <v>15362.310631347973</v>
      </c>
      <c r="AE57" s="38">
        <f t="shared" ca="1" si="104"/>
        <v>0</v>
      </c>
      <c r="AF57" s="38">
        <f t="shared" ca="1" si="104"/>
        <v>2798.4684622719251</v>
      </c>
      <c r="AG57" s="38">
        <f t="shared" ca="1" si="104"/>
        <v>0</v>
      </c>
      <c r="AI57" s="40"/>
      <c r="AJ57" s="38">
        <f t="shared" ca="1" si="105"/>
        <v>3038.7658686648401</v>
      </c>
      <c r="AK57" s="38">
        <f t="shared" ca="1" si="105"/>
        <v>12155.063474659361</v>
      </c>
      <c r="AL57" s="38">
        <f t="shared" ca="1" si="105"/>
        <v>5192.3390745768238</v>
      </c>
      <c r="AM57" s="38">
        <f t="shared" ca="1" si="105"/>
        <v>4330.3433552220768</v>
      </c>
      <c r="AN57" s="38">
        <f t="shared" ca="1" si="105"/>
        <v>0</v>
      </c>
      <c r="AO57" s="38">
        <f t="shared" ca="1" si="105"/>
        <v>5055.1129704630075</v>
      </c>
      <c r="AP57" s="38">
        <f t="shared" ca="1" si="105"/>
        <v>0</v>
      </c>
      <c r="AQ57" s="38">
        <f t="shared" ca="1" si="105"/>
        <v>3573.9476747087228</v>
      </c>
      <c r="AR57" s="38">
        <f t="shared" ca="1" si="105"/>
        <v>0</v>
      </c>
      <c r="AT57" s="40"/>
      <c r="AU57" s="38">
        <f t="shared" ca="1" si="106"/>
        <v>3611.7254854537346</v>
      </c>
      <c r="AV57" s="38">
        <f t="shared" ca="1" si="106"/>
        <v>14446.901941814938</v>
      </c>
      <c r="AW57" s="38">
        <f t="shared" ca="1" si="106"/>
        <v>2641.0124656597577</v>
      </c>
      <c r="AX57" s="38">
        <f t="shared" ca="1" si="106"/>
        <v>754.12363880920566</v>
      </c>
      <c r="AY57" s="38">
        <f t="shared" ca="1" si="106"/>
        <v>2636.9664871600871</v>
      </c>
      <c r="AZ57" s="38">
        <f t="shared" ca="1" si="106"/>
        <v>20652.700997843189</v>
      </c>
      <c r="BA57" s="38">
        <f t="shared" ca="1" si="106"/>
        <v>7910.8994614802623</v>
      </c>
      <c r="BB57" s="38">
        <f t="shared" ca="1" si="106"/>
        <v>1618.3913998681012</v>
      </c>
      <c r="BC57" s="38">
        <f t="shared" ca="1" si="106"/>
        <v>5057.4731245878165</v>
      </c>
    </row>
    <row r="58" spans="1:55" x14ac:dyDescent="0.2">
      <c r="B58" s="9" t="s">
        <v>74</v>
      </c>
      <c r="C58" s="9"/>
      <c r="D58" s="169">
        <v>2.5000000000000001E-3</v>
      </c>
      <c r="E58" s="22">
        <v>0.25</v>
      </c>
      <c r="F58" s="104">
        <f t="shared" ca="1" si="101"/>
        <v>0.44584041449042283</v>
      </c>
      <c r="G58" s="28">
        <f ca="1">D58*SUM('S&amp;U'!$G$17:$G$18)</f>
        <v>1983482.4780906916</v>
      </c>
      <c r="H58" s="33">
        <f t="shared" ca="1" si="107"/>
        <v>758010.73926998512</v>
      </c>
      <c r="I58" s="33">
        <f t="shared" ca="1" si="107"/>
        <v>440935.72409061372</v>
      </c>
      <c r="J58" s="33">
        <f t="shared" ca="1" si="107"/>
        <v>784536.01473009284</v>
      </c>
      <c r="K58" s="33"/>
      <c r="L58" s="33"/>
      <c r="M58" s="38">
        <f t="shared" ca="1" si="103"/>
        <v>144113.90815744284</v>
      </c>
      <c r="N58" s="38">
        <f t="shared" ca="1" si="103"/>
        <v>576455.63262977137</v>
      </c>
      <c r="O58" s="38">
        <f t="shared" ca="1" si="103"/>
        <v>212534.35478965702</v>
      </c>
      <c r="P58" s="38">
        <f t="shared" ca="1" si="103"/>
        <v>160005.35393085139</v>
      </c>
      <c r="Q58" s="38">
        <f t="shared" ca="1" si="103"/>
        <v>70146.301613850679</v>
      </c>
      <c r="R58" s="38">
        <f t="shared" ca="1" si="103"/>
        <v>543079.15010943683</v>
      </c>
      <c r="S58" s="38">
        <f t="shared" ca="1" si="103"/>
        <v>104607.53645188791</v>
      </c>
      <c r="T58" s="38">
        <f t="shared" ca="1" si="103"/>
        <v>105664.1782342302</v>
      </c>
      <c r="U58" s="38">
        <f t="shared" ca="1" si="103"/>
        <v>66876.062173563434</v>
      </c>
      <c r="X58" s="33"/>
      <c r="Y58" s="38">
        <f t="shared" ca="1" si="104"/>
        <v>56173.021013523961</v>
      </c>
      <c r="Z58" s="38">
        <f t="shared" ca="1" si="104"/>
        <v>224692.08405409585</v>
      </c>
      <c r="AA58" s="38">
        <f t="shared" ca="1" si="104"/>
        <v>108952.25129109708</v>
      </c>
      <c r="AB58" s="38">
        <f t="shared" ca="1" si="104"/>
        <v>92772.345976908065</v>
      </c>
      <c r="AC58" s="38">
        <f t="shared" ca="1" si="104"/>
        <v>35277.122796554708</v>
      </c>
      <c r="AD58" s="38">
        <f t="shared" ca="1" si="104"/>
        <v>203139.15973510034</v>
      </c>
      <c r="AE58" s="38">
        <f t="shared" ca="1" si="104"/>
        <v>0</v>
      </c>
      <c r="AF58" s="38">
        <f t="shared" ca="1" si="104"/>
        <v>37004.754402705097</v>
      </c>
      <c r="AG58" s="38">
        <f t="shared" ca="1" si="104"/>
        <v>0</v>
      </c>
      <c r="AI58" s="33"/>
      <c r="AJ58" s="38">
        <f t="shared" ca="1" si="105"/>
        <v>40182.259036778341</v>
      </c>
      <c r="AK58" s="38">
        <f t="shared" ca="1" si="105"/>
        <v>160729.03614711337</v>
      </c>
      <c r="AL58" s="38">
        <f t="shared" ca="1" si="105"/>
        <v>68659.423831525113</v>
      </c>
      <c r="AM58" s="38">
        <f t="shared" ca="1" si="105"/>
        <v>57261.067794662973</v>
      </c>
      <c r="AN58" s="38">
        <f t="shared" ca="1" si="105"/>
        <v>0</v>
      </c>
      <c r="AO58" s="38">
        <f t="shared" ca="1" si="105"/>
        <v>66844.853344549105</v>
      </c>
      <c r="AP58" s="38">
        <f t="shared" ca="1" si="105"/>
        <v>0</v>
      </c>
      <c r="AQ58" s="38">
        <f t="shared" ca="1" si="105"/>
        <v>47259.083935984818</v>
      </c>
      <c r="AR58" s="38">
        <f t="shared" ca="1" si="105"/>
        <v>0</v>
      </c>
      <c r="AT58" s="33"/>
      <c r="AU58" s="38">
        <f t="shared" ca="1" si="106"/>
        <v>47758.628107140532</v>
      </c>
      <c r="AV58" s="38">
        <f t="shared" ca="1" si="106"/>
        <v>191034.51242856213</v>
      </c>
      <c r="AW58" s="38">
        <f t="shared" ca="1" si="106"/>
        <v>34922.679667034819</v>
      </c>
      <c r="AX58" s="38">
        <f t="shared" ca="1" si="106"/>
        <v>9971.9401592803515</v>
      </c>
      <c r="AY58" s="38">
        <f t="shared" ca="1" si="106"/>
        <v>34869.178817295971</v>
      </c>
      <c r="AZ58" s="38">
        <f t="shared" ca="1" si="106"/>
        <v>273095.13702978741</v>
      </c>
      <c r="BA58" s="38">
        <f t="shared" ca="1" si="106"/>
        <v>104607.53645188791</v>
      </c>
      <c r="BB58" s="38">
        <f t="shared" ca="1" si="106"/>
        <v>21400.339895540295</v>
      </c>
      <c r="BC58" s="38">
        <f t="shared" ca="1" si="106"/>
        <v>66876.062173563434</v>
      </c>
    </row>
    <row r="59" spans="1:55" x14ac:dyDescent="0.2">
      <c r="B59" s="9" t="s">
        <v>91</v>
      </c>
      <c r="C59" s="9"/>
      <c r="D59" s="9"/>
      <c r="E59" s="22">
        <v>0.25</v>
      </c>
      <c r="F59" s="104">
        <f t="shared" ca="1" si="101"/>
        <v>4.4955316663002808E-2</v>
      </c>
      <c r="G59" s="47">
        <v>200000</v>
      </c>
      <c r="H59" s="11">
        <f t="shared" ca="1" si="107"/>
        <v>76432.310105370765</v>
      </c>
      <c r="I59" s="11">
        <f t="shared" ca="1" si="107"/>
        <v>44460.763224393115</v>
      </c>
      <c r="J59" s="11">
        <f t="shared" ca="1" si="107"/>
        <v>79106.92667023612</v>
      </c>
      <c r="M59" s="38">
        <f t="shared" ca="1" si="103"/>
        <v>14531.40219279048</v>
      </c>
      <c r="N59" s="38">
        <f t="shared" ca="1" si="103"/>
        <v>58125.608771161918</v>
      </c>
      <c r="O59" s="38">
        <f t="shared" ca="1" si="103"/>
        <v>21430.424229836754</v>
      </c>
      <c r="P59" s="38">
        <f t="shared" ca="1" si="103"/>
        <v>16133.780428942655</v>
      </c>
      <c r="Q59" s="38">
        <f t="shared" ca="1" si="103"/>
        <v>7073.0447471735461</v>
      </c>
      <c r="R59" s="38">
        <f t="shared" ca="1" si="103"/>
        <v>54760.166132872226</v>
      </c>
      <c r="S59" s="38">
        <f t="shared" ca="1" si="103"/>
        <v>10547.865948640349</v>
      </c>
      <c r="T59" s="38">
        <f t="shared" ca="1" si="103"/>
        <v>10654.410049131666</v>
      </c>
      <c r="U59" s="38">
        <f t="shared" ca="1" si="103"/>
        <v>6743.297499450422</v>
      </c>
      <c r="X59" s="40"/>
      <c r="Y59" s="38">
        <f t="shared" ca="1" si="104"/>
        <v>5664.0803872990446</v>
      </c>
      <c r="Z59" s="38">
        <f t="shared" ca="1" si="104"/>
        <v>22656.321549196178</v>
      </c>
      <c r="AA59" s="38">
        <f t="shared" ca="1" si="104"/>
        <v>10985.955509521311</v>
      </c>
      <c r="AB59" s="38">
        <f t="shared" ca="1" si="104"/>
        <v>9354.4911035676105</v>
      </c>
      <c r="AC59" s="38">
        <f t="shared" ca="1" si="104"/>
        <v>3557.0894309600972</v>
      </c>
      <c r="AD59" s="38">
        <f t="shared" ca="1" si="104"/>
        <v>20483.080841797295</v>
      </c>
      <c r="AE59" s="38">
        <f t="shared" ca="1" si="104"/>
        <v>0</v>
      </c>
      <c r="AF59" s="38">
        <f t="shared" ca="1" si="104"/>
        <v>3731.291283029233</v>
      </c>
      <c r="AG59" s="38">
        <f t="shared" ca="1" si="104"/>
        <v>0</v>
      </c>
      <c r="AI59" s="40"/>
      <c r="AJ59" s="38">
        <f t="shared" ca="1" si="105"/>
        <v>4051.6878248864541</v>
      </c>
      <c r="AK59" s="38">
        <f t="shared" ca="1" si="105"/>
        <v>16206.751299545816</v>
      </c>
      <c r="AL59" s="38">
        <f t="shared" ca="1" si="105"/>
        <v>6923.1187661024323</v>
      </c>
      <c r="AM59" s="38">
        <f t="shared" ca="1" si="105"/>
        <v>5773.7911402961035</v>
      </c>
      <c r="AN59" s="38">
        <f t="shared" ca="1" si="105"/>
        <v>0</v>
      </c>
      <c r="AO59" s="38">
        <f t="shared" ca="1" si="105"/>
        <v>6740.1506272840115</v>
      </c>
      <c r="AP59" s="38">
        <f t="shared" ca="1" si="105"/>
        <v>0</v>
      </c>
      <c r="AQ59" s="38">
        <f t="shared" ca="1" si="105"/>
        <v>4765.2635662782977</v>
      </c>
      <c r="AR59" s="38">
        <f t="shared" ca="1" si="105"/>
        <v>0</v>
      </c>
      <c r="AT59" s="40"/>
      <c r="AU59" s="38">
        <f t="shared" ca="1" si="106"/>
        <v>4815.6339806049791</v>
      </c>
      <c r="AV59" s="38">
        <f t="shared" ca="1" si="106"/>
        <v>19262.535922419916</v>
      </c>
      <c r="AW59" s="38">
        <f t="shared" ca="1" si="106"/>
        <v>3521.3499542130098</v>
      </c>
      <c r="AX59" s="38">
        <f t="shared" ca="1" si="106"/>
        <v>1005.4981850789408</v>
      </c>
      <c r="AY59" s="38">
        <f t="shared" ca="1" si="106"/>
        <v>3515.9553162134494</v>
      </c>
      <c r="AZ59" s="38">
        <f t="shared" ca="1" si="106"/>
        <v>27536.934663790918</v>
      </c>
      <c r="BA59" s="38">
        <f t="shared" ca="1" si="106"/>
        <v>10547.865948640349</v>
      </c>
      <c r="BB59" s="38">
        <f t="shared" ca="1" si="106"/>
        <v>2157.8551998241346</v>
      </c>
      <c r="BC59" s="38">
        <f t="shared" ca="1" si="106"/>
        <v>6743.297499450422</v>
      </c>
    </row>
    <row r="60" spans="1:55" x14ac:dyDescent="0.2">
      <c r="B60" s="9" t="s">
        <v>75</v>
      </c>
      <c r="C60" s="9"/>
      <c r="D60" s="9"/>
      <c r="E60" s="22">
        <v>0</v>
      </c>
      <c r="F60" s="104">
        <f t="shared" ca="1" si="101"/>
        <v>4.4955316663002808E-2</v>
      </c>
      <c r="G60" s="47">
        <v>200000</v>
      </c>
      <c r="H60" s="11">
        <f t="shared" ca="1" si="107"/>
        <v>76432.310105370765</v>
      </c>
      <c r="I60" s="11">
        <f t="shared" ca="1" si="107"/>
        <v>44460.763224393115</v>
      </c>
      <c r="J60" s="11">
        <f t="shared" ca="1" si="107"/>
        <v>79106.92667023612</v>
      </c>
      <c r="M60" s="38">
        <f t="shared" ca="1" si="103"/>
        <v>14531.40219279048</v>
      </c>
      <c r="N60" s="38">
        <f t="shared" ca="1" si="103"/>
        <v>58125.608771161918</v>
      </c>
      <c r="O60" s="38">
        <f t="shared" ca="1" si="103"/>
        <v>21430.424229836754</v>
      </c>
      <c r="P60" s="38">
        <f t="shared" ca="1" si="103"/>
        <v>16133.780428942655</v>
      </c>
      <c r="Q60" s="38">
        <f t="shared" ca="1" si="103"/>
        <v>7073.0447471735461</v>
      </c>
      <c r="R60" s="38">
        <f t="shared" ca="1" si="103"/>
        <v>54760.166132872226</v>
      </c>
      <c r="S60" s="38">
        <f t="shared" ca="1" si="103"/>
        <v>10547.865948640349</v>
      </c>
      <c r="T60" s="38">
        <f t="shared" ca="1" si="103"/>
        <v>10654.410049131666</v>
      </c>
      <c r="U60" s="38">
        <f t="shared" ca="1" si="103"/>
        <v>6743.297499450422</v>
      </c>
      <c r="X60" s="40"/>
      <c r="Y60" s="38">
        <f t="shared" ca="1" si="104"/>
        <v>5664.0803872990446</v>
      </c>
      <c r="Z60" s="38">
        <f t="shared" ca="1" si="104"/>
        <v>22656.321549196178</v>
      </c>
      <c r="AA60" s="38">
        <f t="shared" ca="1" si="104"/>
        <v>10985.955509521311</v>
      </c>
      <c r="AB60" s="38">
        <f t="shared" ca="1" si="104"/>
        <v>9354.4911035676105</v>
      </c>
      <c r="AC60" s="38">
        <f t="shared" ca="1" si="104"/>
        <v>3557.0894309600972</v>
      </c>
      <c r="AD60" s="38">
        <f t="shared" ca="1" si="104"/>
        <v>20483.080841797295</v>
      </c>
      <c r="AE60" s="38">
        <f t="shared" ca="1" si="104"/>
        <v>0</v>
      </c>
      <c r="AF60" s="38">
        <f t="shared" ca="1" si="104"/>
        <v>3731.291283029233</v>
      </c>
      <c r="AG60" s="38">
        <f t="shared" ca="1" si="104"/>
        <v>0</v>
      </c>
      <c r="AI60" s="40"/>
      <c r="AJ60" s="38">
        <f t="shared" ca="1" si="105"/>
        <v>4051.6878248864541</v>
      </c>
      <c r="AK60" s="38">
        <f t="shared" ca="1" si="105"/>
        <v>16206.751299545816</v>
      </c>
      <c r="AL60" s="38">
        <f t="shared" ca="1" si="105"/>
        <v>6923.1187661024323</v>
      </c>
      <c r="AM60" s="38">
        <f t="shared" ca="1" si="105"/>
        <v>5773.7911402961035</v>
      </c>
      <c r="AN60" s="38">
        <f t="shared" ca="1" si="105"/>
        <v>0</v>
      </c>
      <c r="AO60" s="38">
        <f t="shared" ca="1" si="105"/>
        <v>6740.1506272840115</v>
      </c>
      <c r="AP60" s="38">
        <f t="shared" ca="1" si="105"/>
        <v>0</v>
      </c>
      <c r="AQ60" s="38">
        <f t="shared" ca="1" si="105"/>
        <v>4765.2635662782977</v>
      </c>
      <c r="AR60" s="38">
        <f t="shared" ca="1" si="105"/>
        <v>0</v>
      </c>
      <c r="AT60" s="40"/>
      <c r="AU60" s="38">
        <f t="shared" ca="1" si="106"/>
        <v>4815.6339806049791</v>
      </c>
      <c r="AV60" s="38">
        <f t="shared" ca="1" si="106"/>
        <v>19262.535922419916</v>
      </c>
      <c r="AW60" s="38">
        <f t="shared" ca="1" si="106"/>
        <v>3521.3499542130098</v>
      </c>
      <c r="AX60" s="38">
        <f t="shared" ca="1" si="106"/>
        <v>1005.4981850789408</v>
      </c>
      <c r="AY60" s="38">
        <f t="shared" ca="1" si="106"/>
        <v>3515.9553162134494</v>
      </c>
      <c r="AZ60" s="38">
        <f t="shared" ca="1" si="106"/>
        <v>27536.934663790918</v>
      </c>
      <c r="BA60" s="38">
        <f t="shared" ca="1" si="106"/>
        <v>10547.865948640349</v>
      </c>
      <c r="BB60" s="38">
        <f t="shared" ca="1" si="106"/>
        <v>2157.8551998241346</v>
      </c>
      <c r="BC60" s="38">
        <f t="shared" ca="1" si="106"/>
        <v>6743.297499450422</v>
      </c>
    </row>
    <row r="61" spans="1:55" x14ac:dyDescent="0.2">
      <c r="B61" s="9" t="s">
        <v>76</v>
      </c>
      <c r="C61" s="9"/>
      <c r="D61" s="9"/>
      <c r="E61" s="22">
        <v>0</v>
      </c>
      <c r="F61" s="104">
        <f t="shared" ca="1" si="101"/>
        <v>4.4955316663002808E-2</v>
      </c>
      <c r="G61" s="47">
        <v>200000</v>
      </c>
      <c r="H61" s="11">
        <f t="shared" ca="1" si="107"/>
        <v>76432.310105370765</v>
      </c>
      <c r="I61" s="11">
        <f t="shared" ca="1" si="107"/>
        <v>44460.763224393115</v>
      </c>
      <c r="J61" s="11">
        <f t="shared" ca="1" si="107"/>
        <v>79106.92667023612</v>
      </c>
      <c r="M61" s="38">
        <f t="shared" ca="1" si="103"/>
        <v>14531.40219279048</v>
      </c>
      <c r="N61" s="38">
        <f t="shared" ca="1" si="103"/>
        <v>58125.608771161918</v>
      </c>
      <c r="O61" s="38">
        <f t="shared" ca="1" si="103"/>
        <v>21430.424229836754</v>
      </c>
      <c r="P61" s="38">
        <f t="shared" ca="1" si="103"/>
        <v>16133.780428942655</v>
      </c>
      <c r="Q61" s="38">
        <f t="shared" ca="1" si="103"/>
        <v>7073.0447471735461</v>
      </c>
      <c r="R61" s="38">
        <f t="shared" ca="1" si="103"/>
        <v>54760.166132872226</v>
      </c>
      <c r="S61" s="38">
        <f t="shared" ca="1" si="103"/>
        <v>10547.865948640349</v>
      </c>
      <c r="T61" s="38">
        <f t="shared" ca="1" si="103"/>
        <v>10654.410049131666</v>
      </c>
      <c r="U61" s="38">
        <f t="shared" ca="1" si="103"/>
        <v>6743.297499450422</v>
      </c>
      <c r="X61" s="40"/>
      <c r="Y61" s="38">
        <f t="shared" ca="1" si="104"/>
        <v>5664.0803872990446</v>
      </c>
      <c r="Z61" s="38">
        <f t="shared" ca="1" si="104"/>
        <v>22656.321549196178</v>
      </c>
      <c r="AA61" s="38">
        <f t="shared" ca="1" si="104"/>
        <v>10985.955509521311</v>
      </c>
      <c r="AB61" s="38">
        <f t="shared" ca="1" si="104"/>
        <v>9354.4911035676105</v>
      </c>
      <c r="AC61" s="38">
        <f t="shared" ca="1" si="104"/>
        <v>3557.0894309600972</v>
      </c>
      <c r="AD61" s="38">
        <f t="shared" ca="1" si="104"/>
        <v>20483.080841797295</v>
      </c>
      <c r="AE61" s="38">
        <f t="shared" ca="1" si="104"/>
        <v>0</v>
      </c>
      <c r="AF61" s="38">
        <f t="shared" ca="1" si="104"/>
        <v>3731.291283029233</v>
      </c>
      <c r="AG61" s="38">
        <f t="shared" ca="1" si="104"/>
        <v>0</v>
      </c>
      <c r="AI61" s="40"/>
      <c r="AJ61" s="38">
        <f t="shared" ca="1" si="105"/>
        <v>4051.6878248864541</v>
      </c>
      <c r="AK61" s="38">
        <f t="shared" ca="1" si="105"/>
        <v>16206.751299545816</v>
      </c>
      <c r="AL61" s="38">
        <f t="shared" ca="1" si="105"/>
        <v>6923.1187661024323</v>
      </c>
      <c r="AM61" s="38">
        <f t="shared" ca="1" si="105"/>
        <v>5773.7911402961035</v>
      </c>
      <c r="AN61" s="38">
        <f t="shared" ca="1" si="105"/>
        <v>0</v>
      </c>
      <c r="AO61" s="38">
        <f t="shared" ca="1" si="105"/>
        <v>6740.1506272840115</v>
      </c>
      <c r="AP61" s="38">
        <f t="shared" ca="1" si="105"/>
        <v>0</v>
      </c>
      <c r="AQ61" s="38">
        <f t="shared" ca="1" si="105"/>
        <v>4765.2635662782977</v>
      </c>
      <c r="AR61" s="38">
        <f t="shared" ca="1" si="105"/>
        <v>0</v>
      </c>
      <c r="AT61" s="40"/>
      <c r="AU61" s="38">
        <f t="shared" ca="1" si="106"/>
        <v>4815.6339806049791</v>
      </c>
      <c r="AV61" s="38">
        <f t="shared" ca="1" si="106"/>
        <v>19262.535922419916</v>
      </c>
      <c r="AW61" s="38">
        <f t="shared" ca="1" si="106"/>
        <v>3521.3499542130098</v>
      </c>
      <c r="AX61" s="38">
        <f t="shared" ca="1" si="106"/>
        <v>1005.4981850789408</v>
      </c>
      <c r="AY61" s="38">
        <f t="shared" ca="1" si="106"/>
        <v>3515.9553162134494</v>
      </c>
      <c r="AZ61" s="38">
        <f t="shared" ca="1" si="106"/>
        <v>27536.934663790918</v>
      </c>
      <c r="BA61" s="38">
        <f t="shared" ca="1" si="106"/>
        <v>10547.865948640349</v>
      </c>
      <c r="BB61" s="38">
        <f t="shared" ca="1" si="106"/>
        <v>2157.8551998241346</v>
      </c>
      <c r="BC61" s="38">
        <f t="shared" ca="1" si="106"/>
        <v>6743.297499450422</v>
      </c>
    </row>
    <row r="62" spans="1:55" x14ac:dyDescent="0.2">
      <c r="B62" s="9" t="s">
        <v>77</v>
      </c>
      <c r="C62" s="9"/>
      <c r="D62" s="199">
        <v>5.7000000000000002E-2</v>
      </c>
      <c r="E62" s="22">
        <v>0</v>
      </c>
      <c r="F62" s="104">
        <f t="shared" ca="1" si="101"/>
        <v>5.7000000000000002E-2</v>
      </c>
      <c r="G62" s="28">
        <f ca="1">$D$62*$G$10</f>
        <v>253585.13400000002</v>
      </c>
      <c r="H62" s="11">
        <f t="shared" ca="1" si="107"/>
        <v>96910.488000000012</v>
      </c>
      <c r="I62" s="11">
        <f t="shared" ca="1" si="107"/>
        <v>56372.942999999999</v>
      </c>
      <c r="J62" s="11">
        <f t="shared" ca="1" si="107"/>
        <v>100301.70300000001</v>
      </c>
      <c r="M62" s="38">
        <f t="shared" ca="1" si="103"/>
        <v>18424.737861333339</v>
      </c>
      <c r="N62" s="38">
        <f t="shared" ca="1" si="103"/>
        <v>73698.951445333354</v>
      </c>
      <c r="O62" s="38">
        <f t="shared" ca="1" si="103"/>
        <v>27172.185000000001</v>
      </c>
      <c r="P62" s="38">
        <f t="shared" ca="1" si="103"/>
        <v>20456.434360000007</v>
      </c>
      <c r="Q62" s="38">
        <f t="shared" ca="1" si="103"/>
        <v>8968.0950000000012</v>
      </c>
      <c r="R62" s="38">
        <f t="shared" ca="1" si="103"/>
        <v>69431.820333333337</v>
      </c>
      <c r="S62" s="38">
        <f t="shared" ca="1" si="103"/>
        <v>13373.91</v>
      </c>
      <c r="T62" s="38">
        <f t="shared" ca="1" si="103"/>
        <v>13509</v>
      </c>
      <c r="U62" s="38">
        <f t="shared" ca="1" si="103"/>
        <v>8550.0000000000018</v>
      </c>
      <c r="X62" s="40"/>
      <c r="Y62" s="38">
        <f t="shared" ca="1" si="104"/>
        <v>7181.6329200000009</v>
      </c>
      <c r="Z62" s="38">
        <f t="shared" ca="1" si="104"/>
        <v>28726.531680000004</v>
      </c>
      <c r="AA62" s="38">
        <f t="shared" ca="1" si="104"/>
        <v>13929.375000000002</v>
      </c>
      <c r="AB62" s="38">
        <f t="shared" ca="1" si="104"/>
        <v>11860.799400000004</v>
      </c>
      <c r="AC62" s="38">
        <f t="shared" ca="1" si="104"/>
        <v>4510.125</v>
      </c>
      <c r="AD62" s="38">
        <f t="shared" ca="1" si="104"/>
        <v>25971.024000000005</v>
      </c>
      <c r="AE62" s="38">
        <f t="shared" ca="1" si="104"/>
        <v>0</v>
      </c>
      <c r="AF62" s="38">
        <f t="shared" ca="1" si="104"/>
        <v>4731</v>
      </c>
      <c r="AG62" s="38">
        <f t="shared" ca="1" si="104"/>
        <v>0</v>
      </c>
      <c r="AI62" s="40"/>
      <c r="AJ62" s="38">
        <f t="shared" ca="1" si="105"/>
        <v>5137.2389999999996</v>
      </c>
      <c r="AK62" s="38">
        <f t="shared" ca="1" si="105"/>
        <v>20548.955999999998</v>
      </c>
      <c r="AL62" s="38">
        <f t="shared" ca="1" si="105"/>
        <v>8778</v>
      </c>
      <c r="AM62" s="38">
        <f t="shared" ca="1" si="105"/>
        <v>7320.7380000000003</v>
      </c>
      <c r="AN62" s="38">
        <f t="shared" ca="1" si="105"/>
        <v>0</v>
      </c>
      <c r="AO62" s="38">
        <f t="shared" ca="1" si="105"/>
        <v>8546.01</v>
      </c>
      <c r="AP62" s="38">
        <f t="shared" ca="1" si="105"/>
        <v>0</v>
      </c>
      <c r="AQ62" s="38">
        <f t="shared" ca="1" si="105"/>
        <v>6042</v>
      </c>
      <c r="AR62" s="38">
        <f t="shared" ca="1" si="105"/>
        <v>0</v>
      </c>
      <c r="AT62" s="40"/>
      <c r="AU62" s="38">
        <f t="shared" ca="1" si="106"/>
        <v>6105.8659413333362</v>
      </c>
      <c r="AV62" s="38">
        <f t="shared" ca="1" si="106"/>
        <v>24423.463765333345</v>
      </c>
      <c r="AW62" s="38">
        <f t="shared" ca="1" si="106"/>
        <v>4464.8100000000004</v>
      </c>
      <c r="AX62" s="38">
        <f t="shared" ca="1" si="106"/>
        <v>1274.89696</v>
      </c>
      <c r="AY62" s="38">
        <f t="shared" ca="1" si="106"/>
        <v>4457.97</v>
      </c>
      <c r="AZ62" s="38">
        <f t="shared" ca="1" si="106"/>
        <v>34914.78633333333</v>
      </c>
      <c r="BA62" s="38">
        <f t="shared" ca="1" si="106"/>
        <v>13373.91</v>
      </c>
      <c r="BB62" s="38">
        <f t="shared" ca="1" si="106"/>
        <v>2736</v>
      </c>
      <c r="BC62" s="38">
        <f t="shared" ca="1" si="106"/>
        <v>8550.0000000000018</v>
      </c>
    </row>
    <row r="63" spans="1:55" x14ac:dyDescent="0.2">
      <c r="B63" s="9" t="s">
        <v>78</v>
      </c>
      <c r="C63" s="9"/>
      <c r="D63" s="106">
        <v>0.05</v>
      </c>
      <c r="E63" s="22">
        <v>0.5</v>
      </c>
      <c r="F63" s="104">
        <f t="shared" ca="1" si="101"/>
        <v>0.65376673981644751</v>
      </c>
      <c r="G63" s="21">
        <f ca="1">+SUM(G49:G62)*D63</f>
        <v>2908518.0056332801</v>
      </c>
      <c r="H63" s="33">
        <f t="shared" ca="1" si="107"/>
        <v>1111523.7507680871</v>
      </c>
      <c r="I63" s="33">
        <f t="shared" ca="1" si="107"/>
        <v>646574.65191172669</v>
      </c>
      <c r="J63" s="33">
        <f t="shared" ca="1" si="107"/>
        <v>1150419.6029534666</v>
      </c>
      <c r="K63" s="33"/>
      <c r="L63" s="33"/>
      <c r="M63" s="38">
        <f t="shared" ca="1" si="103"/>
        <v>211324.2246241502</v>
      </c>
      <c r="N63" s="38">
        <f t="shared" ca="1" si="103"/>
        <v>845296.8984966008</v>
      </c>
      <c r="O63" s="38">
        <f t="shared" ca="1" si="103"/>
        <v>311653.87370419962</v>
      </c>
      <c r="P63" s="38">
        <f t="shared" ca="1" si="103"/>
        <v>234626.95438256767</v>
      </c>
      <c r="Q63" s="38">
        <f t="shared" ca="1" si="103"/>
        <v>102860.39000902078</v>
      </c>
      <c r="R63" s="38">
        <f t="shared" ca="1" si="103"/>
        <v>796354.64594464307</v>
      </c>
      <c r="S63" s="38">
        <f t="shared" ca="1" si="103"/>
        <v>153393.29016313309</v>
      </c>
      <c r="T63" s="38">
        <f t="shared" ca="1" si="103"/>
        <v>154942.71733649806</v>
      </c>
      <c r="U63" s="38">
        <f t="shared" ca="1" si="103"/>
        <v>98065.010972467135</v>
      </c>
      <c r="X63" s="33"/>
      <c r="Y63" s="38">
        <f t="shared" ca="1" si="104"/>
        <v>82370.398959067985</v>
      </c>
      <c r="Z63" s="38">
        <f t="shared" ca="1" si="104"/>
        <v>329481.59583627194</v>
      </c>
      <c r="AA63" s="38">
        <f t="shared" ca="1" si="104"/>
        <v>159764.24704264439</v>
      </c>
      <c r="AB63" s="38">
        <f t="shared" ca="1" si="104"/>
        <v>136038.52904131365</v>
      </c>
      <c r="AC63" s="38">
        <f t="shared" ca="1" si="104"/>
        <v>51729.293287976412</v>
      </c>
      <c r="AD63" s="38">
        <f t="shared" ca="1" si="104"/>
        <v>297877.04719604761</v>
      </c>
      <c r="AE63" s="38">
        <f t="shared" ca="1" si="104"/>
        <v>0</v>
      </c>
      <c r="AF63" s="38">
        <f t="shared" ca="1" si="104"/>
        <v>54262.639404765148</v>
      </c>
      <c r="AG63" s="38">
        <f t="shared" ca="1" si="104"/>
        <v>0</v>
      </c>
      <c r="AI63" s="33"/>
      <c r="AJ63" s="38">
        <f t="shared" ca="1" si="105"/>
        <v>58922.034959436955</v>
      </c>
      <c r="AK63" s="38">
        <f t="shared" ca="1" si="105"/>
        <v>235688.13983774782</v>
      </c>
      <c r="AL63" s="38">
        <f t="shared" ca="1" si="105"/>
        <v>100680.0779317329</v>
      </c>
      <c r="AM63" s="38">
        <f t="shared" ca="1" si="105"/>
        <v>83965.877461585609</v>
      </c>
      <c r="AN63" s="38">
        <f t="shared" ca="1" si="105"/>
        <v>0</v>
      </c>
      <c r="AO63" s="38">
        <f t="shared" ca="1" si="105"/>
        <v>98019.24730067997</v>
      </c>
      <c r="AP63" s="38">
        <f t="shared" ca="1" si="105"/>
        <v>0</v>
      </c>
      <c r="AQ63" s="38">
        <f t="shared" ca="1" si="105"/>
        <v>69299.274420543428</v>
      </c>
      <c r="AR63" s="38">
        <f t="shared" ca="1" si="105"/>
        <v>0</v>
      </c>
      <c r="AT63" s="33"/>
      <c r="AU63" s="38">
        <f t="shared" ca="1" si="106"/>
        <v>70031.790705645253</v>
      </c>
      <c r="AV63" s="38">
        <f t="shared" ca="1" si="106"/>
        <v>280127.16282258101</v>
      </c>
      <c r="AW63" s="38">
        <f t="shared" ca="1" si="106"/>
        <v>51209.548729822331</v>
      </c>
      <c r="AX63" s="38">
        <f t="shared" ca="1" si="106"/>
        <v>14622.547879668418</v>
      </c>
      <c r="AY63" s="38">
        <f t="shared" ca="1" si="106"/>
        <v>51131.096721044356</v>
      </c>
      <c r="AZ63" s="38">
        <f t="shared" ca="1" si="106"/>
        <v>400458.35144791554</v>
      </c>
      <c r="BA63" s="38">
        <f t="shared" ca="1" si="106"/>
        <v>153393.29016313309</v>
      </c>
      <c r="BB63" s="38">
        <f t="shared" ca="1" si="106"/>
        <v>31380.803511189479</v>
      </c>
      <c r="BC63" s="38">
        <f t="shared" ca="1" si="106"/>
        <v>98065.010972467135</v>
      </c>
    </row>
    <row r="64" spans="1:55" x14ac:dyDescent="0.2">
      <c r="B64" s="12" t="s">
        <v>79</v>
      </c>
      <c r="C64" s="12"/>
      <c r="D64" s="12"/>
      <c r="E64" s="12"/>
      <c r="F64" s="105">
        <f t="shared" ca="1" si="101"/>
        <v>13.729101536145397</v>
      </c>
      <c r="G64" s="13">
        <f ca="1">+SUM(G49:G63)</f>
        <v>61078878.118298881</v>
      </c>
      <c r="H64" s="128">
        <f ca="1">+SUM(H49:H63)</f>
        <v>23373365.864354212</v>
      </c>
      <c r="I64" s="128">
        <f ca="1">+SUM(I49:I63)</f>
        <v>13380466.778895907</v>
      </c>
      <c r="J64" s="128">
        <f ca="1">+SUM(J49:J63)</f>
        <v>24325045.475048773</v>
      </c>
      <c r="M64" s="128">
        <f t="shared" ref="M64:U64" ca="1" si="108">+SUM(M49:M63)</f>
        <v>4432245.409829556</v>
      </c>
      <c r="N64" s="128">
        <f t="shared" ca="1" si="108"/>
        <v>17728981.639318224</v>
      </c>
      <c r="O64" s="128">
        <f t="shared" ca="1" si="108"/>
        <v>6525870.5485333437</v>
      </c>
      <c r="P64" s="128">
        <f t="shared" ca="1" si="108"/>
        <v>4907457.0000912435</v>
      </c>
      <c r="Q64" s="128">
        <f t="shared" ca="1" si="108"/>
        <v>2168916.348700929</v>
      </c>
      <c r="R64" s="128">
        <f t="shared" ca="1" si="108"/>
        <v>16759763.37723621</v>
      </c>
      <c r="S64" s="128">
        <f t="shared" ca="1" si="108"/>
        <v>3243424.1812345856</v>
      </c>
      <c r="T64" s="128">
        <f t="shared" ca="1" si="108"/>
        <v>3238684.1439553685</v>
      </c>
      <c r="U64" s="128">
        <f t="shared" ca="1" si="108"/>
        <v>2073535.469399428</v>
      </c>
      <c r="X64" s="33">
        <f ca="1">+SUM(Y64:AG64)</f>
        <v>23373365.864354204</v>
      </c>
      <c r="Y64" s="128">
        <f t="shared" ref="Y64:AG64" ca="1" si="109">+SUM(Y49:Y63)</f>
        <v>1732102.863238604</v>
      </c>
      <c r="Z64" s="128">
        <f t="shared" ca="1" si="109"/>
        <v>6928411.4529544162</v>
      </c>
      <c r="AA64" s="128">
        <f t="shared" ca="1" si="109"/>
        <v>3359557.7202829574</v>
      </c>
      <c r="AB64" s="128">
        <f t="shared" ca="1" si="109"/>
        <v>2860648.1046707029</v>
      </c>
      <c r="AC64" s="128">
        <f t="shared" ca="1" si="109"/>
        <v>1087774.9549560675</v>
      </c>
      <c r="AD64" s="128">
        <f t="shared" ca="1" si="109"/>
        <v>6263824.0540479338</v>
      </c>
      <c r="AE64" s="128">
        <f t="shared" ca="1" si="109"/>
        <v>0</v>
      </c>
      <c r="AF64" s="128">
        <f t="shared" ca="1" si="109"/>
        <v>1141046.7142035204</v>
      </c>
      <c r="AG64" s="128">
        <f t="shared" ca="1" si="109"/>
        <v>0</v>
      </c>
      <c r="AH64" s="33"/>
      <c r="AI64" s="33">
        <f ca="1">+SUM(AJ64:AR64)</f>
        <v>13380466.778895907</v>
      </c>
      <c r="AJ64" s="128">
        <f t="shared" ref="AJ64:AR64" ca="1" si="110">+SUM(AJ49:AJ63)</f>
        <v>1219355.45878363</v>
      </c>
      <c r="AK64" s="128">
        <f t="shared" ca="1" si="110"/>
        <v>4877421.8351345202</v>
      </c>
      <c r="AL64" s="128">
        <f t="shared" ca="1" si="110"/>
        <v>2083512.6061300058</v>
      </c>
      <c r="AM64" s="128">
        <f t="shared" ca="1" si="110"/>
        <v>1737622.4549071505</v>
      </c>
      <c r="AN64" s="128">
        <f t="shared" ca="1" si="110"/>
        <v>0</v>
      </c>
      <c r="AO64" s="128">
        <f t="shared" ca="1" si="110"/>
        <v>2028448.3443965705</v>
      </c>
      <c r="AP64" s="128">
        <f t="shared" ca="1" si="110"/>
        <v>0</v>
      </c>
      <c r="AQ64" s="128">
        <f t="shared" ca="1" si="110"/>
        <v>1434106.0795440301</v>
      </c>
      <c r="AR64" s="128">
        <f t="shared" ca="1" si="110"/>
        <v>0</v>
      </c>
      <c r="AT64" s="33">
        <f ca="1">+SUM(AU64:BC64)</f>
        <v>24325045.47504878</v>
      </c>
      <c r="AU64" s="128">
        <f t="shared" ref="AU64:BC64" ca="1" si="111">+SUM(AU49:AU63)</f>
        <v>1480787.0878073219</v>
      </c>
      <c r="AV64" s="128">
        <f t="shared" ca="1" si="111"/>
        <v>5923148.3512292877</v>
      </c>
      <c r="AW64" s="128">
        <f t="shared" ca="1" si="111"/>
        <v>1082800.2221203814</v>
      </c>
      <c r="AX64" s="128">
        <f t="shared" ca="1" si="111"/>
        <v>309186.44051339227</v>
      </c>
      <c r="AY64" s="128">
        <f t="shared" ca="1" si="111"/>
        <v>1081141.3937448615</v>
      </c>
      <c r="AZ64" s="128">
        <f t="shared" ca="1" si="111"/>
        <v>8467490.9787917025</v>
      </c>
      <c r="BA64" s="128">
        <f t="shared" ca="1" si="111"/>
        <v>3243424.1812345856</v>
      </c>
      <c r="BB64" s="128">
        <f t="shared" ca="1" si="111"/>
        <v>663531.35020781669</v>
      </c>
      <c r="BC64" s="128">
        <f t="shared" ca="1" si="111"/>
        <v>2073535.469399428</v>
      </c>
    </row>
    <row r="65" spans="2:55" x14ac:dyDescent="0.2">
      <c r="B65" s="9"/>
      <c r="C65" s="9"/>
      <c r="D65" s="9"/>
      <c r="E65" s="9"/>
      <c r="F65" s="9"/>
      <c r="G65" s="9"/>
      <c r="H65" s="9"/>
      <c r="I65" s="9"/>
      <c r="J65" s="9"/>
      <c r="M65" s="32"/>
      <c r="N65" s="32"/>
      <c r="O65" s="32"/>
      <c r="P65" s="32"/>
      <c r="Q65" s="32"/>
      <c r="R65" s="32"/>
      <c r="S65" s="32"/>
      <c r="T65" s="32"/>
      <c r="U65" s="32"/>
      <c r="X65" s="40"/>
      <c r="Y65" s="32"/>
      <c r="Z65" s="32"/>
      <c r="AA65" s="32"/>
      <c r="AB65" s="32"/>
      <c r="AC65" s="32"/>
      <c r="AD65" s="32"/>
      <c r="AE65" s="32"/>
      <c r="AF65" s="32"/>
      <c r="AG65" s="32"/>
      <c r="AI65" s="40"/>
      <c r="AJ65" s="32"/>
      <c r="AK65" s="32"/>
      <c r="AL65" s="32"/>
      <c r="AM65" s="32"/>
      <c r="AN65" s="32"/>
      <c r="AO65" s="32"/>
      <c r="AP65" s="32"/>
      <c r="AQ65" s="32"/>
      <c r="AR65" s="32"/>
      <c r="AT65" s="40"/>
      <c r="AU65" s="32"/>
      <c r="AV65" s="32"/>
      <c r="AW65" s="32"/>
      <c r="AX65" s="32"/>
      <c r="AY65" s="32"/>
      <c r="AZ65" s="32"/>
      <c r="BA65" s="32"/>
      <c r="BB65" s="32"/>
      <c r="BC65" s="32"/>
    </row>
    <row r="66" spans="2:55" ht="32.25" customHeight="1" x14ac:dyDescent="0.2">
      <c r="B66" s="15" t="s">
        <v>80</v>
      </c>
      <c r="C66" s="16"/>
      <c r="D66" s="16"/>
      <c r="E66" s="16"/>
      <c r="F66" s="44" t="s">
        <v>56</v>
      </c>
      <c r="G66" s="15" t="s">
        <v>17</v>
      </c>
      <c r="H66" s="23" t="str">
        <f>+H$22</f>
        <v>I</v>
      </c>
      <c r="I66" s="23" t="str">
        <f t="shared" ref="I66:J66" si="112">+I$22</f>
        <v>II</v>
      </c>
      <c r="J66" s="45" t="str">
        <f t="shared" si="112"/>
        <v>III</v>
      </c>
      <c r="M66" s="211" t="str">
        <f t="shared" ref="M66:U66" ca="1" si="113">+M$22</f>
        <v>Affordable Residential</v>
      </c>
      <c r="N66" s="211" t="str">
        <f t="shared" ca="1" si="113"/>
        <v>Market Rate and WF Residential</v>
      </c>
      <c r="O66" s="211" t="str">
        <f t="shared" ca="1" si="113"/>
        <v>Retail</v>
      </c>
      <c r="P66" s="211" t="str">
        <f t="shared" ca="1" si="113"/>
        <v>Hotel</v>
      </c>
      <c r="Q66" s="211" t="str">
        <f t="shared" ca="1" si="113"/>
        <v>Community Facility</v>
      </c>
      <c r="R66" s="211" t="str">
        <f t="shared" ca="1" si="113"/>
        <v>Office</v>
      </c>
      <c r="S66" s="211" t="str">
        <f t="shared" ca="1" si="113"/>
        <v>Industrial</v>
      </c>
      <c r="T66" s="211" t="str">
        <f t="shared" ca="1" si="113"/>
        <v>Structural Parking</v>
      </c>
      <c r="U66" s="211" t="str">
        <f t="shared" ca="1" si="113"/>
        <v>Surface Parking</v>
      </c>
      <c r="X66" s="40"/>
      <c r="Y66" s="211" t="str">
        <f t="shared" ref="Y66:AG66" ca="1" si="114">+Y$22</f>
        <v>Affordable Residential</v>
      </c>
      <c r="Z66" s="211" t="str">
        <f t="shared" ca="1" si="114"/>
        <v>Market Rate and WF Residential</v>
      </c>
      <c r="AA66" s="211" t="str">
        <f t="shared" ca="1" si="114"/>
        <v>Retail</v>
      </c>
      <c r="AB66" s="211" t="str">
        <f t="shared" ca="1" si="114"/>
        <v>Hotel</v>
      </c>
      <c r="AC66" s="211" t="str">
        <f t="shared" ca="1" si="114"/>
        <v>Community Facility</v>
      </c>
      <c r="AD66" s="211" t="str">
        <f t="shared" ca="1" si="114"/>
        <v>Office</v>
      </c>
      <c r="AE66" s="211" t="str">
        <f t="shared" ca="1" si="114"/>
        <v>Industrial</v>
      </c>
      <c r="AF66" s="211" t="str">
        <f t="shared" ca="1" si="114"/>
        <v>Structural Parking</v>
      </c>
      <c r="AG66" s="211" t="str">
        <f t="shared" ca="1" si="114"/>
        <v>Surface Parking</v>
      </c>
      <c r="AI66" s="40"/>
      <c r="AJ66" s="211" t="str">
        <f t="shared" ref="AJ66:AR66" ca="1" si="115">+AJ$22</f>
        <v>Affordable Residential</v>
      </c>
      <c r="AK66" s="211" t="str">
        <f t="shared" ca="1" si="115"/>
        <v>Market Rate and WF Residential</v>
      </c>
      <c r="AL66" s="211" t="str">
        <f t="shared" ca="1" si="115"/>
        <v>Retail</v>
      </c>
      <c r="AM66" s="211" t="str">
        <f t="shared" ca="1" si="115"/>
        <v>Hotel</v>
      </c>
      <c r="AN66" s="211" t="str">
        <f t="shared" ca="1" si="115"/>
        <v>Community Facility</v>
      </c>
      <c r="AO66" s="211" t="str">
        <f t="shared" ca="1" si="115"/>
        <v>Office</v>
      </c>
      <c r="AP66" s="211" t="str">
        <f t="shared" ca="1" si="115"/>
        <v>Industrial</v>
      </c>
      <c r="AQ66" s="211" t="str">
        <f t="shared" ca="1" si="115"/>
        <v>Structural Parking</v>
      </c>
      <c r="AR66" s="211" t="str">
        <f t="shared" ca="1" si="115"/>
        <v>Surface Parking</v>
      </c>
      <c r="AT66" s="40"/>
      <c r="AU66" s="211" t="str">
        <f t="shared" ref="AU66:BC66" ca="1" si="116">+AU$22</f>
        <v>Affordable Residential</v>
      </c>
      <c r="AV66" s="211" t="str">
        <f t="shared" ca="1" si="116"/>
        <v>Market Rate and WF Residential</v>
      </c>
      <c r="AW66" s="211" t="str">
        <f t="shared" ca="1" si="116"/>
        <v>Retail</v>
      </c>
      <c r="AX66" s="211" t="str">
        <f t="shared" ca="1" si="116"/>
        <v>Hotel</v>
      </c>
      <c r="AY66" s="211" t="str">
        <f t="shared" ca="1" si="116"/>
        <v>Community Facility</v>
      </c>
      <c r="AZ66" s="211" t="str">
        <f t="shared" ca="1" si="116"/>
        <v>Office</v>
      </c>
      <c r="BA66" s="211" t="str">
        <f t="shared" ca="1" si="116"/>
        <v>Industrial</v>
      </c>
      <c r="BB66" s="211" t="str">
        <f t="shared" ca="1" si="116"/>
        <v>Structural Parking</v>
      </c>
      <c r="BC66" s="211" t="str">
        <f t="shared" ca="1" si="116"/>
        <v>Surface Parking</v>
      </c>
    </row>
    <row r="67" spans="2:55" x14ac:dyDescent="0.2">
      <c r="B67" s="9" t="s">
        <v>81</v>
      </c>
      <c r="C67" s="9"/>
      <c r="D67" s="9"/>
      <c r="E67" s="22"/>
      <c r="F67" s="104">
        <f t="shared" ref="F67:F71" ca="1" si="117">+G67/$G$10</f>
        <v>1.374158323520652</v>
      </c>
      <c r="G67" s="47">
        <f ca="1">+SUM(H67:J67)</f>
        <v>6113440.7474947348</v>
      </c>
      <c r="H67" s="33">
        <f ca="1">+'Assumptions and Sensis'!N171*'S&amp;U'!H17</f>
        <v>2397961.2633825797</v>
      </c>
      <c r="I67" s="33">
        <f ca="1">+'Assumptions and Sensis'!O171*'S&amp;U'!I17</f>
        <v>1330514.0960886553</v>
      </c>
      <c r="J67" s="33">
        <f ca="1">+'Assumptions and Sensis'!P171*'S&amp;U'!J17</f>
        <v>2384965.3880234999</v>
      </c>
      <c r="K67" s="33"/>
      <c r="L67" s="33"/>
      <c r="M67" s="33">
        <f ca="1">$G67*('Loan Sizing'!$E$6/'Loan Sizing'!$E$65)</f>
        <v>92367.303900979197</v>
      </c>
      <c r="N67" s="33">
        <f ca="1">$G67*('Loan Sizing'!$E$7/'Loan Sizing'!$E$65)</f>
        <v>2025162.8419002506</v>
      </c>
      <c r="O67" s="33">
        <f ca="1">$G67*('Loan Sizing'!$E$8/'Loan Sizing'!$E$65)</f>
        <v>717182.93219917058</v>
      </c>
      <c r="P67" s="33">
        <f ca="1">$G67*('Loan Sizing'!$E$33/'Loan Sizing'!$E$65)</f>
        <v>750592.04042519047</v>
      </c>
      <c r="Q67" s="33">
        <f ca="1">$G67*('Loan Sizing'!$E$9/'Loan Sizing'!$E$65)</f>
        <v>77488.439818358413</v>
      </c>
      <c r="R67" s="33">
        <f ca="1">$G67*('Loan Sizing'!$E$10/'Loan Sizing'!$E$65)</f>
        <v>2073227.0628806555</v>
      </c>
      <c r="S67" s="33">
        <f ca="1">$G67*('Loan Sizing'!$E$49/'Loan Sizing'!$E$65)</f>
        <v>294631.16897748411</v>
      </c>
      <c r="T67" s="33">
        <f ca="1">$G67*('Loan Sizing'!$E$11/'Loan Sizing'!$E$65)*SUM(T$11:T$19)/SUM($T$11:$U$19)</f>
        <v>50700.214217201676</v>
      </c>
      <c r="U67" s="33">
        <f ca="1">$G67*('Loan Sizing'!$E$11/'Loan Sizing'!$E$65)*SUM(U$11:U$19)/SUM($T$11:$U$19)</f>
        <v>32088.743175444102</v>
      </c>
      <c r="X67" s="33"/>
      <c r="Y67" s="33">
        <f ca="1">$H67*('Loan Sizing'!$F$6/'Loan Sizing'!$F$65)</f>
        <v>42835.055417479874</v>
      </c>
      <c r="Z67" s="33">
        <f ca="1">$H67*('Loan Sizing'!$F$7/'Loan Sizing'!$F$65)</f>
        <v>783735.68410823308</v>
      </c>
      <c r="AA67" s="33">
        <f ca="1">$H67*('Loan Sizing'!$F$8/'Loan Sizing'!$F$65)</f>
        <v>358024.40431337256</v>
      </c>
      <c r="AB67" s="33">
        <f ca="1">$H67*('Loan Sizing'!$F$33/'Loan Sizing'!$F$65)</f>
        <v>446913.45679443306</v>
      </c>
      <c r="AC67" s="33">
        <f ca="1">$H67*('Loan Sizing'!$F$9/'Loan Sizing'!$F$65)</f>
        <v>15650.023549559144</v>
      </c>
      <c r="AD67" s="33">
        <f ca="1">$H67*('Loan Sizing'!$F$10/'Loan Sizing'!$F$65)</f>
        <v>733795.53091102815</v>
      </c>
      <c r="AE67" s="33">
        <f ca="1">$H67*('Loan Sizing'!$F$49/'Loan Sizing'!$F$65)</f>
        <v>1.1924498664049115E-6</v>
      </c>
      <c r="AF67" s="33">
        <f ca="1">$H67*('Loan Sizing'!$F$11/'Loan Sizing'!$F$65)*SUM(AF$11:AF$19)/SUM($AF$11:$AG$19)</f>
        <v>17007.108287281197</v>
      </c>
      <c r="AG67" s="33">
        <f ca="1">$H67*('Loan Sizing'!$F$11/'Loan Sizing'!$F$65)*SUM(AG$11:AG$19)/SUM($AF$11:$AG$19)</f>
        <v>0</v>
      </c>
      <c r="AI67" s="33"/>
      <c r="AJ67" s="33">
        <f ca="1">$I67*('Loan Sizing'!$G$6/'Loan Sizing'!$G$65)</f>
        <v>21725.829865213585</v>
      </c>
      <c r="AK67" s="33">
        <f ca="1">$I67*('Loan Sizing'!$G$7/'Loan Sizing'!$G$65)</f>
        <v>541334.23549934092</v>
      </c>
      <c r="AL67" s="33">
        <f ca="1">$I67*('Loan Sizing'!$G$8/'Loan Sizing'!$G$65)</f>
        <v>236934.47408718342</v>
      </c>
      <c r="AM67" s="33">
        <f ca="1">$I67*('Loan Sizing'!$G$33/'Loan Sizing'!$G$65)</f>
        <v>268452.88865794655</v>
      </c>
      <c r="AN67" s="33">
        <f ca="1">$I67*('Loan Sizing'!$G$9/'Loan Sizing'!$G$65)</f>
        <v>0</v>
      </c>
      <c r="AO67" s="33">
        <f ca="1">$I67*('Loan Sizing'!$G$10/'Loan Sizing'!$G$65)</f>
        <v>240438.81342095204</v>
      </c>
      <c r="AP67" s="33">
        <f ca="1">$I67*('Loan Sizing'!$G$49/'Loan Sizing'!$G$65)</f>
        <v>1.1873952842529309E-6</v>
      </c>
      <c r="AQ67" s="33">
        <f ca="1">$I67*('Loan Sizing'!$G$11/'Loan Sizing'!$G$65)*SUM(AQ$11:AQ$19)/SUM($AQ$11:$AR$19)</f>
        <v>21627.854556831495</v>
      </c>
      <c r="AR67" s="33">
        <f ca="1">$I67*('Loan Sizing'!$G$11/'Loan Sizing'!$G$65)*SUM(AR$11:AR$19)/SUM($AQ$11:$AR$19)</f>
        <v>0</v>
      </c>
      <c r="AT67" s="33"/>
      <c r="AU67" s="33">
        <f ca="1">$J67*('Loan Sizing'!$H$6/'Loan Sizing'!$H$65)</f>
        <v>28102.29537756999</v>
      </c>
      <c r="AV67" s="33">
        <f ca="1">$J67*('Loan Sizing'!$H$7/'Loan Sizing'!$H$65)</f>
        <v>699779.49814432662</v>
      </c>
      <c r="AW67" s="33">
        <f ca="1">$J67*('Loan Sizing'!$H$8/'Loan Sizing'!$H$65)</f>
        <v>125758.35249796546</v>
      </c>
      <c r="AX67" s="33">
        <f ca="1">$J67*('Loan Sizing'!$H$33/'Loan Sizing'!$H$65)</f>
        <v>42163.922871250266</v>
      </c>
      <c r="AY67" s="33">
        <f ca="1">$J67*('Loan Sizing'!$H$9/'Loan Sizing'!$H$65)</f>
        <v>61157.037336093621</v>
      </c>
      <c r="AZ67" s="33">
        <f ca="1">$J67*('Loan Sizing'!$H$10/'Loan Sizing'!$H$65)</f>
        <v>1095133.8779605352</v>
      </c>
      <c r="BA67" s="33">
        <f ca="1">$J67*('Loan Sizing'!$H$49/'Loan Sizing'!$H$65)</f>
        <v>289397.6218509617</v>
      </c>
      <c r="BB67" s="33">
        <f ca="1">$J67*('Loan Sizing'!$H$11/'Loan Sizing'!$H$65)*SUM(BB$11:BB$19)/SUM($BB$11:$BC$19)</f>
        <v>10538.856238738595</v>
      </c>
      <c r="BC67" s="33">
        <f ca="1">$J67*('Loan Sizing'!$H$11/'Loan Sizing'!$H$65)*SUM(BC$11:BC$19)/SUM($BB$11:$BC$19)</f>
        <v>32933.925746058107</v>
      </c>
    </row>
    <row r="68" spans="2:55" x14ac:dyDescent="0.2">
      <c r="B68" s="9" t="s">
        <v>257</v>
      </c>
      <c r="C68" s="9"/>
      <c r="D68" s="9"/>
      <c r="E68" s="22"/>
      <c r="F68" s="104">
        <f t="shared" ca="1" si="117"/>
        <v>11.953133208651268</v>
      </c>
      <c r="G68" s="47">
        <f ca="1">+SUM(H68:J68)</f>
        <v>53177840.112906694</v>
      </c>
      <c r="H68" s="33">
        <f ca="1">+'Assumptions and Sensis'!N170*'Assumptions and Sensis'!N172*'S&amp;U'!H17*('Assumptions and Sensis'!F$46/12)</f>
        <v>20574507.639822531</v>
      </c>
      <c r="I68" s="33">
        <f ca="1">+'Assumptions and Sensis'!O170*'Assumptions and Sensis'!O172*'S&amp;U'!I17*('Assumptions and Sensis'!G$46/12)</f>
        <v>11675261.193177951</v>
      </c>
      <c r="J68" s="33">
        <f ca="1">+'Assumptions and Sensis'!P170*'Assumptions and Sensis'!P172*'S&amp;U'!J17*('Assumptions and Sensis'!H$46/12)</f>
        <v>20928071.279906213</v>
      </c>
      <c r="K68" s="33"/>
      <c r="L68" s="33"/>
      <c r="M68" s="33">
        <f ca="1">$G68*('Loan Sizing'!$E$6/'Loan Sizing'!$E$65)</f>
        <v>803458.13779571024</v>
      </c>
      <c r="N68" s="33">
        <f ca="1">$G68*('Loan Sizing'!$E$7/'Loan Sizing'!$E$65)</f>
        <v>17615904.080415562</v>
      </c>
      <c r="O68" s="33">
        <f ca="1">$G68*('Loan Sizing'!$E$8/'Loan Sizing'!$E$65)</f>
        <v>6238424.6245981865</v>
      </c>
      <c r="P68" s="33">
        <f ca="1">$G68*('Loan Sizing'!$E$33/'Loan Sizing'!$E$65)</f>
        <v>6529034.166579294</v>
      </c>
      <c r="Q68" s="33">
        <f ca="1">$G68*('Loan Sizing'!$E$9/'Loan Sizing'!$E$65)</f>
        <v>674034.15416234965</v>
      </c>
      <c r="R68" s="33">
        <f ca="1">$G68*('Loan Sizing'!$E$10/'Loan Sizing'!$E$65)</f>
        <v>18033991.302328169</v>
      </c>
      <c r="S68" s="33">
        <f ca="1">$G68*('Loan Sizing'!$E$49/'Loan Sizing'!$E$65)</f>
        <v>2562852.8750497941</v>
      </c>
      <c r="T68" s="33">
        <f ca="1">$G68*('Loan Sizing'!$E$11/'Loan Sizing'!$E$65)*SUM(T$11:T$19)/SUM($T$11:$U$19)</f>
        <v>441016.44175374281</v>
      </c>
      <c r="U68" s="33">
        <f ca="1">$G68*('Loan Sizing'!$E$11/'Loan Sizing'!$E$65)*SUM(U$11:U$19)/SUM($T$11:$U$19)</f>
        <v>279124.33022388787</v>
      </c>
      <c r="X68" s="33"/>
      <c r="Y68" s="33">
        <f ca="1">$H68*('Loan Sizing'!$F$6/'Loan Sizing'!$F$65)</f>
        <v>367524.77548197727</v>
      </c>
      <c r="Z68" s="33">
        <f ca="1">$H68*('Loan Sizing'!$F$7/'Loan Sizing'!$F$65)</f>
        <v>6724452.1696486399</v>
      </c>
      <c r="AA68" s="33">
        <f ca="1">$H68*('Loan Sizing'!$F$8/'Loan Sizing'!$F$65)</f>
        <v>3071849.3890087362</v>
      </c>
      <c r="AB68" s="33">
        <f ca="1">$H68*('Loan Sizing'!$F$33/'Loan Sizing'!$F$65)</f>
        <v>3834517.4592962349</v>
      </c>
      <c r="AC68" s="33">
        <f ca="1">$H68*('Loan Sizing'!$F$9/'Loan Sizing'!$F$65)</f>
        <v>134277.20205521744</v>
      </c>
      <c r="AD68" s="33">
        <f ca="1">$H68*('Loan Sizing'!$F$10/'Loan Sizing'!$F$65)</f>
        <v>6295965.6552166212</v>
      </c>
      <c r="AE68" s="33">
        <f ca="1">$H68*('Loan Sizing'!$F$49/'Loan Sizing'!$F$65)</f>
        <v>1.0231219853754138E-5</v>
      </c>
      <c r="AF68" s="33">
        <f ca="1">$H68*('Loan Sizing'!$F$11/'Loan Sizing'!$F$65)*SUM(AF$11:AF$19)/SUM($AF$11:$AG$19)</f>
        <v>145920.98910487263</v>
      </c>
      <c r="AG68" s="33">
        <f ca="1">$H68*('Loan Sizing'!$F$11/'Loan Sizing'!$F$65)*SUM(AG$11:AG$19)/SUM($AF$11:$AG$19)</f>
        <v>0</v>
      </c>
      <c r="AI68" s="33"/>
      <c r="AJ68" s="33">
        <f ca="1">$I68*('Loan Sizing'!$G$6/'Loan Sizing'!$G$65)</f>
        <v>190644.15706724924</v>
      </c>
      <c r="AK68" s="33">
        <f ca="1">$I68*('Loan Sizing'!$G$7/'Loan Sizing'!$G$65)</f>
        <v>4750207.916506717</v>
      </c>
      <c r="AL68" s="33">
        <f ca="1">$I68*('Loan Sizing'!$G$8/'Loan Sizing'!$G$65)</f>
        <v>2079100.0101150346</v>
      </c>
      <c r="AM68" s="33">
        <f ca="1">$I68*('Loan Sizing'!$G$33/'Loan Sizing'!$G$65)</f>
        <v>2355674.0979734813</v>
      </c>
      <c r="AN68" s="33">
        <f ca="1">$I68*('Loan Sizing'!$G$9/'Loan Sizing'!$G$65)</f>
        <v>0</v>
      </c>
      <c r="AO68" s="33">
        <f ca="1">$I68*('Loan Sizing'!$G$10/'Loan Sizing'!$G$65)</f>
        <v>2109850.5877688541</v>
      </c>
      <c r="AP68" s="33">
        <f ca="1">$I68*('Loan Sizing'!$G$49/'Loan Sizing'!$G$65)</f>
        <v>1.0419393619319469E-5</v>
      </c>
      <c r="AQ68" s="33">
        <f ca="1">$I68*('Loan Sizing'!$G$11/'Loan Sizing'!$G$65)*SUM(AQ$11:AQ$19)/SUM($AQ$11:$AR$19)</f>
        <v>189784.42373619636</v>
      </c>
      <c r="AR68" s="33">
        <f ca="1">$I68*('Loan Sizing'!$G$11/'Loan Sizing'!$G$65)*SUM(AR$11:AR$19)/SUM($AQ$11:$AR$19)</f>
        <v>0</v>
      </c>
      <c r="AT68" s="33"/>
      <c r="AU68" s="33">
        <f ca="1">$J68*('Loan Sizing'!$H$6/'Loan Sizing'!$H$65)</f>
        <v>246597.64193817668</v>
      </c>
      <c r="AV68" s="33">
        <f ca="1">$J68*('Loan Sizing'!$H$7/'Loan Sizing'!$H$65)</f>
        <v>6140565.0962164663</v>
      </c>
      <c r="AW68" s="33">
        <f ca="1">$J68*('Loan Sizing'!$H$8/'Loan Sizing'!$H$65)</f>
        <v>1103529.543169647</v>
      </c>
      <c r="AX68" s="33">
        <f ca="1">$J68*('Loan Sizing'!$H$33/'Loan Sizing'!$H$65)</f>
        <v>369988.42319522117</v>
      </c>
      <c r="AY68" s="33">
        <f ca="1">$J68*('Loan Sizing'!$H$9/'Loan Sizing'!$H$65)</f>
        <v>536653.00262422161</v>
      </c>
      <c r="AZ68" s="33">
        <f ca="1">$J68*('Loan Sizing'!$H$10/'Loan Sizing'!$H$65)</f>
        <v>9609799.7791036982</v>
      </c>
      <c r="BA68" s="33">
        <f ca="1">$J68*('Loan Sizing'!$H$49/'Loan Sizing'!$H$65)</f>
        <v>2539464.1317421892</v>
      </c>
      <c r="BB68" s="33">
        <f ca="1">$J68*('Loan Sizing'!$H$11/'Loan Sizing'!$H$65)*SUM(BB$11:BB$19)/SUM($BB$11:$BC$19)</f>
        <v>92478.463494931173</v>
      </c>
      <c r="BC68" s="33">
        <f ca="1">$J68*('Loan Sizing'!$H$11/'Loan Sizing'!$H$65)*SUM(BC$11:BC$19)/SUM($BB$11:$BC$19)</f>
        <v>288995.19842165994</v>
      </c>
    </row>
    <row r="69" spans="2:55" s="40" customFormat="1" x14ac:dyDescent="0.2">
      <c r="B69" s="32" t="s">
        <v>184</v>
      </c>
      <c r="C69" s="32"/>
      <c r="D69" s="32"/>
      <c r="E69" s="43"/>
      <c r="F69" s="104">
        <f ca="1">+G69/$G$10</f>
        <v>0.40920333444103951</v>
      </c>
      <c r="G69" s="47">
        <f ca="1">+SUM(H69:J69)</f>
        <v>1820489.1648680323</v>
      </c>
      <c r="H69" s="33">
        <f ca="1">+'Assumptions and Sensis'!N199*'S&amp;U'!H18</f>
        <v>741897.67741794826</v>
      </c>
      <c r="I69" s="33">
        <f ca="1">+'Assumptions and Sensis'!O199*'S&amp;U'!I18</f>
        <v>435849.12158747995</v>
      </c>
      <c r="J69" s="33">
        <f ca="1">+'Assumptions and Sensis'!P199*'S&amp;U'!J18</f>
        <v>642742.36586260353</v>
      </c>
      <c r="M69" s="33">
        <f ca="1">$G69*('Loan Sizing'!$E$6/'Loan Sizing'!$E$65)</f>
        <v>27505.570575573845</v>
      </c>
      <c r="N69" s="33">
        <f ca="1">$G69*('Loan Sizing'!$E$7/'Loan Sizing'!$E$65)</f>
        <v>603062.52453392791</v>
      </c>
      <c r="O69" s="33">
        <f ca="1">$G69*('Loan Sizing'!$E$8/'Loan Sizing'!$E$65)</f>
        <v>213566.10969557764</v>
      </c>
      <c r="P69" s="33">
        <f ca="1">$G69*('Loan Sizing'!$E$33/'Loan Sizing'!$E$65)</f>
        <v>223514.83121680887</v>
      </c>
      <c r="Q69" s="33">
        <f ca="1">$G69*('Loan Sizing'!$E$9/'Loan Sizing'!$E$65)</f>
        <v>23074.872386660285</v>
      </c>
      <c r="R69" s="33">
        <f ca="1">$G69*('Loan Sizing'!$E$10/'Loan Sizing'!$E$65)</f>
        <v>617375.31452023925</v>
      </c>
      <c r="S69" s="33">
        <f ca="1">$G69*('Loan Sizing'!$E$49/'Loan Sizing'!$E$65)</f>
        <v>87736.656477077282</v>
      </c>
      <c r="T69" s="33">
        <f ca="1">$G69*('Loan Sizing'!$E$11/'Loan Sizing'!$E$65)*SUM(T$11:T$19)/SUM($T$11:$U$19)</f>
        <v>15097.74846132723</v>
      </c>
      <c r="U69" s="33">
        <f ca="1">$G69*('Loan Sizing'!$E$11/'Loan Sizing'!$E$65)*SUM(U$11:U$19)/SUM($T$11:$U$19)</f>
        <v>9555.5370008400187</v>
      </c>
      <c r="Y69" s="33">
        <f ca="1">$H69*('Loan Sizing'!$F$6/'Loan Sizing'!$F$65)</f>
        <v>13252.602788699529</v>
      </c>
      <c r="Z69" s="33">
        <f ca="1">$H69*('Loan Sizing'!$F$7/'Loan Sizing'!$F$65)</f>
        <v>242477.51313933462</v>
      </c>
      <c r="AA69" s="33">
        <f ca="1">$H69*('Loan Sizing'!$F$8/'Loan Sizing'!$F$65)</f>
        <v>110768.0420343212</v>
      </c>
      <c r="AB69" s="33">
        <f ca="1">$H69*('Loan Sizing'!$F$33/'Loan Sizing'!$F$65)</f>
        <v>138269.14582219315</v>
      </c>
      <c r="AC69" s="33">
        <f ca="1">$H69*('Loan Sizing'!$F$9/'Loan Sizing'!$F$65)</f>
        <v>4841.9114604778779</v>
      </c>
      <c r="AD69" s="33">
        <f ca="1">$H69*('Loan Sizing'!$F$10/'Loan Sizing'!$F$65)</f>
        <v>227026.68654231145</v>
      </c>
      <c r="AE69" s="33">
        <f ca="1">$H69*('Loan Sizing'!$F$49/'Loan Sizing'!$F$65)</f>
        <v>3.6892830582059403E-7</v>
      </c>
      <c r="AF69" s="33">
        <f ca="1">$H69*('Loan Sizing'!$F$11/'Loan Sizing'!$F$65)*SUM(AF$11:AF$19)/SUM($AF$11:$AG$19)</f>
        <v>5261.7756302414509</v>
      </c>
      <c r="AG69" s="33">
        <f ca="1">$H69*('Loan Sizing'!$F$11/'Loan Sizing'!$F$65)*SUM(AG$11:AG$19)/SUM($AF$11:$AG$19)</f>
        <v>0</v>
      </c>
      <c r="AJ69" s="33">
        <f ca="1">$I69*('Loan Sizing'!$G$6/'Loan Sizing'!$G$65)</f>
        <v>7116.9361454712653</v>
      </c>
      <c r="AK69" s="33">
        <f ca="1">$I69*('Loan Sizing'!$G$7/'Loan Sizing'!$G$65)</f>
        <v>177329.98975449899</v>
      </c>
      <c r="AL69" s="33">
        <f ca="1">$I69*('Loan Sizing'!$G$8/'Loan Sizing'!$G$65)</f>
        <v>77614.872858746065</v>
      </c>
      <c r="AM69" s="33">
        <f ca="1">$I69*('Loan Sizing'!$G$33/'Loan Sizing'!$G$65)</f>
        <v>87939.658853032728</v>
      </c>
      <c r="AN69" s="33">
        <f ca="1">$I69*('Loan Sizing'!$G$9/'Loan Sizing'!$G$65)</f>
        <v>0</v>
      </c>
      <c r="AO69" s="33">
        <f ca="1">$I69*('Loan Sizing'!$G$10/'Loan Sizing'!$G$65)</f>
        <v>78762.822530874706</v>
      </c>
      <c r="AP69" s="33">
        <f ca="1">$I69*('Loan Sizing'!$G$49/'Loan Sizing'!$G$65)</f>
        <v>3.8896633499798116E-7</v>
      </c>
      <c r="AQ69" s="33">
        <f ca="1">$I69*('Loan Sizing'!$G$11/'Loan Sizing'!$G$65)*SUM(AQ$11:AQ$19)/SUM($AQ$11:$AR$19)</f>
        <v>7084.841444467248</v>
      </c>
      <c r="AR69" s="33">
        <f ca="1">$I69*('Loan Sizing'!$G$11/'Loan Sizing'!$G$65)*SUM(AR$11:AR$19)/SUM($AQ$11:$AR$19)</f>
        <v>0</v>
      </c>
      <c r="AU69" s="33">
        <f ca="1">$J69*('Loan Sizing'!$H$6/'Loan Sizing'!$H$65)</f>
        <v>7573.5001890815975</v>
      </c>
      <c r="AV69" s="33">
        <f ca="1">$J69*('Loan Sizing'!$H$7/'Loan Sizing'!$H$65)</f>
        <v>188588.87113333572</v>
      </c>
      <c r="AW69" s="33">
        <f ca="1">$J69*('Loan Sizing'!$H$8/'Loan Sizing'!$H$65)</f>
        <v>33891.569838886542</v>
      </c>
      <c r="AX69" s="33">
        <f ca="1">$J69*('Loan Sizing'!$H$33/'Loan Sizing'!$H$65)</f>
        <v>11363.074565528541</v>
      </c>
      <c r="AY69" s="33">
        <f ca="1">$J69*('Loan Sizing'!$H$9/'Loan Sizing'!$H$65)</f>
        <v>16481.672674975136</v>
      </c>
      <c r="AZ69" s="33">
        <f ca="1">$J69*('Loan Sizing'!$H$10/'Loan Sizing'!$H$65)</f>
        <v>295135.91400166118</v>
      </c>
      <c r="BA69" s="33">
        <f ca="1">$J69*('Loan Sizing'!$H$49/'Loan Sizing'!$H$65)</f>
        <v>77991.95454892925</v>
      </c>
      <c r="BB69" s="33">
        <f ca="1">$J69*('Loan Sizing'!$H$11/'Loan Sizing'!$H$65)*SUM(BB$11:BB$19)/SUM($BB$11:$BC$19)</f>
        <v>2840.1960994437541</v>
      </c>
      <c r="BC69" s="33">
        <f ca="1">$J69*('Loan Sizing'!$H$11/'Loan Sizing'!$H$65)*SUM(BC$11:BC$19)/SUM($BB$11:$BC$19)</f>
        <v>8875.6128107617315</v>
      </c>
    </row>
    <row r="70" spans="2:55" s="40" customFormat="1" x14ac:dyDescent="0.2">
      <c r="B70" s="32" t="s">
        <v>256</v>
      </c>
      <c r="C70" s="32"/>
      <c r="D70" s="32"/>
      <c r="E70" s="43"/>
      <c r="F70" s="104">
        <f t="shared" ca="1" si="117"/>
        <v>2.4552200066462366</v>
      </c>
      <c r="G70" s="47">
        <f ca="1">+SUM(H70:J70)</f>
        <v>10922934.989208192</v>
      </c>
      <c r="H70" s="33">
        <f ca="1">+'S&amp;U'!H18*'Assumptions and Sensis'!N197*'Assumptions and Sensis'!N200*('Assumptions and Sensis'!F46)/12</f>
        <v>4451386.0645076893</v>
      </c>
      <c r="I70" s="33">
        <f ca="1">+'S&amp;U'!I18*'Assumptions and Sensis'!O197*'Assumptions and Sensis'!O200*('Assumptions and Sensis'!G46)/12</f>
        <v>2615094.7295248797</v>
      </c>
      <c r="J70" s="33">
        <f ca="1">+'S&amp;U'!J18*'Assumptions and Sensis'!P197*'Assumptions and Sensis'!P200*('Assumptions and Sensis'!H46)/12</f>
        <v>3856454.1951756212</v>
      </c>
      <c r="M70" s="33">
        <f ca="1">$G70*('Loan Sizing'!$E$6/'Loan Sizing'!$E$65)</f>
        <v>165033.42345344304</v>
      </c>
      <c r="N70" s="33">
        <f ca="1">$G70*('Loan Sizing'!$E$7/'Loan Sizing'!$E$65)</f>
        <v>3618375.147203567</v>
      </c>
      <c r="O70" s="33">
        <f ca="1">$G70*('Loan Sizing'!$E$8/'Loan Sizing'!$E$65)</f>
        <v>1281396.6581734656</v>
      </c>
      <c r="P70" s="33">
        <f ca="1">$G70*('Loan Sizing'!$E$33/'Loan Sizing'!$E$65)</f>
        <v>1341088.9873008528</v>
      </c>
      <c r="Q70" s="33">
        <f ca="1">$G70*('Loan Sizing'!$E$9/'Loan Sizing'!$E$65)</f>
        <v>138449.23431996169</v>
      </c>
      <c r="R70" s="33">
        <f ca="1">$G70*('Loan Sizing'!$E$10/'Loan Sizing'!$E$65)</f>
        <v>3704251.8871214348</v>
      </c>
      <c r="S70" s="33">
        <f ca="1">$G70*('Loan Sizing'!$E$49/'Loan Sizing'!$E$65)</f>
        <v>526419.93886246358</v>
      </c>
      <c r="T70" s="33">
        <f ca="1">$G70*('Loan Sizing'!$E$11/'Loan Sizing'!$E$65)*SUM(T$11:T$19)/SUM($T$11:$U$19)</f>
        <v>90586.490767963362</v>
      </c>
      <c r="U70" s="33">
        <f ca="1">$G70*('Loan Sizing'!$E$11/'Loan Sizing'!$E$65)*SUM(U$11:U$19)/SUM($T$11:$U$19)</f>
        <v>57333.222005040101</v>
      </c>
      <c r="Y70" s="33">
        <f ca="1">$H70*('Loan Sizing'!$F$6/'Loan Sizing'!$F$65)</f>
        <v>79515.616732197173</v>
      </c>
      <c r="Z70" s="33">
        <f ca="1">$H70*('Loan Sizing'!$F$7/'Loan Sizing'!$F$65)</f>
        <v>1454865.0788360077</v>
      </c>
      <c r="AA70" s="33">
        <f ca="1">$H70*('Loan Sizing'!$F$8/'Loan Sizing'!$F$65)</f>
        <v>664608.25220592716</v>
      </c>
      <c r="AB70" s="33">
        <f ca="1">$H70*('Loan Sizing'!$F$33/'Loan Sizing'!$F$65)</f>
        <v>829614.87493315886</v>
      </c>
      <c r="AC70" s="33">
        <f ca="1">$H70*('Loan Sizing'!$F$9/'Loan Sizing'!$F$65)</f>
        <v>29051.468762867265</v>
      </c>
      <c r="AD70" s="33">
        <f ca="1">$H70*('Loan Sizing'!$F$10/'Loan Sizing'!$F$65)</f>
        <v>1362160.1192538685</v>
      </c>
      <c r="AE70" s="33">
        <f ca="1">$H70*('Loan Sizing'!$F$49/'Loan Sizing'!$F$65)</f>
        <v>2.2135698349235644E-6</v>
      </c>
      <c r="AF70" s="33">
        <f ca="1">$H70*('Loan Sizing'!$F$11/'Loan Sizing'!$F$65)*SUM(AF$11:AF$19)/SUM($AF$11:$AG$19)</f>
        <v>31570.653781448702</v>
      </c>
      <c r="AG70" s="33">
        <f ca="1">$H70*('Loan Sizing'!$F$11/'Loan Sizing'!$F$65)*SUM(AG$11:AG$19)/SUM($AF$11:$AG$19)</f>
        <v>0</v>
      </c>
      <c r="AJ70" s="33">
        <f ca="1">$I70*('Loan Sizing'!$G$6/'Loan Sizing'!$G$65)</f>
        <v>42701.616872827595</v>
      </c>
      <c r="AK70" s="33">
        <f ca="1">$I70*('Loan Sizing'!$G$7/'Loan Sizing'!$G$65)</f>
        <v>1063979.9385269939</v>
      </c>
      <c r="AL70" s="33">
        <f ca="1">$I70*('Loan Sizing'!$G$8/'Loan Sizing'!$G$65)</f>
        <v>465689.23715247639</v>
      </c>
      <c r="AM70" s="33">
        <f ca="1">$I70*('Loan Sizing'!$G$33/'Loan Sizing'!$G$65)</f>
        <v>527637.95311819634</v>
      </c>
      <c r="AN70" s="33">
        <f ca="1">$I70*('Loan Sizing'!$G$9/'Loan Sizing'!$G$65)</f>
        <v>0</v>
      </c>
      <c r="AO70" s="33">
        <f ca="1">$I70*('Loan Sizing'!$G$10/'Loan Sizing'!$G$65)</f>
        <v>472576.93518524821</v>
      </c>
      <c r="AP70" s="33">
        <f ca="1">$I70*('Loan Sizing'!$G$49/'Loan Sizing'!$G$65)</f>
        <v>2.3337980099878868E-6</v>
      </c>
      <c r="AQ70" s="33">
        <f ca="1">$I70*('Loan Sizing'!$G$11/'Loan Sizing'!$G$65)*SUM(AQ$11:AQ$19)/SUM($AQ$11:$AR$19)</f>
        <v>42509.048666803486</v>
      </c>
      <c r="AR70" s="33">
        <f ca="1">$I70*('Loan Sizing'!$G$11/'Loan Sizing'!$G$65)*SUM(AR$11:AR$19)/SUM($AQ$11:$AR$19)</f>
        <v>0</v>
      </c>
      <c r="AU70" s="33">
        <f ca="1">$J70*('Loan Sizing'!$H$6/'Loan Sizing'!$H$65)</f>
        <v>45441.001134489583</v>
      </c>
      <c r="AV70" s="33">
        <f ca="1">$J70*('Loan Sizing'!$H$7/'Loan Sizing'!$H$65)</f>
        <v>1131533.2268000143</v>
      </c>
      <c r="AW70" s="33">
        <f ca="1">$J70*('Loan Sizing'!$H$8/'Loan Sizing'!$H$65)</f>
        <v>203349.41903331922</v>
      </c>
      <c r="AX70" s="33">
        <f ca="1">$J70*('Loan Sizing'!$H$33/'Loan Sizing'!$H$65)</f>
        <v>68178.447393171242</v>
      </c>
      <c r="AY70" s="33">
        <f ca="1">$J70*('Loan Sizing'!$H$9/'Loan Sizing'!$H$65)</f>
        <v>98890.036049850809</v>
      </c>
      <c r="AZ70" s="33">
        <f ca="1">$J70*('Loan Sizing'!$H$10/'Loan Sizing'!$H$65)</f>
        <v>1770815.4840099672</v>
      </c>
      <c r="BA70" s="33">
        <f ca="1">$J70*('Loan Sizing'!$H$49/'Loan Sizing'!$H$65)</f>
        <v>467951.72729357553</v>
      </c>
      <c r="BB70" s="33">
        <f ca="1">$J70*('Loan Sizing'!$H$11/'Loan Sizing'!$H$65)*SUM(BB$11:BB$19)/SUM($BB$11:$BC$19)</f>
        <v>17041.176596662524</v>
      </c>
      <c r="BC70" s="33">
        <f ca="1">$J70*('Loan Sizing'!$H$11/'Loan Sizing'!$H$65)*SUM(BC$11:BC$19)/SUM($BB$11:$BC$19)</f>
        <v>53253.676864570385</v>
      </c>
    </row>
    <row r="71" spans="2:55" x14ac:dyDescent="0.2">
      <c r="B71" s="12" t="s">
        <v>82</v>
      </c>
      <c r="C71" s="12"/>
      <c r="D71" s="12"/>
      <c r="E71" s="12"/>
      <c r="F71" s="105">
        <f t="shared" ca="1" si="117"/>
        <v>16.191714873259198</v>
      </c>
      <c r="G71" s="13">
        <f ca="1">+SUM(G67:G70)</f>
        <v>72034705.014477655</v>
      </c>
      <c r="H71" s="128">
        <f ca="1">+SUM(H67:H70)</f>
        <v>28165752.64513075</v>
      </c>
      <c r="I71" s="128">
        <f ca="1">+SUM(I67:I70)</f>
        <v>16056719.140378967</v>
      </c>
      <c r="J71" s="128">
        <f ca="1">+SUM(J67:J70)</f>
        <v>27812233.228967939</v>
      </c>
      <c r="K71" s="107"/>
      <c r="M71" s="128">
        <f t="shared" ref="M71:U71" ca="1" si="118">+SUM(M67:M70)</f>
        <v>1088364.4357257064</v>
      </c>
      <c r="N71" s="128">
        <f t="shared" ca="1" si="118"/>
        <v>23862504.594053309</v>
      </c>
      <c r="O71" s="128">
        <f t="shared" ca="1" si="118"/>
        <v>8450570.3246664014</v>
      </c>
      <c r="P71" s="128">
        <f t="shared" ca="1" si="118"/>
        <v>8844230.0255221464</v>
      </c>
      <c r="Q71" s="128">
        <f t="shared" ca="1" si="118"/>
        <v>913046.70068732998</v>
      </c>
      <c r="R71" s="128">
        <f t="shared" ca="1" si="118"/>
        <v>24428845.566850498</v>
      </c>
      <c r="S71" s="128">
        <f t="shared" ca="1" si="118"/>
        <v>3471640.6393668191</v>
      </c>
      <c r="T71" s="128">
        <f t="shared" ca="1" si="118"/>
        <v>597400.89520023507</v>
      </c>
      <c r="U71" s="128">
        <f t="shared" ca="1" si="118"/>
        <v>378101.83240521204</v>
      </c>
      <c r="X71" s="33">
        <f ca="1">+SUM(Y71:AG71)</f>
        <v>28165752.645130746</v>
      </c>
      <c r="Y71" s="128">
        <f t="shared" ref="Y71:AG71" ca="1" si="119">+SUM(Y67:Y70)</f>
        <v>503128.05042035383</v>
      </c>
      <c r="Z71" s="128">
        <f t="shared" ca="1" si="119"/>
        <v>9205530.4457322154</v>
      </c>
      <c r="AA71" s="128">
        <f t="shared" ca="1" si="119"/>
        <v>4205250.0875623571</v>
      </c>
      <c r="AB71" s="128">
        <f t="shared" ca="1" si="119"/>
        <v>5249314.9368460206</v>
      </c>
      <c r="AC71" s="128">
        <f t="shared" ca="1" si="119"/>
        <v>183820.60582812174</v>
      </c>
      <c r="AD71" s="128">
        <f t="shared" ca="1" si="119"/>
        <v>8618947.9919238295</v>
      </c>
      <c r="AE71" s="128">
        <f t="shared" ca="1" si="119"/>
        <v>1.4006167860903208E-5</v>
      </c>
      <c r="AF71" s="128">
        <f t="shared" ca="1" si="119"/>
        <v>199760.52680384397</v>
      </c>
      <c r="AG71" s="128">
        <f t="shared" ca="1" si="119"/>
        <v>0</v>
      </c>
      <c r="AH71" s="33"/>
      <c r="AI71" s="33">
        <f ca="1">+SUM(AJ71:AR71)</f>
        <v>16056719.140378967</v>
      </c>
      <c r="AJ71" s="128">
        <f t="shared" ref="AJ71:AR71" ca="1" si="120">+SUM(AJ67:AJ70)</f>
        <v>262188.53995076171</v>
      </c>
      <c r="AK71" s="128">
        <f t="shared" ca="1" si="120"/>
        <v>6532852.0802875506</v>
      </c>
      <c r="AL71" s="128">
        <f t="shared" ca="1" si="120"/>
        <v>2859338.5942134405</v>
      </c>
      <c r="AM71" s="128">
        <f t="shared" ca="1" si="120"/>
        <v>3239704.5986026567</v>
      </c>
      <c r="AN71" s="128">
        <f t="shared" ca="1" si="120"/>
        <v>0</v>
      </c>
      <c r="AO71" s="128">
        <f t="shared" ca="1" si="120"/>
        <v>2901629.1589059285</v>
      </c>
      <c r="AP71" s="128">
        <f t="shared" ca="1" si="120"/>
        <v>1.4329553248558267E-5</v>
      </c>
      <c r="AQ71" s="128">
        <f t="shared" ca="1" si="120"/>
        <v>261006.1684042986</v>
      </c>
      <c r="AR71" s="128">
        <f t="shared" ca="1" si="120"/>
        <v>0</v>
      </c>
      <c r="AT71" s="33">
        <f ca="1">+SUM(AU71:BC71)</f>
        <v>27812233.228967935</v>
      </c>
      <c r="AU71" s="128">
        <f t="shared" ref="AU71:BC71" ca="1" si="121">+SUM(AU67:AU70)</f>
        <v>327714.43863931787</v>
      </c>
      <c r="AV71" s="128">
        <f t="shared" ca="1" si="121"/>
        <v>8160466.6922941431</v>
      </c>
      <c r="AW71" s="128">
        <f t="shared" ca="1" si="121"/>
        <v>1466528.8845398184</v>
      </c>
      <c r="AX71" s="128">
        <f t="shared" ca="1" si="121"/>
        <v>491693.86802517122</v>
      </c>
      <c r="AY71" s="128">
        <f t="shared" ca="1" si="121"/>
        <v>713181.74868514109</v>
      </c>
      <c r="AZ71" s="128">
        <f t="shared" ca="1" si="121"/>
        <v>12770885.055075862</v>
      </c>
      <c r="BA71" s="128">
        <f t="shared" ca="1" si="121"/>
        <v>3374805.435435656</v>
      </c>
      <c r="BB71" s="128">
        <f t="shared" ca="1" si="121"/>
        <v>122898.69242977604</v>
      </c>
      <c r="BC71" s="128">
        <f t="shared" ca="1" si="121"/>
        <v>384058.41384305013</v>
      </c>
    </row>
    <row r="72" spans="2:55" x14ac:dyDescent="0.2">
      <c r="B72" s="9"/>
      <c r="C72" s="9"/>
      <c r="D72" s="9"/>
      <c r="E72" s="9"/>
      <c r="F72" s="9"/>
      <c r="G72" s="9"/>
      <c r="H72" s="9"/>
      <c r="I72" s="9"/>
      <c r="J72" s="9"/>
      <c r="M72" s="32"/>
      <c r="N72" s="32"/>
      <c r="O72" s="32"/>
      <c r="P72" s="32"/>
      <c r="Q72" s="32"/>
      <c r="R72" s="32"/>
      <c r="S72" s="32"/>
      <c r="T72" s="32"/>
      <c r="U72" s="32"/>
      <c r="X72" s="40"/>
      <c r="Y72" s="32"/>
      <c r="Z72" s="32"/>
      <c r="AA72" s="32"/>
      <c r="AB72" s="32"/>
      <c r="AC72" s="32"/>
      <c r="AD72" s="32"/>
      <c r="AE72" s="32"/>
      <c r="AF72" s="32"/>
      <c r="AG72" s="32"/>
      <c r="AI72" s="40"/>
      <c r="AJ72" s="32"/>
      <c r="AK72" s="32"/>
      <c r="AL72" s="32"/>
      <c r="AM72" s="32"/>
      <c r="AN72" s="32"/>
      <c r="AO72" s="32"/>
      <c r="AP72" s="32"/>
      <c r="AQ72" s="32"/>
      <c r="AR72" s="32"/>
      <c r="AT72" s="40"/>
      <c r="AU72" s="32"/>
      <c r="AV72" s="32"/>
      <c r="AW72" s="32"/>
      <c r="AX72" s="32"/>
      <c r="AY72" s="32"/>
      <c r="AZ72" s="32"/>
      <c r="BA72" s="32"/>
      <c r="BB72" s="32"/>
      <c r="BC72" s="32"/>
    </row>
    <row r="73" spans="2:55" ht="32.25" customHeight="1" x14ac:dyDescent="0.2">
      <c r="B73" s="15" t="s">
        <v>83</v>
      </c>
      <c r="C73" s="16"/>
      <c r="D73" s="16"/>
      <c r="E73" s="16"/>
      <c r="F73" s="44" t="s">
        <v>56</v>
      </c>
      <c r="G73" s="15" t="s">
        <v>17</v>
      </c>
      <c r="H73" s="23" t="str">
        <f>+H$22</f>
        <v>I</v>
      </c>
      <c r="I73" s="23" t="str">
        <f t="shared" ref="I73:J73" si="122">+I$22</f>
        <v>II</v>
      </c>
      <c r="J73" s="45" t="str">
        <f t="shared" si="122"/>
        <v>III</v>
      </c>
      <c r="M73" s="211" t="str">
        <f t="shared" ref="M73:U73" ca="1" si="123">+M$22</f>
        <v>Affordable Residential</v>
      </c>
      <c r="N73" s="211" t="str">
        <f t="shared" ca="1" si="123"/>
        <v>Market Rate and WF Residential</v>
      </c>
      <c r="O73" s="211" t="str">
        <f t="shared" ca="1" si="123"/>
        <v>Retail</v>
      </c>
      <c r="P73" s="211" t="str">
        <f t="shared" ca="1" si="123"/>
        <v>Hotel</v>
      </c>
      <c r="Q73" s="211" t="str">
        <f t="shared" ca="1" si="123"/>
        <v>Community Facility</v>
      </c>
      <c r="R73" s="211" t="str">
        <f t="shared" ca="1" si="123"/>
        <v>Office</v>
      </c>
      <c r="S73" s="211" t="str">
        <f t="shared" ca="1" si="123"/>
        <v>Industrial</v>
      </c>
      <c r="T73" s="211" t="str">
        <f t="shared" ca="1" si="123"/>
        <v>Structural Parking</v>
      </c>
      <c r="U73" s="211" t="str">
        <f t="shared" ca="1" si="123"/>
        <v>Surface Parking</v>
      </c>
      <c r="X73" s="40"/>
      <c r="Y73" s="211" t="str">
        <f t="shared" ref="Y73:AG73" ca="1" si="124">+Y$22</f>
        <v>Affordable Residential</v>
      </c>
      <c r="Z73" s="211" t="str">
        <f t="shared" ca="1" si="124"/>
        <v>Market Rate and WF Residential</v>
      </c>
      <c r="AA73" s="211" t="str">
        <f t="shared" ca="1" si="124"/>
        <v>Retail</v>
      </c>
      <c r="AB73" s="211" t="str">
        <f t="shared" ca="1" si="124"/>
        <v>Hotel</v>
      </c>
      <c r="AC73" s="211" t="str">
        <f t="shared" ca="1" si="124"/>
        <v>Community Facility</v>
      </c>
      <c r="AD73" s="211" t="str">
        <f t="shared" ca="1" si="124"/>
        <v>Office</v>
      </c>
      <c r="AE73" s="211" t="str">
        <f t="shared" ca="1" si="124"/>
        <v>Industrial</v>
      </c>
      <c r="AF73" s="211" t="str">
        <f t="shared" ca="1" si="124"/>
        <v>Structural Parking</v>
      </c>
      <c r="AG73" s="211" t="str">
        <f t="shared" ca="1" si="124"/>
        <v>Surface Parking</v>
      </c>
      <c r="AI73" s="40"/>
      <c r="AJ73" s="211" t="str">
        <f t="shared" ref="AJ73:AR73" ca="1" si="125">+AJ$22</f>
        <v>Affordable Residential</v>
      </c>
      <c r="AK73" s="211" t="str">
        <f t="shared" ca="1" si="125"/>
        <v>Market Rate and WF Residential</v>
      </c>
      <c r="AL73" s="211" t="str">
        <f t="shared" ca="1" si="125"/>
        <v>Retail</v>
      </c>
      <c r="AM73" s="211" t="str">
        <f t="shared" ca="1" si="125"/>
        <v>Hotel</v>
      </c>
      <c r="AN73" s="211" t="str">
        <f t="shared" ca="1" si="125"/>
        <v>Community Facility</v>
      </c>
      <c r="AO73" s="211" t="str">
        <f t="shared" ca="1" si="125"/>
        <v>Office</v>
      </c>
      <c r="AP73" s="211" t="str">
        <f t="shared" ca="1" si="125"/>
        <v>Industrial</v>
      </c>
      <c r="AQ73" s="211" t="str">
        <f t="shared" ca="1" si="125"/>
        <v>Structural Parking</v>
      </c>
      <c r="AR73" s="211" t="str">
        <f t="shared" ca="1" si="125"/>
        <v>Surface Parking</v>
      </c>
      <c r="AT73" s="40"/>
      <c r="AU73" s="211" t="str">
        <f t="shared" ref="AU73:BC73" ca="1" si="126">+AU$22</f>
        <v>Affordable Residential</v>
      </c>
      <c r="AV73" s="211" t="str">
        <f t="shared" ca="1" si="126"/>
        <v>Market Rate and WF Residential</v>
      </c>
      <c r="AW73" s="211" t="str">
        <f t="shared" ca="1" si="126"/>
        <v>Retail</v>
      </c>
      <c r="AX73" s="211" t="str">
        <f t="shared" ca="1" si="126"/>
        <v>Hotel</v>
      </c>
      <c r="AY73" s="211" t="str">
        <f t="shared" ca="1" si="126"/>
        <v>Community Facility</v>
      </c>
      <c r="AZ73" s="211" t="str">
        <f t="shared" ca="1" si="126"/>
        <v>Office</v>
      </c>
      <c r="BA73" s="211" t="str">
        <f t="shared" ca="1" si="126"/>
        <v>Industrial</v>
      </c>
      <c r="BB73" s="211" t="str">
        <f t="shared" ca="1" si="126"/>
        <v>Structural Parking</v>
      </c>
      <c r="BC73" s="211" t="str">
        <f t="shared" ca="1" si="126"/>
        <v>Surface Parking</v>
      </c>
    </row>
    <row r="74" spans="2:55" x14ac:dyDescent="0.2">
      <c r="B74" s="9" t="s">
        <v>84</v>
      </c>
      <c r="C74" s="9"/>
      <c r="D74" s="9"/>
      <c r="E74" s="22"/>
      <c r="F74" s="104">
        <f t="shared" ref="F74:F76" ca="1" si="127">+G74/$G$10</f>
        <v>0.22477658331501404</v>
      </c>
      <c r="G74" s="47">
        <v>1000000</v>
      </c>
      <c r="H74" s="11">
        <f t="shared" ref="H74:J75" ca="1" si="128">+$G74*H$20</f>
        <v>382161.55052685388</v>
      </c>
      <c r="I74" s="11">
        <f t="shared" ca="1" si="128"/>
        <v>222303.81612196556</v>
      </c>
      <c r="J74" s="11">
        <f t="shared" ca="1" si="128"/>
        <v>395534.63335118059</v>
      </c>
      <c r="M74" s="38">
        <f t="shared" ref="M74:U75" ca="1" si="129">+$H74*M$5+$I74*M$6+$J74*M$7</f>
        <v>72657.010963952387</v>
      </c>
      <c r="N74" s="38">
        <f t="shared" ca="1" si="129"/>
        <v>290628.04385580955</v>
      </c>
      <c r="O74" s="38">
        <f t="shared" ca="1" si="129"/>
        <v>107152.12114918377</v>
      </c>
      <c r="P74" s="38">
        <f t="shared" ca="1" si="129"/>
        <v>80668.902144713269</v>
      </c>
      <c r="Q74" s="38">
        <f t="shared" ca="1" si="129"/>
        <v>35365.223735867738</v>
      </c>
      <c r="R74" s="38">
        <f t="shared" ca="1" si="129"/>
        <v>273800.83066436113</v>
      </c>
      <c r="S74" s="38">
        <f t="shared" ca="1" si="129"/>
        <v>52739.329743201743</v>
      </c>
      <c r="T74" s="38">
        <f t="shared" ca="1" si="129"/>
        <v>53272.05024565832</v>
      </c>
      <c r="U74" s="38">
        <f t="shared" ca="1" si="129"/>
        <v>33716.487497252107</v>
      </c>
      <c r="X74" s="40"/>
      <c r="Y74" s="38">
        <f t="shared" ref="Y74:AG75" ca="1" si="130">+$H74*Y$5+$I74*Y$6+$J74*Y$7</f>
        <v>28320.401936495226</v>
      </c>
      <c r="Z74" s="38">
        <f t="shared" ca="1" si="130"/>
        <v>113281.6077459809</v>
      </c>
      <c r="AA74" s="38">
        <f t="shared" ca="1" si="130"/>
        <v>54929.777547606565</v>
      </c>
      <c r="AB74" s="38">
        <f t="shared" ca="1" si="130"/>
        <v>46772.455517838054</v>
      </c>
      <c r="AC74" s="38">
        <f t="shared" ca="1" si="130"/>
        <v>17785.447154800488</v>
      </c>
      <c r="AD74" s="38">
        <f t="shared" ca="1" si="130"/>
        <v>102415.4042089865</v>
      </c>
      <c r="AE74" s="38">
        <f t="shared" ca="1" si="130"/>
        <v>0</v>
      </c>
      <c r="AF74" s="38">
        <f t="shared" ca="1" si="130"/>
        <v>18656.456415146167</v>
      </c>
      <c r="AG74" s="38">
        <f t="shared" ca="1" si="130"/>
        <v>0</v>
      </c>
      <c r="AI74" s="40"/>
      <c r="AJ74" s="38">
        <f t="shared" ref="AJ74:AR75" ca="1" si="131">+$H74*AJ$5+$I74*AJ$6+$J74*AJ$7</f>
        <v>20258.439124432269</v>
      </c>
      <c r="AK74" s="38">
        <f t="shared" ca="1" si="131"/>
        <v>81033.756497729075</v>
      </c>
      <c r="AL74" s="38">
        <f t="shared" ca="1" si="131"/>
        <v>34615.59383051216</v>
      </c>
      <c r="AM74" s="38">
        <f t="shared" ca="1" si="131"/>
        <v>28868.955701480514</v>
      </c>
      <c r="AN74" s="38">
        <f t="shared" ca="1" si="131"/>
        <v>0</v>
      </c>
      <c r="AO74" s="38">
        <f t="shared" ca="1" si="131"/>
        <v>33700.753136420055</v>
      </c>
      <c r="AP74" s="38">
        <f t="shared" ca="1" si="131"/>
        <v>0</v>
      </c>
      <c r="AQ74" s="38">
        <f t="shared" ca="1" si="131"/>
        <v>23826.317831391487</v>
      </c>
      <c r="AR74" s="38">
        <f t="shared" ca="1" si="131"/>
        <v>0</v>
      </c>
      <c r="AT74" s="40"/>
      <c r="AU74" s="38">
        <f t="shared" ref="AU74:BC75" ca="1" si="132">+$H74*AU$5+$I74*AU$6+$J74*AU$7</f>
        <v>24078.169903024896</v>
      </c>
      <c r="AV74" s="38">
        <f t="shared" ca="1" si="132"/>
        <v>96312.679612099586</v>
      </c>
      <c r="AW74" s="38">
        <f t="shared" ca="1" si="132"/>
        <v>17606.74977106505</v>
      </c>
      <c r="AX74" s="38">
        <f t="shared" ca="1" si="132"/>
        <v>5027.4909253947035</v>
      </c>
      <c r="AY74" s="38">
        <f t="shared" ca="1" si="132"/>
        <v>17579.776581067246</v>
      </c>
      <c r="AZ74" s="38">
        <f t="shared" ca="1" si="132"/>
        <v>137684.67331895459</v>
      </c>
      <c r="BA74" s="38">
        <f t="shared" ca="1" si="132"/>
        <v>52739.329743201743</v>
      </c>
      <c r="BB74" s="38">
        <f t="shared" ca="1" si="132"/>
        <v>10789.275999120673</v>
      </c>
      <c r="BC74" s="38">
        <f t="shared" ca="1" si="132"/>
        <v>33716.487497252107</v>
      </c>
    </row>
    <row r="75" spans="2:55" x14ac:dyDescent="0.2">
      <c r="B75" s="9" t="s">
        <v>85</v>
      </c>
      <c r="C75" s="9"/>
      <c r="D75" s="9"/>
      <c r="E75" s="22"/>
      <c r="F75" s="104">
        <f t="shared" ca="1" si="127"/>
        <v>0.22477658331501404</v>
      </c>
      <c r="G75" s="28">
        <v>1000000</v>
      </c>
      <c r="H75" s="11">
        <f t="shared" ca="1" si="128"/>
        <v>382161.55052685388</v>
      </c>
      <c r="I75" s="11">
        <f t="shared" ca="1" si="128"/>
        <v>222303.81612196556</v>
      </c>
      <c r="J75" s="11">
        <f t="shared" ca="1" si="128"/>
        <v>395534.63335118059</v>
      </c>
      <c r="M75" s="38">
        <f t="shared" ca="1" si="129"/>
        <v>72657.010963952387</v>
      </c>
      <c r="N75" s="38">
        <f t="shared" ca="1" si="129"/>
        <v>290628.04385580955</v>
      </c>
      <c r="O75" s="38">
        <f t="shared" ca="1" si="129"/>
        <v>107152.12114918377</v>
      </c>
      <c r="P75" s="38">
        <f t="shared" ca="1" si="129"/>
        <v>80668.902144713269</v>
      </c>
      <c r="Q75" s="38">
        <f t="shared" ca="1" si="129"/>
        <v>35365.223735867738</v>
      </c>
      <c r="R75" s="38">
        <f t="shared" ca="1" si="129"/>
        <v>273800.83066436113</v>
      </c>
      <c r="S75" s="38">
        <f t="shared" ca="1" si="129"/>
        <v>52739.329743201743</v>
      </c>
      <c r="T75" s="38">
        <f t="shared" ca="1" si="129"/>
        <v>53272.05024565832</v>
      </c>
      <c r="U75" s="38">
        <f t="shared" ca="1" si="129"/>
        <v>33716.487497252107</v>
      </c>
      <c r="X75" s="40"/>
      <c r="Y75" s="38">
        <f t="shared" ca="1" si="130"/>
        <v>28320.401936495226</v>
      </c>
      <c r="Z75" s="38">
        <f t="shared" ca="1" si="130"/>
        <v>113281.6077459809</v>
      </c>
      <c r="AA75" s="38">
        <f t="shared" ca="1" si="130"/>
        <v>54929.777547606565</v>
      </c>
      <c r="AB75" s="38">
        <f t="shared" ca="1" si="130"/>
        <v>46772.455517838054</v>
      </c>
      <c r="AC75" s="38">
        <f t="shared" ca="1" si="130"/>
        <v>17785.447154800488</v>
      </c>
      <c r="AD75" s="38">
        <f t="shared" ca="1" si="130"/>
        <v>102415.4042089865</v>
      </c>
      <c r="AE75" s="38">
        <f t="shared" ca="1" si="130"/>
        <v>0</v>
      </c>
      <c r="AF75" s="38">
        <f t="shared" ca="1" si="130"/>
        <v>18656.456415146167</v>
      </c>
      <c r="AG75" s="38">
        <f t="shared" ca="1" si="130"/>
        <v>0</v>
      </c>
      <c r="AI75" s="40"/>
      <c r="AJ75" s="38">
        <f t="shared" ca="1" si="131"/>
        <v>20258.439124432269</v>
      </c>
      <c r="AK75" s="38">
        <f t="shared" ca="1" si="131"/>
        <v>81033.756497729075</v>
      </c>
      <c r="AL75" s="38">
        <f t="shared" ca="1" si="131"/>
        <v>34615.59383051216</v>
      </c>
      <c r="AM75" s="38">
        <f t="shared" ca="1" si="131"/>
        <v>28868.955701480514</v>
      </c>
      <c r="AN75" s="38">
        <f t="shared" ca="1" si="131"/>
        <v>0</v>
      </c>
      <c r="AO75" s="38">
        <f t="shared" ca="1" si="131"/>
        <v>33700.753136420055</v>
      </c>
      <c r="AP75" s="38">
        <f t="shared" ca="1" si="131"/>
        <v>0</v>
      </c>
      <c r="AQ75" s="38">
        <f t="shared" ca="1" si="131"/>
        <v>23826.317831391487</v>
      </c>
      <c r="AR75" s="38">
        <f t="shared" ca="1" si="131"/>
        <v>0</v>
      </c>
      <c r="AT75" s="40"/>
      <c r="AU75" s="38">
        <f t="shared" ca="1" si="132"/>
        <v>24078.169903024896</v>
      </c>
      <c r="AV75" s="38">
        <f t="shared" ca="1" si="132"/>
        <v>96312.679612099586</v>
      </c>
      <c r="AW75" s="38">
        <f t="shared" ca="1" si="132"/>
        <v>17606.74977106505</v>
      </c>
      <c r="AX75" s="38">
        <f t="shared" ca="1" si="132"/>
        <v>5027.4909253947035</v>
      </c>
      <c r="AY75" s="38">
        <f t="shared" ca="1" si="132"/>
        <v>17579.776581067246</v>
      </c>
      <c r="AZ75" s="38">
        <f t="shared" ca="1" si="132"/>
        <v>137684.67331895459</v>
      </c>
      <c r="BA75" s="38">
        <f t="shared" ca="1" si="132"/>
        <v>52739.329743201743</v>
      </c>
      <c r="BB75" s="38">
        <f t="shared" ca="1" si="132"/>
        <v>10789.275999120673</v>
      </c>
      <c r="BC75" s="38">
        <f t="shared" ca="1" si="132"/>
        <v>33716.487497252107</v>
      </c>
    </row>
    <row r="76" spans="2:55" x14ac:dyDescent="0.2">
      <c r="B76" s="12" t="s">
        <v>86</v>
      </c>
      <c r="C76" s="12"/>
      <c r="D76" s="12"/>
      <c r="E76" s="12"/>
      <c r="F76" s="105">
        <f t="shared" ca="1" si="127"/>
        <v>0.44955316663002809</v>
      </c>
      <c r="G76" s="13">
        <f>+SUM(G74:G75)</f>
        <v>2000000</v>
      </c>
      <c r="H76" s="128">
        <f ca="1">+SUM(H74:H75)</f>
        <v>764323.10105370777</v>
      </c>
      <c r="I76" s="128">
        <f ca="1">+SUM(I74:I75)</f>
        <v>444607.63224393112</v>
      </c>
      <c r="J76" s="128">
        <f ca="1">+SUM(J74:J75)</f>
        <v>791069.26670236117</v>
      </c>
      <c r="M76" s="128">
        <f t="shared" ref="M76:U76" ca="1" si="133">+SUM(M74:M75)</f>
        <v>145314.02192790477</v>
      </c>
      <c r="N76" s="128">
        <f t="shared" ca="1" si="133"/>
        <v>581256.0877116191</v>
      </c>
      <c r="O76" s="128">
        <f t="shared" ca="1" si="133"/>
        <v>214304.24229836755</v>
      </c>
      <c r="P76" s="128">
        <f t="shared" ca="1" si="133"/>
        <v>161337.80428942654</v>
      </c>
      <c r="Q76" s="128">
        <f t="shared" ca="1" si="133"/>
        <v>70730.447471735475</v>
      </c>
      <c r="R76" s="128">
        <f t="shared" ca="1" si="133"/>
        <v>547601.66132872226</v>
      </c>
      <c r="S76" s="128">
        <f t="shared" ca="1" si="133"/>
        <v>105478.65948640349</v>
      </c>
      <c r="T76" s="128">
        <f t="shared" ca="1" si="133"/>
        <v>106544.10049131664</v>
      </c>
      <c r="U76" s="128">
        <f t="shared" ca="1" si="133"/>
        <v>67432.974994504213</v>
      </c>
      <c r="X76" s="33">
        <f ca="1">+SUM(Y76:AG76)</f>
        <v>764323.10105370788</v>
      </c>
      <c r="Y76" s="128">
        <f t="shared" ref="Y76:AG76" ca="1" si="134">+SUM(Y74:Y75)</f>
        <v>56640.803872990451</v>
      </c>
      <c r="Z76" s="128">
        <f t="shared" ca="1" si="134"/>
        <v>226563.2154919618</v>
      </c>
      <c r="AA76" s="128">
        <f t="shared" ca="1" si="134"/>
        <v>109859.55509521313</v>
      </c>
      <c r="AB76" s="128">
        <f t="shared" ca="1" si="134"/>
        <v>93544.911035676108</v>
      </c>
      <c r="AC76" s="128">
        <f t="shared" ca="1" si="134"/>
        <v>35570.894309600975</v>
      </c>
      <c r="AD76" s="128">
        <f t="shared" ca="1" si="134"/>
        <v>204830.80841797299</v>
      </c>
      <c r="AE76" s="128">
        <f t="shared" ca="1" si="134"/>
        <v>0</v>
      </c>
      <c r="AF76" s="128">
        <f t="shared" ca="1" si="134"/>
        <v>37312.912830292335</v>
      </c>
      <c r="AG76" s="128">
        <f t="shared" ca="1" si="134"/>
        <v>0</v>
      </c>
      <c r="AH76" s="33"/>
      <c r="AI76" s="33">
        <f ca="1">+SUM(AJ76:AR76)</f>
        <v>444607.63224393112</v>
      </c>
      <c r="AJ76" s="128">
        <f t="shared" ref="AJ76:AR76" ca="1" si="135">+SUM(AJ74:AJ75)</f>
        <v>40516.878248864537</v>
      </c>
      <c r="AK76" s="128">
        <f t="shared" ca="1" si="135"/>
        <v>162067.51299545815</v>
      </c>
      <c r="AL76" s="128">
        <f t="shared" ca="1" si="135"/>
        <v>69231.18766102432</v>
      </c>
      <c r="AM76" s="128">
        <f t="shared" ca="1" si="135"/>
        <v>57737.911402961028</v>
      </c>
      <c r="AN76" s="128">
        <f t="shared" ca="1" si="135"/>
        <v>0</v>
      </c>
      <c r="AO76" s="128">
        <f t="shared" ca="1" si="135"/>
        <v>67401.50627284011</v>
      </c>
      <c r="AP76" s="128">
        <f t="shared" ca="1" si="135"/>
        <v>0</v>
      </c>
      <c r="AQ76" s="128">
        <f t="shared" ca="1" si="135"/>
        <v>47652.635662782974</v>
      </c>
      <c r="AR76" s="128">
        <f t="shared" ca="1" si="135"/>
        <v>0</v>
      </c>
      <c r="AT76" s="33">
        <f ca="1">+SUM(AU76:BC76)</f>
        <v>791069.26670236117</v>
      </c>
      <c r="AU76" s="128">
        <f t="shared" ref="AU76:BC76" ca="1" si="136">+SUM(AU74:AU75)</f>
        <v>48156.339806049793</v>
      </c>
      <c r="AV76" s="128">
        <f t="shared" ca="1" si="136"/>
        <v>192625.35922419917</v>
      </c>
      <c r="AW76" s="128">
        <f t="shared" ca="1" si="136"/>
        <v>35213.499542130099</v>
      </c>
      <c r="AX76" s="128">
        <f t="shared" ca="1" si="136"/>
        <v>10054.981850789407</v>
      </c>
      <c r="AY76" s="128">
        <f t="shared" ca="1" si="136"/>
        <v>35159.553162134493</v>
      </c>
      <c r="AZ76" s="128">
        <f t="shared" ca="1" si="136"/>
        <v>275369.34663790918</v>
      </c>
      <c r="BA76" s="128">
        <f t="shared" ca="1" si="136"/>
        <v>105478.65948640349</v>
      </c>
      <c r="BB76" s="128">
        <f t="shared" ca="1" si="136"/>
        <v>21578.551998241346</v>
      </c>
      <c r="BC76" s="128">
        <f t="shared" ca="1" si="136"/>
        <v>67432.974994504213</v>
      </c>
    </row>
    <row r="77" spans="2:55" x14ac:dyDescent="0.2">
      <c r="B77" s="9"/>
      <c r="C77" s="9"/>
      <c r="D77" s="9"/>
      <c r="E77" s="9"/>
      <c r="F77" s="9"/>
      <c r="G77" s="9"/>
      <c r="H77" s="9"/>
      <c r="I77" s="9"/>
      <c r="J77" s="9"/>
      <c r="M77" s="32"/>
      <c r="N77" s="32"/>
      <c r="O77" s="32"/>
      <c r="P77" s="32"/>
      <c r="Q77" s="32"/>
      <c r="R77" s="32"/>
      <c r="S77" s="32"/>
      <c r="T77" s="32"/>
      <c r="U77" s="32"/>
      <c r="X77" s="40"/>
      <c r="Y77" s="32"/>
      <c r="Z77" s="32"/>
      <c r="AA77" s="32"/>
      <c r="AB77" s="32"/>
      <c r="AC77" s="32"/>
      <c r="AD77" s="32"/>
      <c r="AE77" s="32"/>
      <c r="AF77" s="32"/>
      <c r="AG77" s="32"/>
      <c r="AI77" s="40"/>
      <c r="AJ77" s="32"/>
      <c r="AK77" s="32"/>
      <c r="AL77" s="32"/>
      <c r="AM77" s="32"/>
      <c r="AN77" s="32"/>
      <c r="AO77" s="32"/>
      <c r="AP77" s="32"/>
      <c r="AQ77" s="32"/>
      <c r="AR77" s="32"/>
      <c r="AT77" s="40"/>
      <c r="AU77" s="32"/>
      <c r="AV77" s="32"/>
      <c r="AW77" s="32"/>
      <c r="AX77" s="32"/>
      <c r="AY77" s="32"/>
      <c r="AZ77" s="32"/>
      <c r="BA77" s="32"/>
      <c r="BB77" s="32"/>
      <c r="BC77" s="32"/>
    </row>
    <row r="78" spans="2:55" ht="32.25" customHeight="1" x14ac:dyDescent="0.2">
      <c r="B78" s="15" t="s">
        <v>60</v>
      </c>
      <c r="C78" s="16"/>
      <c r="D78" s="16"/>
      <c r="E78" s="16"/>
      <c r="F78" s="44" t="s">
        <v>56</v>
      </c>
      <c r="G78" s="15" t="s">
        <v>17</v>
      </c>
      <c r="H78" s="23" t="str">
        <f>+H$22</f>
        <v>I</v>
      </c>
      <c r="I78" s="23" t="str">
        <f t="shared" ref="I78:J78" si="137">+I$22</f>
        <v>II</v>
      </c>
      <c r="J78" s="45" t="str">
        <f t="shared" si="137"/>
        <v>III</v>
      </c>
      <c r="M78" s="211" t="str">
        <f t="shared" ref="M78:U78" ca="1" si="138">+M$22</f>
        <v>Affordable Residential</v>
      </c>
      <c r="N78" s="211" t="str">
        <f t="shared" ca="1" si="138"/>
        <v>Market Rate and WF Residential</v>
      </c>
      <c r="O78" s="211" t="str">
        <f t="shared" ca="1" si="138"/>
        <v>Retail</v>
      </c>
      <c r="P78" s="211" t="str">
        <f t="shared" ca="1" si="138"/>
        <v>Hotel</v>
      </c>
      <c r="Q78" s="211" t="str">
        <f t="shared" ca="1" si="138"/>
        <v>Community Facility</v>
      </c>
      <c r="R78" s="211" t="str">
        <f t="shared" ca="1" si="138"/>
        <v>Office</v>
      </c>
      <c r="S78" s="211" t="str">
        <f t="shared" ca="1" si="138"/>
        <v>Industrial</v>
      </c>
      <c r="T78" s="211" t="str">
        <f t="shared" ca="1" si="138"/>
        <v>Structural Parking</v>
      </c>
      <c r="U78" s="211" t="str">
        <f t="shared" ca="1" si="138"/>
        <v>Surface Parking</v>
      </c>
      <c r="X78" s="40"/>
      <c r="Y78" s="211" t="str">
        <f t="shared" ref="Y78:AG78" ca="1" si="139">+Y$22</f>
        <v>Affordable Residential</v>
      </c>
      <c r="Z78" s="211" t="str">
        <f t="shared" ca="1" si="139"/>
        <v>Market Rate and WF Residential</v>
      </c>
      <c r="AA78" s="211" t="str">
        <f t="shared" ca="1" si="139"/>
        <v>Retail</v>
      </c>
      <c r="AB78" s="211" t="str">
        <f t="shared" ca="1" si="139"/>
        <v>Hotel</v>
      </c>
      <c r="AC78" s="211" t="str">
        <f t="shared" ca="1" si="139"/>
        <v>Community Facility</v>
      </c>
      <c r="AD78" s="211" t="str">
        <f t="shared" ca="1" si="139"/>
        <v>Office</v>
      </c>
      <c r="AE78" s="211" t="str">
        <f t="shared" ca="1" si="139"/>
        <v>Industrial</v>
      </c>
      <c r="AF78" s="211" t="str">
        <f t="shared" ca="1" si="139"/>
        <v>Structural Parking</v>
      </c>
      <c r="AG78" s="211" t="str">
        <f t="shared" ca="1" si="139"/>
        <v>Surface Parking</v>
      </c>
      <c r="AI78" s="40"/>
      <c r="AJ78" s="211" t="str">
        <f t="shared" ref="AJ78:AR78" ca="1" si="140">+AJ$22</f>
        <v>Affordable Residential</v>
      </c>
      <c r="AK78" s="211" t="str">
        <f t="shared" ca="1" si="140"/>
        <v>Market Rate and WF Residential</v>
      </c>
      <c r="AL78" s="211" t="str">
        <f t="shared" ca="1" si="140"/>
        <v>Retail</v>
      </c>
      <c r="AM78" s="211" t="str">
        <f t="shared" ca="1" si="140"/>
        <v>Hotel</v>
      </c>
      <c r="AN78" s="211" t="str">
        <f t="shared" ca="1" si="140"/>
        <v>Community Facility</v>
      </c>
      <c r="AO78" s="211" t="str">
        <f t="shared" ca="1" si="140"/>
        <v>Office</v>
      </c>
      <c r="AP78" s="211" t="str">
        <f t="shared" ca="1" si="140"/>
        <v>Industrial</v>
      </c>
      <c r="AQ78" s="211" t="str">
        <f t="shared" ca="1" si="140"/>
        <v>Structural Parking</v>
      </c>
      <c r="AR78" s="211" t="str">
        <f t="shared" ca="1" si="140"/>
        <v>Surface Parking</v>
      </c>
      <c r="AT78" s="40"/>
      <c r="AU78" s="211" t="str">
        <f t="shared" ref="AU78:BC78" ca="1" si="141">+AU$22</f>
        <v>Affordable Residential</v>
      </c>
      <c r="AV78" s="211" t="str">
        <f t="shared" ca="1" si="141"/>
        <v>Market Rate and WF Residential</v>
      </c>
      <c r="AW78" s="211" t="str">
        <f t="shared" ca="1" si="141"/>
        <v>Retail</v>
      </c>
      <c r="AX78" s="211" t="str">
        <f t="shared" ca="1" si="141"/>
        <v>Hotel</v>
      </c>
      <c r="AY78" s="211" t="str">
        <f t="shared" ca="1" si="141"/>
        <v>Community Facility</v>
      </c>
      <c r="AZ78" s="211" t="str">
        <f t="shared" ca="1" si="141"/>
        <v>Office</v>
      </c>
      <c r="BA78" s="211" t="str">
        <f t="shared" ca="1" si="141"/>
        <v>Industrial</v>
      </c>
      <c r="BB78" s="211" t="str">
        <f t="shared" ca="1" si="141"/>
        <v>Structural Parking</v>
      </c>
      <c r="BC78" s="211" t="str">
        <f t="shared" ca="1" si="141"/>
        <v>Surface Parking</v>
      </c>
    </row>
    <row r="79" spans="2:55" x14ac:dyDescent="0.2">
      <c r="B79" s="9" t="s">
        <v>60</v>
      </c>
      <c r="C79" s="9"/>
      <c r="D79" s="106">
        <v>0.03</v>
      </c>
      <c r="E79" s="22">
        <v>0</v>
      </c>
      <c r="F79" s="104">
        <f t="shared" ref="F79:F82" ca="1" si="142">+G79/$G$10</f>
        <v>6.5604171771898026</v>
      </c>
      <c r="G79" s="42">
        <f ca="1">+SUM(H79:J79)</f>
        <v>29186390.683746979</v>
      </c>
      <c r="H79" s="33">
        <f ca="1">+$D79*SUM(H76,H71,H64,H45,H31)</f>
        <v>11439613.385352328</v>
      </c>
      <c r="I79" s="33">
        <f ca="1">+$D79*SUM(I76,I71,I64,I45,I31)</f>
        <v>6434952.7060475629</v>
      </c>
      <c r="J79" s="33">
        <f ca="1">+$D79*SUM(J76,J71,J64,J45,J31)</f>
        <v>11311824.592347085</v>
      </c>
      <c r="K79" s="33"/>
      <c r="L79" s="33"/>
      <c r="M79" s="38">
        <f t="shared" ref="M79:U79" ca="1" si="143">+$H79*M$5+$I79*M$6+$J79*M$7</f>
        <v>2122763.5563944066</v>
      </c>
      <c r="N79" s="38">
        <f t="shared" ca="1" si="143"/>
        <v>8491054.2255776264</v>
      </c>
      <c r="O79" s="38">
        <f t="shared" ca="1" si="143"/>
        <v>3149804.5423396463</v>
      </c>
      <c r="P79" s="38">
        <f t="shared" ca="1" si="143"/>
        <v>2379525.5300125182</v>
      </c>
      <c r="Q79" s="38">
        <f t="shared" ca="1" si="143"/>
        <v>1035149.9900103158</v>
      </c>
      <c r="R79" s="38">
        <f t="shared" ca="1" si="143"/>
        <v>7978843.5759426272</v>
      </c>
      <c r="S79" s="38">
        <f t="shared" ca="1" si="143"/>
        <v>1508282.7061653838</v>
      </c>
      <c r="T79" s="38">
        <f t="shared" ca="1" si="143"/>
        <v>1556714.7313452507</v>
      </c>
      <c r="U79" s="38">
        <f t="shared" ca="1" si="143"/>
        <v>964251.82595920213</v>
      </c>
      <c r="X79" s="33"/>
      <c r="Y79" s="38">
        <f t="shared" ref="Y79:AG79" ca="1" si="144">+$H79*Y$5+$I79*Y$6+$J79*Y$7</f>
        <v>847742.13581835362</v>
      </c>
      <c r="Z79" s="38">
        <f t="shared" ca="1" si="144"/>
        <v>3390968.5432734145</v>
      </c>
      <c r="AA79" s="38">
        <f t="shared" ca="1" si="144"/>
        <v>1644266.4564808724</v>
      </c>
      <c r="AB79" s="38">
        <f t="shared" ca="1" si="144"/>
        <v>1400085.402286065</v>
      </c>
      <c r="AC79" s="38">
        <f t="shared" ca="1" si="144"/>
        <v>532389.08795518777</v>
      </c>
      <c r="AD79" s="38">
        <f t="shared" ca="1" si="144"/>
        <v>3065699.9042426301</v>
      </c>
      <c r="AE79" s="38">
        <f t="shared" ca="1" si="144"/>
        <v>0</v>
      </c>
      <c r="AF79" s="38">
        <f t="shared" ca="1" si="144"/>
        <v>558461.85529580514</v>
      </c>
      <c r="AG79" s="38">
        <f t="shared" ca="1" si="144"/>
        <v>0</v>
      </c>
      <c r="AI79" s="33"/>
      <c r="AJ79" s="38">
        <f t="shared" ref="AJ79:AR79" ca="1" si="145">+$H79*AJ$5+$I79*AJ$6+$J79*AJ$7</f>
        <v>586414.12431958853</v>
      </c>
      <c r="AK79" s="38">
        <f t="shared" ca="1" si="145"/>
        <v>2345656.4972783541</v>
      </c>
      <c r="AL79" s="38">
        <f t="shared" ca="1" si="145"/>
        <v>1002005.7823428786</v>
      </c>
      <c r="AM79" s="38">
        <f t="shared" ca="1" si="145"/>
        <v>835659.8094118525</v>
      </c>
      <c r="AN79" s="38">
        <f t="shared" ca="1" si="145"/>
        <v>0</v>
      </c>
      <c r="AO79" s="38">
        <f t="shared" ca="1" si="145"/>
        <v>975524.20095238835</v>
      </c>
      <c r="AP79" s="38">
        <f t="shared" ca="1" si="145"/>
        <v>0</v>
      </c>
      <c r="AQ79" s="38">
        <f t="shared" ca="1" si="145"/>
        <v>689692.29174250085</v>
      </c>
      <c r="AR79" s="38">
        <f t="shared" ca="1" si="145"/>
        <v>0</v>
      </c>
      <c r="AT79" s="33"/>
      <c r="AU79" s="38">
        <f t="shared" ref="AU79:BC79" ca="1" si="146">+$H79*AU$5+$I79*AU$6+$J79*AU$7</f>
        <v>688607.29625646444</v>
      </c>
      <c r="AV79" s="38">
        <f t="shared" ca="1" si="146"/>
        <v>2754429.1850258578</v>
      </c>
      <c r="AW79" s="38">
        <f t="shared" ca="1" si="146"/>
        <v>503532.30351589533</v>
      </c>
      <c r="AX79" s="38">
        <f t="shared" ca="1" si="146"/>
        <v>143780.31831460068</v>
      </c>
      <c r="AY79" s="38">
        <f t="shared" ca="1" si="146"/>
        <v>502760.90205512795</v>
      </c>
      <c r="AZ79" s="38">
        <f t="shared" ca="1" si="146"/>
        <v>3937619.4707476087</v>
      </c>
      <c r="BA79" s="38">
        <f t="shared" ca="1" si="146"/>
        <v>1508282.7061653838</v>
      </c>
      <c r="BB79" s="38">
        <f t="shared" ca="1" si="146"/>
        <v>308560.58430694469</v>
      </c>
      <c r="BC79" s="38">
        <f t="shared" ca="1" si="146"/>
        <v>964251.82595920213</v>
      </c>
    </row>
    <row r="80" spans="2:55" x14ac:dyDescent="0.2">
      <c r="B80" s="12" t="s">
        <v>87</v>
      </c>
      <c r="C80" s="12"/>
      <c r="D80" s="12"/>
      <c r="E80" s="12"/>
      <c r="F80" s="105">
        <f t="shared" ca="1" si="142"/>
        <v>6.5604171771898026</v>
      </c>
      <c r="G80" s="13">
        <f ca="1">+SUM(G79:G79)</f>
        <v>29186390.683746979</v>
      </c>
      <c r="H80" s="128">
        <f ca="1">+SUM(H79:H79)</f>
        <v>11439613.385352328</v>
      </c>
      <c r="I80" s="128">
        <f ca="1">+SUM(I79:I79)</f>
        <v>6434952.7060475629</v>
      </c>
      <c r="J80" s="128">
        <f ca="1">+SUM(J79:J79)</f>
        <v>11311824.592347085</v>
      </c>
      <c r="M80" s="128">
        <f t="shared" ref="M80:U80" ca="1" si="147">+SUM(M79:M79)</f>
        <v>2122763.5563944066</v>
      </c>
      <c r="N80" s="128">
        <f t="shared" ca="1" si="147"/>
        <v>8491054.2255776264</v>
      </c>
      <c r="O80" s="128">
        <f t="shared" ca="1" si="147"/>
        <v>3149804.5423396463</v>
      </c>
      <c r="P80" s="128">
        <f t="shared" ca="1" si="147"/>
        <v>2379525.5300125182</v>
      </c>
      <c r="Q80" s="128">
        <f t="shared" ca="1" si="147"/>
        <v>1035149.9900103158</v>
      </c>
      <c r="R80" s="128">
        <f t="shared" ca="1" si="147"/>
        <v>7978843.5759426272</v>
      </c>
      <c r="S80" s="128">
        <f t="shared" ca="1" si="147"/>
        <v>1508282.7061653838</v>
      </c>
      <c r="T80" s="128">
        <f t="shared" ca="1" si="147"/>
        <v>1556714.7313452507</v>
      </c>
      <c r="U80" s="128">
        <f t="shared" ca="1" si="147"/>
        <v>964251.82595920213</v>
      </c>
      <c r="X80" s="33">
        <f ca="1">+SUM(Y80:AG80)</f>
        <v>11439613.385352328</v>
      </c>
      <c r="Y80" s="128">
        <f t="shared" ref="Y80:AG80" ca="1" si="148">+SUM(Y79:Y79)</f>
        <v>847742.13581835362</v>
      </c>
      <c r="Z80" s="128">
        <f t="shared" ca="1" si="148"/>
        <v>3390968.5432734145</v>
      </c>
      <c r="AA80" s="128">
        <f t="shared" ca="1" si="148"/>
        <v>1644266.4564808724</v>
      </c>
      <c r="AB80" s="128">
        <f t="shared" ca="1" si="148"/>
        <v>1400085.402286065</v>
      </c>
      <c r="AC80" s="128">
        <f t="shared" ca="1" si="148"/>
        <v>532389.08795518777</v>
      </c>
      <c r="AD80" s="128">
        <f t="shared" ca="1" si="148"/>
        <v>3065699.9042426301</v>
      </c>
      <c r="AE80" s="128">
        <f t="shared" ca="1" si="148"/>
        <v>0</v>
      </c>
      <c r="AF80" s="128">
        <f t="shared" ca="1" si="148"/>
        <v>558461.85529580514</v>
      </c>
      <c r="AG80" s="128">
        <f t="shared" ca="1" si="148"/>
        <v>0</v>
      </c>
      <c r="AH80" s="33"/>
      <c r="AI80" s="33">
        <f ca="1">+SUM(AJ80:AR80)</f>
        <v>6434952.7060475629</v>
      </c>
      <c r="AJ80" s="128">
        <f t="shared" ref="AJ80:AR80" ca="1" si="149">+SUM(AJ79:AJ79)</f>
        <v>586414.12431958853</v>
      </c>
      <c r="AK80" s="128">
        <f t="shared" ca="1" si="149"/>
        <v>2345656.4972783541</v>
      </c>
      <c r="AL80" s="128">
        <f t="shared" ca="1" si="149"/>
        <v>1002005.7823428786</v>
      </c>
      <c r="AM80" s="128">
        <f t="shared" ca="1" si="149"/>
        <v>835659.8094118525</v>
      </c>
      <c r="AN80" s="128">
        <f t="shared" ca="1" si="149"/>
        <v>0</v>
      </c>
      <c r="AO80" s="128">
        <f t="shared" ca="1" si="149"/>
        <v>975524.20095238835</v>
      </c>
      <c r="AP80" s="128">
        <f t="shared" ca="1" si="149"/>
        <v>0</v>
      </c>
      <c r="AQ80" s="128">
        <f t="shared" ca="1" si="149"/>
        <v>689692.29174250085</v>
      </c>
      <c r="AR80" s="128">
        <f t="shared" ca="1" si="149"/>
        <v>0</v>
      </c>
      <c r="AT80" s="33">
        <f ca="1">+SUM(AU80:BC80)</f>
        <v>11311824.592347085</v>
      </c>
      <c r="AU80" s="128">
        <f t="shared" ref="AU80:BC80" ca="1" si="150">+SUM(AU79:AU79)</f>
        <v>688607.29625646444</v>
      </c>
      <c r="AV80" s="128">
        <f t="shared" ca="1" si="150"/>
        <v>2754429.1850258578</v>
      </c>
      <c r="AW80" s="128">
        <f t="shared" ca="1" si="150"/>
        <v>503532.30351589533</v>
      </c>
      <c r="AX80" s="128">
        <f t="shared" ca="1" si="150"/>
        <v>143780.31831460068</v>
      </c>
      <c r="AY80" s="128">
        <f t="shared" ca="1" si="150"/>
        <v>502760.90205512795</v>
      </c>
      <c r="AZ80" s="128">
        <f t="shared" ca="1" si="150"/>
        <v>3937619.4707476087</v>
      </c>
      <c r="BA80" s="128">
        <f t="shared" ca="1" si="150"/>
        <v>1508282.7061653838</v>
      </c>
      <c r="BB80" s="128">
        <f t="shared" ca="1" si="150"/>
        <v>308560.58430694469</v>
      </c>
      <c r="BC80" s="128">
        <f t="shared" ca="1" si="150"/>
        <v>964251.82595920213</v>
      </c>
    </row>
    <row r="81" spans="2:55" x14ac:dyDescent="0.2">
      <c r="B81" s="9"/>
      <c r="C81" s="9"/>
      <c r="D81" s="9"/>
      <c r="E81" s="9"/>
      <c r="F81" s="9"/>
      <c r="G81" s="10"/>
      <c r="H81" s="9"/>
      <c r="I81" s="9"/>
      <c r="J81" s="9"/>
      <c r="M81" s="32"/>
      <c r="N81" s="32"/>
      <c r="O81" s="32"/>
      <c r="P81" s="32"/>
      <c r="Q81" s="32"/>
      <c r="R81" s="32"/>
      <c r="S81" s="32"/>
      <c r="T81" s="32"/>
      <c r="U81" s="32"/>
      <c r="X81" s="40"/>
      <c r="Y81" s="32"/>
      <c r="Z81" s="32"/>
      <c r="AA81" s="32"/>
      <c r="AB81" s="32"/>
      <c r="AC81" s="32"/>
      <c r="AD81" s="32"/>
      <c r="AE81" s="32"/>
      <c r="AF81" s="32"/>
      <c r="AG81" s="32"/>
      <c r="AI81" s="40"/>
      <c r="AJ81" s="32"/>
      <c r="AK81" s="32"/>
      <c r="AL81" s="32"/>
      <c r="AM81" s="32"/>
      <c r="AN81" s="32"/>
      <c r="AO81" s="32"/>
      <c r="AP81" s="32"/>
      <c r="AQ81" s="32"/>
      <c r="AR81" s="32"/>
      <c r="AT81" s="40"/>
      <c r="AU81" s="32"/>
      <c r="AV81" s="32"/>
      <c r="AW81" s="32"/>
      <c r="AX81" s="32"/>
      <c r="AY81" s="32"/>
      <c r="AZ81" s="32"/>
      <c r="BA81" s="32"/>
      <c r="BB81" s="32"/>
      <c r="BC81" s="32"/>
    </row>
    <row r="82" spans="2:55" x14ac:dyDescent="0.2">
      <c r="B82" s="12" t="s">
        <v>232</v>
      </c>
      <c r="C82" s="12"/>
      <c r="D82" s="12"/>
      <c r="E82" s="12"/>
      <c r="F82" s="105">
        <f t="shared" ca="1" si="142"/>
        <v>229.02638725344195</v>
      </c>
      <c r="G82" s="13">
        <f ca="1">+G24+G45+G64+G71+G76+G80+G31</f>
        <v>1018906791.2491223</v>
      </c>
      <c r="H82" s="128">
        <f ca="1">+H24+H45+H64+H71+H76+H80+H31</f>
        <v>399660210.56376326</v>
      </c>
      <c r="I82" s="128">
        <f ca="1">+I24+I45+I64+I71+I76+I80+I31</f>
        <v>221752349.34810922</v>
      </c>
      <c r="J82" s="128">
        <f ca="1">+J24+J45+J64+J71+J76+J80+J31</f>
        <v>397494231.33724999</v>
      </c>
      <c r="M82" s="128">
        <f t="shared" ref="M82:U82" ca="1" si="151">+M24+M45+M64+M71+M76+M80+M31</f>
        <v>74157038.432284564</v>
      </c>
      <c r="N82" s="128">
        <f t="shared" ca="1" si="151"/>
        <v>330237117.86934507</v>
      </c>
      <c r="O82" s="128">
        <f t="shared" ca="1" si="151"/>
        <v>112282661.1373806</v>
      </c>
      <c r="P82" s="128">
        <f t="shared" ca="1" si="151"/>
        <v>94074683.365725368</v>
      </c>
      <c r="Q82" s="128">
        <f t="shared" ca="1" si="151"/>
        <v>36226531.141457766</v>
      </c>
      <c r="R82" s="128">
        <f t="shared" ca="1" si="151"/>
        <v>297243658.72763836</v>
      </c>
      <c r="S82" s="128">
        <f t="shared" ca="1" si="151"/>
        <v>43289627.144628122</v>
      </c>
      <c r="T82" s="128">
        <f t="shared" ca="1" si="151"/>
        <v>22609862.682084691</v>
      </c>
      <c r="U82" s="128">
        <f t="shared" ca="1" si="151"/>
        <v>8785610.7485778909</v>
      </c>
      <c r="X82" s="33">
        <f ca="1">+SUM(Y82:AG82)</f>
        <v>399660210.56376332</v>
      </c>
      <c r="Y82" s="128">
        <f t="shared" ref="Y82:AG82" ca="1" si="152">+Y24+Y45+Y64+Y71+Y76+Y80+Y31</f>
        <v>28476143.659180529</v>
      </c>
      <c r="Z82" s="128">
        <f t="shared" ca="1" si="152"/>
        <v>126389322.40077291</v>
      </c>
      <c r="AA82" s="128">
        <f t="shared" ca="1" si="152"/>
        <v>57178274.17871049</v>
      </c>
      <c r="AB82" s="128">
        <f t="shared" ca="1" si="152"/>
        <v>54725371.994492203</v>
      </c>
      <c r="AC82" s="128">
        <f t="shared" ca="1" si="152"/>
        <v>17335700.017437719</v>
      </c>
      <c r="AD82" s="128">
        <f t="shared" ca="1" si="152"/>
        <v>107386026.91856527</v>
      </c>
      <c r="AE82" s="128">
        <f t="shared" ca="1" si="152"/>
        <v>1.4006167860903208E-5</v>
      </c>
      <c r="AF82" s="128">
        <f t="shared" ca="1" si="152"/>
        <v>8169371.3945902148</v>
      </c>
      <c r="AG82" s="128">
        <f t="shared" ca="1" si="152"/>
        <v>0</v>
      </c>
      <c r="AH82" s="33"/>
      <c r="AI82" s="33">
        <f ca="1">+SUM(AJ82:AR82)</f>
        <v>221752349.34810919</v>
      </c>
      <c r="AJ82" s="128">
        <f t="shared" ref="AJ82:AR82" ca="1" si="153">+AJ24+AJ45+AJ64+AJ71+AJ76+AJ80+AJ31</f>
        <v>19874033.949583188</v>
      </c>
      <c r="AK82" s="128">
        <f t="shared" ca="1" si="153"/>
        <v>88918495.21241726</v>
      </c>
      <c r="AL82" s="128">
        <f t="shared" ca="1" si="153"/>
        <v>35528934.379400946</v>
      </c>
      <c r="AM82" s="128">
        <f t="shared" ca="1" si="153"/>
        <v>33291800.608584289</v>
      </c>
      <c r="AN82" s="128">
        <f t="shared" ca="1" si="153"/>
        <v>0</v>
      </c>
      <c r="AO82" s="128">
        <f t="shared" ca="1" si="153"/>
        <v>34707814.198342048</v>
      </c>
      <c r="AP82" s="128">
        <f t="shared" ca="1" si="153"/>
        <v>1.4329553248558267E-5</v>
      </c>
      <c r="AQ82" s="128">
        <f t="shared" ca="1" si="153"/>
        <v>9431270.9997671284</v>
      </c>
      <c r="AR82" s="128">
        <f t="shared" ca="1" si="153"/>
        <v>0</v>
      </c>
      <c r="AT82" s="33">
        <f ca="1">+SUM(AU82:BC82)</f>
        <v>397494231.33724988</v>
      </c>
      <c r="AU82" s="128">
        <f t="shared" ref="AU82:BC82" ca="1" si="154">+AU24+AU45+AU64+AU71+AU76+AU80+AU31</f>
        <v>25811527.41680558</v>
      </c>
      <c r="AV82" s="128">
        <f t="shared" ca="1" si="154"/>
        <v>114965644.88041554</v>
      </c>
      <c r="AW82" s="128">
        <f t="shared" ca="1" si="154"/>
        <v>19655999.820918392</v>
      </c>
      <c r="AX82" s="128">
        <f t="shared" ca="1" si="154"/>
        <v>6193994.1406005817</v>
      </c>
      <c r="AY82" s="128">
        <f t="shared" ca="1" si="154"/>
        <v>18874786.777845979</v>
      </c>
      <c r="AZ82" s="128">
        <f t="shared" ca="1" si="154"/>
        <v>155012434.24978614</v>
      </c>
      <c r="BA82" s="128">
        <f t="shared" ca="1" si="154"/>
        <v>43192791.940696955</v>
      </c>
      <c r="BB82" s="128">
        <f t="shared" ca="1" si="154"/>
        <v>4995484.7801650334</v>
      </c>
      <c r="BC82" s="128">
        <f t="shared" ca="1" si="154"/>
        <v>8791567.3300157301</v>
      </c>
    </row>
    <row r="83" spans="2:55" x14ac:dyDescent="0.2">
      <c r="B83" s="34" t="s">
        <v>382</v>
      </c>
      <c r="C83" s="34"/>
      <c r="D83" s="34"/>
      <c r="E83" s="34"/>
      <c r="F83" s="105">
        <f ca="1">+G83/($G$10-SUM($G$18:$G$19))</f>
        <v>247.25776147833736</v>
      </c>
      <c r="G83" s="35">
        <f ca="1">+G82-(SUM(G42:G43)*(1+$D$44))</f>
        <v>1004326905.5539223</v>
      </c>
      <c r="H83" s="128">
        <f ca="1">+H82-(SUM(H42:H43)*(1+$D$44))</f>
        <v>395302710.56376326</v>
      </c>
      <c r="I83" s="128">
        <f ca="1">+I82-(SUM(I42:I43)*(1+$D$44))</f>
        <v>215962523.34810922</v>
      </c>
      <c r="J83" s="128">
        <f ca="1">+J82-(SUM(J42:J43)*(1+$D$44))</f>
        <v>393061671.64204997</v>
      </c>
      <c r="M83" s="128"/>
      <c r="N83" s="128"/>
      <c r="O83" s="128"/>
      <c r="P83" s="128"/>
      <c r="Q83" s="128"/>
      <c r="R83" s="128"/>
      <c r="S83" s="128"/>
      <c r="T83" s="128"/>
      <c r="U83" s="128"/>
      <c r="X83" s="40"/>
      <c r="Y83" s="128"/>
      <c r="Z83" s="128"/>
      <c r="AA83" s="128"/>
      <c r="AB83" s="128"/>
      <c r="AC83" s="128"/>
      <c r="AD83" s="128"/>
      <c r="AE83" s="128"/>
      <c r="AF83" s="128"/>
      <c r="AG83" s="128"/>
      <c r="AI83" s="40"/>
      <c r="AJ83" s="128"/>
      <c r="AK83" s="128"/>
      <c r="AL83" s="128"/>
      <c r="AM83" s="128"/>
      <c r="AN83" s="128"/>
      <c r="AO83" s="128"/>
      <c r="AP83" s="128"/>
      <c r="AQ83" s="128"/>
      <c r="AR83" s="128"/>
      <c r="AT83" s="40"/>
      <c r="AU83" s="128"/>
      <c r="AV83" s="128"/>
      <c r="AW83" s="128"/>
      <c r="AX83" s="128"/>
      <c r="AY83" s="128"/>
      <c r="AZ83" s="128"/>
      <c r="BA83" s="128"/>
      <c r="BB83" s="128"/>
      <c r="BC83" s="128"/>
    </row>
    <row r="84" spans="2:55" x14ac:dyDescent="0.2">
      <c r="G84" s="27"/>
      <c r="H84" s="33"/>
      <c r="I84" s="115"/>
      <c r="L84" s="18"/>
      <c r="X84" s="40"/>
      <c r="Y84" s="40"/>
      <c r="Z84" s="40"/>
      <c r="AA84" s="40"/>
      <c r="AB84" s="40"/>
      <c r="AC84" s="40"/>
      <c r="AD84" s="40"/>
      <c r="AE84" s="40"/>
      <c r="AF84" s="40"/>
      <c r="AG84" s="40"/>
    </row>
    <row r="85" spans="2:55" x14ac:dyDescent="0.2">
      <c r="H85" s="33"/>
      <c r="I85" s="33"/>
      <c r="J85" s="33"/>
      <c r="L85" s="212" t="s">
        <v>385</v>
      </c>
      <c r="M85" s="213">
        <f t="shared" ref="M85:U85" ca="1" si="155">+IFERROR(M82/SUM(M11:M19),"")</f>
        <v>229.41716850751058</v>
      </c>
      <c r="N85" s="213">
        <f t="shared" ca="1" si="155"/>
        <v>255.41090272519182</v>
      </c>
      <c r="O85" s="213">
        <f t="shared" ca="1" si="155"/>
        <v>235.5390884034793</v>
      </c>
      <c r="P85" s="213">
        <f t="shared" ca="1" si="155"/>
        <v>262.13057747402786</v>
      </c>
      <c r="Q85" s="213">
        <f t="shared" ca="1" si="155"/>
        <v>230.25093680018918</v>
      </c>
      <c r="R85" s="213">
        <f t="shared" ca="1" si="155"/>
        <v>244.02195515161114</v>
      </c>
      <c r="S85" s="213">
        <f t="shared" ca="1" si="155"/>
        <v>184.50167133200409</v>
      </c>
      <c r="T85" s="213">
        <f t="shared" ca="1" si="155"/>
        <v>95.400264481370002</v>
      </c>
      <c r="U85" s="213">
        <f t="shared" ca="1" si="155"/>
        <v>58.570738323852609</v>
      </c>
      <c r="V85" s="48"/>
      <c r="X85" s="40"/>
      <c r="Y85" s="40"/>
      <c r="Z85" s="40"/>
      <c r="AA85" s="40"/>
      <c r="AB85" s="40"/>
      <c r="AC85" s="40"/>
      <c r="AD85" s="40"/>
      <c r="AE85" s="40"/>
      <c r="AF85" s="40"/>
      <c r="AG85" s="40"/>
    </row>
    <row r="86" spans="2:55" s="40" customFormat="1" x14ac:dyDescent="0.2">
      <c r="H86" s="33"/>
      <c r="I86" s="33"/>
      <c r="J86" s="33"/>
      <c r="L86" s="214" t="s">
        <v>496</v>
      </c>
      <c r="M86" s="387">
        <f ca="1">+M45/SUM(M11:M19)</f>
        <v>185.42357748740451</v>
      </c>
      <c r="N86" s="387">
        <f t="shared" ref="N86:U86" ca="1" si="156">+N45/SUM(N11:N19)</f>
        <v>196.32868902175727</v>
      </c>
      <c r="O86" s="387">
        <f t="shared" ca="1" si="156"/>
        <v>177.90602323803031</v>
      </c>
      <c r="P86" s="387">
        <f t="shared" ca="1" si="156"/>
        <v>198.11095465308128</v>
      </c>
      <c r="Q86" s="387">
        <f t="shared" ca="1" si="156"/>
        <v>180.39648574759181</v>
      </c>
      <c r="R86" s="387">
        <f t="shared" ca="1" si="156"/>
        <v>181.32830176981111</v>
      </c>
      <c r="S86" s="387">
        <f t="shared" ca="1" si="156"/>
        <v>125.02091447999999</v>
      </c>
      <c r="T86" s="387">
        <f t="shared" ca="1" si="156"/>
        <v>54.358084229910283</v>
      </c>
      <c r="U86" s="387">
        <f t="shared" ca="1" si="156"/>
        <v>11.365537679999999</v>
      </c>
      <c r="V86" s="48"/>
    </row>
    <row r="87" spans="2:55" x14ac:dyDescent="0.2">
      <c r="H87" s="33"/>
      <c r="L87" s="214" t="s">
        <v>384</v>
      </c>
      <c r="M87" s="215">
        <f ca="1">+M82/'Assumptions and Sensis'!$M$67</f>
        <v>195925.7187449621</v>
      </c>
      <c r="N87" s="215">
        <f ca="1">+N82/'Assumptions and Sensis'!$M$68</f>
        <v>218124.75943837027</v>
      </c>
      <c r="O87" s="190"/>
      <c r="P87" s="215">
        <f ca="1">+P82/'Assumptions and Sensis'!$M$69</f>
        <v>152726.73546291617</v>
      </c>
      <c r="Q87" s="190"/>
      <c r="R87" s="190"/>
      <c r="S87" s="190"/>
      <c r="T87" s="215">
        <f ca="1">+T82/'Assumptions and Sensis'!$M$70</f>
        <v>31482.087278852097</v>
      </c>
      <c r="U87" s="215">
        <f ca="1">+U82/'Assumptions and Sensis'!$M$71</f>
        <v>19328.343646871359</v>
      </c>
      <c r="X87" s="40"/>
      <c r="Y87" s="40"/>
      <c r="Z87" s="40"/>
      <c r="AA87" s="40"/>
      <c r="AB87" s="40"/>
      <c r="AC87" s="40"/>
      <c r="AD87" s="40"/>
      <c r="AE87" s="40"/>
      <c r="AF87" s="40"/>
      <c r="AG87" s="40"/>
    </row>
    <row r="88" spans="2:55" x14ac:dyDescent="0.2">
      <c r="L88" s="216" t="s">
        <v>383</v>
      </c>
      <c r="M88" s="217">
        <f ca="1">+M45/'Assumptions and Sensis'!$M$67</f>
        <v>158354.52912188027</v>
      </c>
      <c r="N88" s="217">
        <f ca="1">+N45/'Assumptions and Sensis'!$M$68</f>
        <v>167667.65868956604</v>
      </c>
      <c r="O88" s="191"/>
      <c r="P88" s="217">
        <f ca="1">+P45/'Assumptions and Sensis'!$M$69</f>
        <v>115426.59255998016</v>
      </c>
      <c r="Q88" s="191"/>
      <c r="R88" s="191"/>
      <c r="S88" s="191"/>
      <c r="T88" s="217">
        <f ca="1">+T45/'Assumptions and Sensis'!$M$70</f>
        <v>17938.167795870391</v>
      </c>
      <c r="U88" s="217">
        <f ca="1">+U45/'Assumptions and Sensis'!$M$71</f>
        <v>3750.6274343999999</v>
      </c>
      <c r="X88" s="40"/>
      <c r="Y88" s="40"/>
      <c r="Z88" s="40"/>
      <c r="AA88" s="40"/>
      <c r="AB88" s="40"/>
      <c r="AC88" s="40"/>
      <c r="AD88" s="40"/>
      <c r="AE88" s="40"/>
      <c r="AF88" s="40"/>
      <c r="AG88" s="40"/>
    </row>
    <row r="89" spans="2:55" x14ac:dyDescent="0.2">
      <c r="X89" s="40"/>
      <c r="Y89" s="40"/>
      <c r="Z89" s="40"/>
      <c r="AA89" s="40"/>
      <c r="AB89" s="40"/>
      <c r="AC89" s="40"/>
      <c r="AD89" s="40"/>
      <c r="AE89" s="40"/>
      <c r="AF89" s="40"/>
      <c r="AG89" s="40"/>
    </row>
    <row r="90" spans="2:55" x14ac:dyDescent="0.2">
      <c r="X90" s="40"/>
      <c r="Y90" s="40"/>
      <c r="Z90" s="40"/>
      <c r="AA90" s="40"/>
      <c r="AB90" s="40"/>
      <c r="AC90" s="40"/>
      <c r="AD90" s="40"/>
      <c r="AE90" s="40"/>
      <c r="AF90" s="40"/>
      <c r="AG90" s="40"/>
    </row>
    <row r="91" spans="2:55" x14ac:dyDescent="0.2">
      <c r="X91" s="40"/>
      <c r="Y91" s="40"/>
      <c r="Z91" s="40"/>
      <c r="AA91" s="40"/>
      <c r="AB91" s="40"/>
      <c r="AC91" s="40"/>
      <c r="AD91" s="40"/>
      <c r="AE91" s="40"/>
      <c r="AF91" s="40"/>
      <c r="AG91" s="40"/>
    </row>
    <row r="92" spans="2:55" x14ac:dyDescent="0.2">
      <c r="X92" s="40"/>
      <c r="Y92" s="40"/>
      <c r="Z92" s="40"/>
      <c r="AA92" s="40"/>
      <c r="AB92" s="40"/>
      <c r="AC92" s="40"/>
      <c r="AD92" s="40"/>
      <c r="AE92" s="40"/>
      <c r="AF92" s="40"/>
      <c r="AG92" s="40"/>
    </row>
    <row r="93" spans="2:55" x14ac:dyDescent="0.2">
      <c r="X93" s="40"/>
      <c r="Y93" s="40"/>
      <c r="Z93" s="40"/>
      <c r="AA93" s="40"/>
      <c r="AB93" s="40"/>
      <c r="AC93" s="40"/>
      <c r="AD93" s="40"/>
      <c r="AE93" s="40"/>
      <c r="AF93" s="40"/>
      <c r="AG93" s="40"/>
    </row>
    <row r="94" spans="2:55" x14ac:dyDescent="0.2">
      <c r="X94" s="40"/>
      <c r="Y94" s="40"/>
      <c r="Z94" s="40"/>
      <c r="AA94" s="40"/>
      <c r="AB94" s="40"/>
      <c r="AC94" s="40"/>
      <c r="AD94" s="40"/>
      <c r="AE94" s="40"/>
      <c r="AF94" s="40"/>
      <c r="AG94" s="40"/>
    </row>
    <row r="95" spans="2:55" x14ac:dyDescent="0.2">
      <c r="X95" s="40"/>
      <c r="Y95" s="40"/>
      <c r="Z95" s="40"/>
      <c r="AA95" s="40"/>
      <c r="AB95" s="40"/>
      <c r="AC95" s="40"/>
      <c r="AD95" s="40"/>
      <c r="AE95" s="40"/>
      <c r="AF95" s="40"/>
      <c r="AG95" s="40"/>
    </row>
    <row r="96" spans="2:55" x14ac:dyDescent="0.2">
      <c r="X96" s="40"/>
      <c r="Y96" s="40"/>
      <c r="Z96" s="40"/>
      <c r="AA96" s="40"/>
      <c r="AB96" s="40"/>
      <c r="AC96" s="40"/>
      <c r="AD96" s="40"/>
      <c r="AE96" s="40"/>
      <c r="AF96" s="40"/>
      <c r="AG96" s="40"/>
    </row>
  </sheetData>
  <mergeCells count="4">
    <mergeCell ref="M2:U2"/>
    <mergeCell ref="Y2:AG2"/>
    <mergeCell ref="AJ2:AR2"/>
    <mergeCell ref="AU2:BC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2:W66"/>
  <sheetViews>
    <sheetView showGridLines="0" topLeftCell="J18" zoomScale="51" zoomScaleNormal="70" workbookViewId="0">
      <selection activeCell="L13" sqref="L13:W27"/>
    </sheetView>
  </sheetViews>
  <sheetFormatPr baseColWidth="10" defaultColWidth="10.83203125" defaultRowHeight="16" x14ac:dyDescent="0.2"/>
  <cols>
    <col min="1" max="1" width="10.83203125" style="204"/>
    <col min="2" max="2" width="33.1640625" style="204" bestFit="1" customWidth="1"/>
    <col min="3" max="3" width="36.1640625" style="204" bestFit="1" customWidth="1"/>
    <col min="4" max="4" width="11.5" style="204" bestFit="1" customWidth="1"/>
    <col min="5" max="5" width="13.1640625" style="204" bestFit="1" customWidth="1"/>
    <col min="6" max="6" width="12.83203125" style="204" bestFit="1" customWidth="1"/>
    <col min="7" max="8" width="14.5" style="204" bestFit="1" customWidth="1"/>
    <col min="9" max="9" width="14.1640625" style="204" customWidth="1"/>
    <col min="10" max="10" width="23.5" style="204" bestFit="1" customWidth="1"/>
    <col min="11" max="11" width="10.83203125" style="204"/>
    <col min="12" max="12" width="16.6640625" style="204" customWidth="1"/>
    <col min="13" max="13" width="23.83203125" style="204" customWidth="1"/>
    <col min="14" max="23" width="16.6640625" style="204" customWidth="1"/>
    <col min="24" max="16384" width="10.83203125" style="204"/>
  </cols>
  <sheetData>
    <row r="2" spans="2:23" ht="17" thickBot="1" x14ac:dyDescent="0.25"/>
    <row r="3" spans="2:23" x14ac:dyDescent="0.2">
      <c r="B3" s="432" t="s">
        <v>511</v>
      </c>
      <c r="C3" s="433"/>
      <c r="D3" s="433"/>
      <c r="E3" s="433"/>
      <c r="F3" s="433"/>
      <c r="G3" s="433"/>
      <c r="H3" s="433"/>
      <c r="I3" s="433"/>
      <c r="J3" s="434"/>
      <c r="Q3" s="1058" t="s">
        <v>912</v>
      </c>
      <c r="R3" s="1058"/>
      <c r="S3" s="1058"/>
      <c r="T3" s="1058"/>
      <c r="U3" s="1058"/>
    </row>
    <row r="4" spans="2:23" x14ac:dyDescent="0.2">
      <c r="B4" s="409"/>
      <c r="C4" s="421"/>
      <c r="D4" s="421" t="s">
        <v>512</v>
      </c>
      <c r="E4" s="421"/>
      <c r="F4" s="421" t="s">
        <v>242</v>
      </c>
      <c r="G4" s="421" t="s">
        <v>202</v>
      </c>
      <c r="H4" s="421" t="s">
        <v>240</v>
      </c>
      <c r="I4" s="421" t="s">
        <v>241</v>
      </c>
      <c r="J4" s="422" t="s">
        <v>17</v>
      </c>
      <c r="Q4" s="833">
        <v>2018</v>
      </c>
      <c r="R4" s="833">
        <v>2019</v>
      </c>
      <c r="S4" s="833" t="s">
        <v>818</v>
      </c>
      <c r="T4" s="833" t="s">
        <v>810</v>
      </c>
      <c r="U4" s="833" t="s">
        <v>819</v>
      </c>
    </row>
    <row r="5" spans="2:23" x14ac:dyDescent="0.2">
      <c r="B5" s="435" t="s">
        <v>555</v>
      </c>
      <c r="C5" s="421"/>
      <c r="D5" s="421"/>
      <c r="E5" s="421"/>
      <c r="F5" s="421"/>
      <c r="G5" s="421"/>
      <c r="H5" s="421"/>
      <c r="I5" s="421"/>
      <c r="J5" s="422"/>
      <c r="P5" s="32" t="s">
        <v>821</v>
      </c>
      <c r="Q5" s="423">
        <v>1666000</v>
      </c>
      <c r="R5" s="423">
        <v>1627000</v>
      </c>
      <c r="S5" s="423">
        <v>3293000</v>
      </c>
      <c r="T5" s="423">
        <v>8361000</v>
      </c>
      <c r="U5" s="423">
        <f>+T5-S5</f>
        <v>5068000</v>
      </c>
    </row>
    <row r="6" spans="2:23" x14ac:dyDescent="0.2">
      <c r="B6" s="413" t="s">
        <v>514</v>
      </c>
      <c r="C6" s="443"/>
      <c r="D6" s="470" t="s">
        <v>43</v>
      </c>
      <c r="E6" s="443"/>
      <c r="F6" s="443"/>
      <c r="G6" s="326">
        <f>$C32*G32</f>
        <v>8700000</v>
      </c>
      <c r="H6" s="326">
        <f t="shared" ref="H6:I6" si="0">$C32*H32</f>
        <v>8010000</v>
      </c>
      <c r="I6" s="326">
        <f t="shared" si="0"/>
        <v>0</v>
      </c>
      <c r="J6" s="436">
        <f>SUM(G6:I6)</f>
        <v>16710000</v>
      </c>
      <c r="P6" s="32" t="s">
        <v>820</v>
      </c>
      <c r="Q6" s="423">
        <v>16832800</v>
      </c>
      <c r="R6" s="423">
        <v>17552800</v>
      </c>
      <c r="S6" s="423">
        <v>34385600</v>
      </c>
      <c r="T6" s="423">
        <v>111198900</v>
      </c>
      <c r="U6" s="423">
        <f t="shared" ref="U6:U11" si="1">+T6-S6</f>
        <v>76813300</v>
      </c>
    </row>
    <row r="7" spans="2:23" x14ac:dyDescent="0.2">
      <c r="B7" s="413" t="s">
        <v>515</v>
      </c>
      <c r="C7" s="443"/>
      <c r="D7" s="470" t="s">
        <v>43</v>
      </c>
      <c r="E7" s="443"/>
      <c r="F7" s="443"/>
      <c r="G7" s="326">
        <f t="shared" ref="G7:I7" si="2">$C33*G33</f>
        <v>292500</v>
      </c>
      <c r="H7" s="326">
        <f t="shared" si="2"/>
        <v>337500</v>
      </c>
      <c r="I7" s="326">
        <f t="shared" si="2"/>
        <v>3900000</v>
      </c>
      <c r="J7" s="436">
        <f t="shared" ref="J7:J8" si="3">SUM(G7:I7)</f>
        <v>4530000</v>
      </c>
      <c r="P7" s="32" t="s">
        <v>822</v>
      </c>
      <c r="Q7" s="423">
        <v>2035800</v>
      </c>
      <c r="R7" s="423">
        <v>1492000</v>
      </c>
      <c r="S7" s="423">
        <v>3527800</v>
      </c>
      <c r="T7" s="423">
        <v>7200300</v>
      </c>
      <c r="U7" s="423">
        <f t="shared" si="1"/>
        <v>3672500</v>
      </c>
    </row>
    <row r="8" spans="2:23" x14ac:dyDescent="0.2">
      <c r="B8" s="413" t="s">
        <v>516</v>
      </c>
      <c r="C8" s="443"/>
      <c r="D8" s="470" t="s">
        <v>41</v>
      </c>
      <c r="E8" s="443"/>
      <c r="F8" s="443"/>
      <c r="G8" s="326">
        <f t="shared" ref="G8:I10" si="4">$C34*G34</f>
        <v>0</v>
      </c>
      <c r="H8" s="326">
        <f t="shared" si="4"/>
        <v>670000</v>
      </c>
      <c r="I8" s="326">
        <f t="shared" si="4"/>
        <v>5030000</v>
      </c>
      <c r="J8" s="436">
        <f t="shared" si="3"/>
        <v>5700000</v>
      </c>
      <c r="P8" s="32" t="s">
        <v>814</v>
      </c>
      <c r="Q8" s="423">
        <v>356700</v>
      </c>
      <c r="R8" s="423">
        <v>500000</v>
      </c>
      <c r="S8" s="423">
        <v>856700</v>
      </c>
      <c r="T8" s="423">
        <v>2497700</v>
      </c>
      <c r="U8" s="423">
        <f t="shared" si="1"/>
        <v>1641000</v>
      </c>
    </row>
    <row r="9" spans="2:23" x14ac:dyDescent="0.2">
      <c r="B9" s="414" t="s">
        <v>44</v>
      </c>
      <c r="C9" s="443"/>
      <c r="D9" s="470"/>
      <c r="E9" s="443"/>
      <c r="F9" s="443"/>
      <c r="G9" s="326"/>
      <c r="H9" s="326"/>
      <c r="I9" s="326"/>
      <c r="J9" s="436"/>
      <c r="P9" s="32" t="s">
        <v>815</v>
      </c>
      <c r="Q9" s="423">
        <v>287500</v>
      </c>
      <c r="R9" s="423">
        <v>504000</v>
      </c>
      <c r="S9" s="423">
        <v>791500</v>
      </c>
      <c r="T9" s="423">
        <v>2577500</v>
      </c>
      <c r="U9" s="423">
        <f t="shared" si="1"/>
        <v>1786000</v>
      </c>
    </row>
    <row r="10" spans="2:23" x14ac:dyDescent="0.2">
      <c r="B10" s="413" t="s">
        <v>518</v>
      </c>
      <c r="C10" s="443"/>
      <c r="D10" s="470" t="s">
        <v>43</v>
      </c>
      <c r="E10" s="443"/>
      <c r="F10" s="443"/>
      <c r="G10" s="326">
        <f t="shared" si="4"/>
        <v>0</v>
      </c>
      <c r="H10" s="326">
        <f t="shared" si="4"/>
        <v>322000</v>
      </c>
      <c r="I10" s="326">
        <f t="shared" si="4"/>
        <v>1176000</v>
      </c>
      <c r="J10" s="436">
        <f t="shared" ref="J10:J22" si="5">SUM(G10:I10)</f>
        <v>1498000</v>
      </c>
      <c r="P10" s="32" t="s">
        <v>816</v>
      </c>
      <c r="Q10" s="423">
        <v>230000</v>
      </c>
      <c r="R10" s="423">
        <v>255000</v>
      </c>
      <c r="S10" s="423">
        <v>485000</v>
      </c>
      <c r="T10" s="423">
        <v>1865500</v>
      </c>
      <c r="U10" s="423">
        <f t="shared" si="1"/>
        <v>1380500</v>
      </c>
    </row>
    <row r="11" spans="2:23" x14ac:dyDescent="0.2">
      <c r="B11" s="413" t="s">
        <v>519</v>
      </c>
      <c r="C11" s="443"/>
      <c r="D11" s="470"/>
      <c r="E11" s="443"/>
      <c r="F11" s="443"/>
      <c r="G11" s="326"/>
      <c r="H11" s="326"/>
      <c r="I11" s="326"/>
      <c r="J11" s="436"/>
      <c r="P11" s="32" t="s">
        <v>817</v>
      </c>
      <c r="Q11" s="423">
        <v>9000</v>
      </c>
      <c r="R11" s="423">
        <v>100000</v>
      </c>
      <c r="S11" s="423">
        <v>109000</v>
      </c>
      <c r="T11" s="423">
        <v>509000</v>
      </c>
      <c r="U11" s="423">
        <f t="shared" si="1"/>
        <v>400000</v>
      </c>
    </row>
    <row r="12" spans="2:23" x14ac:dyDescent="0.2">
      <c r="B12" s="415" t="s">
        <v>520</v>
      </c>
      <c r="C12" s="443"/>
      <c r="D12" s="470" t="s">
        <v>41</v>
      </c>
      <c r="E12" s="443"/>
      <c r="F12" s="443"/>
      <c r="G12" s="326">
        <f t="shared" ref="G12:I12" si="6">$C38*G38</f>
        <v>3520000</v>
      </c>
      <c r="H12" s="326">
        <f t="shared" si="6"/>
        <v>0</v>
      </c>
      <c r="I12" s="326">
        <f t="shared" si="6"/>
        <v>0</v>
      </c>
      <c r="J12" s="436">
        <f t="shared" ref="J12:J14" si="7">SUM(G12:I12)</f>
        <v>3520000</v>
      </c>
    </row>
    <row r="13" spans="2:23" x14ac:dyDescent="0.2">
      <c r="B13" s="415" t="s">
        <v>521</v>
      </c>
      <c r="C13" s="443"/>
      <c r="D13" s="470" t="s">
        <v>41</v>
      </c>
      <c r="E13" s="443"/>
      <c r="F13" s="443"/>
      <c r="G13" s="326">
        <f t="shared" ref="G13:I13" si="8">$C39*G39</f>
        <v>900000</v>
      </c>
      <c r="H13" s="326">
        <f t="shared" si="8"/>
        <v>2628000</v>
      </c>
      <c r="I13" s="326">
        <f t="shared" si="8"/>
        <v>0</v>
      </c>
      <c r="J13" s="436">
        <f t="shared" si="7"/>
        <v>3528000</v>
      </c>
      <c r="L13" s="147" t="s">
        <v>808</v>
      </c>
      <c r="M13" s="40"/>
      <c r="N13" s="40"/>
      <c r="O13" s="40"/>
      <c r="P13" s="149"/>
      <c r="Q13" s="833">
        <v>2018</v>
      </c>
      <c r="R13" s="833">
        <v>2019</v>
      </c>
      <c r="S13" s="833">
        <f>+R13+1</f>
        <v>2020</v>
      </c>
      <c r="T13" s="833">
        <f>+S13+1</f>
        <v>2021</v>
      </c>
      <c r="U13" s="833">
        <f>+T13+1</f>
        <v>2022</v>
      </c>
      <c r="V13" s="833">
        <f>+U13+1</f>
        <v>2023</v>
      </c>
      <c r="W13" s="833">
        <f>+V13+1</f>
        <v>2024</v>
      </c>
    </row>
    <row r="14" spans="2:23" x14ac:dyDescent="0.2">
      <c r="B14" s="415" t="s">
        <v>522</v>
      </c>
      <c r="C14" s="443"/>
      <c r="D14" s="470" t="s">
        <v>41</v>
      </c>
      <c r="E14" s="443"/>
      <c r="F14" s="443"/>
      <c r="G14" s="326">
        <f t="shared" ref="G14:I16" si="9">$C40*G40</f>
        <v>0</v>
      </c>
      <c r="H14" s="326">
        <f t="shared" si="9"/>
        <v>462000</v>
      </c>
      <c r="I14" s="326">
        <f t="shared" si="9"/>
        <v>9604000</v>
      </c>
      <c r="J14" s="436">
        <f t="shared" si="7"/>
        <v>10066000</v>
      </c>
      <c r="L14" s="32" t="s">
        <v>826</v>
      </c>
      <c r="M14" s="40"/>
      <c r="N14" s="47"/>
      <c r="O14" s="40"/>
      <c r="P14" s="47">
        <f t="shared" ref="P14:P19" si="10">+SUM(Q14:W14)</f>
        <v>5700000</v>
      </c>
      <c r="Q14" s="150">
        <v>0</v>
      </c>
      <c r="R14" s="150">
        <f>+$J$8/6</f>
        <v>950000</v>
      </c>
      <c r="S14" s="150">
        <f t="shared" ref="S14:W14" si="11">+$J$8/6</f>
        <v>950000</v>
      </c>
      <c r="T14" s="150">
        <f t="shared" si="11"/>
        <v>950000</v>
      </c>
      <c r="U14" s="150">
        <f t="shared" si="11"/>
        <v>950000</v>
      </c>
      <c r="V14" s="150">
        <f t="shared" si="11"/>
        <v>950000</v>
      </c>
      <c r="W14" s="150">
        <f t="shared" si="11"/>
        <v>950000</v>
      </c>
    </row>
    <row r="15" spans="2:23" x14ac:dyDescent="0.2">
      <c r="B15" s="414" t="s">
        <v>523</v>
      </c>
      <c r="C15" s="443"/>
      <c r="D15" s="470" t="s">
        <v>43</v>
      </c>
      <c r="E15" s="443"/>
      <c r="F15" s="443"/>
      <c r="G15" s="326">
        <f t="shared" si="9"/>
        <v>0</v>
      </c>
      <c r="H15" s="326">
        <f t="shared" si="9"/>
        <v>0</v>
      </c>
      <c r="I15" s="326">
        <f t="shared" si="9"/>
        <v>4000000</v>
      </c>
      <c r="J15" s="436">
        <f t="shared" si="5"/>
        <v>4000000</v>
      </c>
      <c r="L15" s="32" t="s">
        <v>910</v>
      </c>
      <c r="M15" s="40"/>
      <c r="N15" s="24"/>
      <c r="O15" s="40"/>
      <c r="P15" s="852">
        <f>+SUM(Q15:W15)</f>
        <v>-5000000</v>
      </c>
      <c r="Q15" s="150">
        <v>0</v>
      </c>
      <c r="R15" s="150">
        <f>-5000000/6</f>
        <v>-833333.33333333337</v>
      </c>
      <c r="S15" s="150">
        <f t="shared" ref="S15:W15" si="12">-5000000/6</f>
        <v>-833333.33333333337</v>
      </c>
      <c r="T15" s="150">
        <f t="shared" si="12"/>
        <v>-833333.33333333337</v>
      </c>
      <c r="U15" s="150">
        <f t="shared" si="12"/>
        <v>-833333.33333333337</v>
      </c>
      <c r="V15" s="150">
        <f t="shared" si="12"/>
        <v>-833333.33333333337</v>
      </c>
      <c r="W15" s="150">
        <f t="shared" si="12"/>
        <v>-833333.33333333337</v>
      </c>
    </row>
    <row r="16" spans="2:23" x14ac:dyDescent="0.2">
      <c r="B16" s="414" t="s">
        <v>908</v>
      </c>
      <c r="C16" s="443"/>
      <c r="D16" s="470" t="s">
        <v>43</v>
      </c>
      <c r="E16" s="443"/>
      <c r="F16" s="443"/>
      <c r="G16" s="326">
        <f t="shared" si="9"/>
        <v>0</v>
      </c>
      <c r="H16" s="326">
        <f t="shared" si="9"/>
        <v>0</v>
      </c>
      <c r="I16" s="326">
        <f t="shared" si="9"/>
        <v>3000000</v>
      </c>
      <c r="J16" s="436">
        <f t="shared" ref="J16" si="13">SUM(G16:I16)</f>
        <v>3000000</v>
      </c>
      <c r="L16" s="853" t="s">
        <v>911</v>
      </c>
      <c r="M16" s="853"/>
      <c r="N16" s="853"/>
      <c r="O16" s="853"/>
      <c r="P16" s="959">
        <f>+SUM(Q16:W16)</f>
        <v>699999.99999999977</v>
      </c>
      <c r="Q16" s="854">
        <f>+SUM(Q14:Q15)</f>
        <v>0</v>
      </c>
      <c r="R16" s="854">
        <f t="shared" ref="R16:W16" si="14">+SUM(R14:R15)</f>
        <v>116666.66666666663</v>
      </c>
      <c r="S16" s="854">
        <f t="shared" si="14"/>
        <v>116666.66666666663</v>
      </c>
      <c r="T16" s="854">
        <f t="shared" si="14"/>
        <v>116666.66666666663</v>
      </c>
      <c r="U16" s="854">
        <f t="shared" si="14"/>
        <v>116666.66666666663</v>
      </c>
      <c r="V16" s="854">
        <f t="shared" si="14"/>
        <v>116666.66666666663</v>
      </c>
      <c r="W16" s="854">
        <f t="shared" si="14"/>
        <v>116666.66666666663</v>
      </c>
    </row>
    <row r="17" spans="1:23" x14ac:dyDescent="0.2">
      <c r="B17" s="414" t="s">
        <v>524</v>
      </c>
      <c r="C17" s="443"/>
      <c r="D17" s="470" t="s">
        <v>43</v>
      </c>
      <c r="E17" s="443"/>
      <c r="F17" s="443"/>
      <c r="G17" s="326">
        <f>$C43*G43</f>
        <v>240000</v>
      </c>
      <c r="H17" s="326">
        <f>$C43*H43</f>
        <v>200000</v>
      </c>
      <c r="I17" s="326">
        <f>$C43*I43</f>
        <v>200000</v>
      </c>
      <c r="J17" s="436">
        <f t="shared" si="5"/>
        <v>640000</v>
      </c>
      <c r="L17" s="32"/>
      <c r="M17" s="40"/>
      <c r="N17" s="24"/>
      <c r="O17" s="40"/>
      <c r="P17" s="47"/>
      <c r="Q17" s="150"/>
      <c r="R17" s="150"/>
      <c r="S17" s="150"/>
      <c r="T17" s="150"/>
      <c r="U17" s="150"/>
      <c r="V17" s="150"/>
      <c r="W17" s="150"/>
    </row>
    <row r="18" spans="1:23" ht="18" x14ac:dyDescent="0.2">
      <c r="A18" s="324"/>
      <c r="B18" s="414" t="s">
        <v>525</v>
      </c>
      <c r="C18" s="443"/>
      <c r="D18" s="470"/>
      <c r="E18" s="443"/>
      <c r="F18" s="443"/>
      <c r="G18" s="326"/>
      <c r="H18" s="326"/>
      <c r="I18" s="326"/>
      <c r="J18" s="436"/>
      <c r="K18" s="324"/>
      <c r="L18" s="32" t="s">
        <v>812</v>
      </c>
      <c r="M18" s="40"/>
      <c r="N18" s="24"/>
      <c r="O18" s="40"/>
      <c r="P18" s="47">
        <f t="shared" si="10"/>
        <v>9628000</v>
      </c>
      <c r="Q18" s="150">
        <v>1666000</v>
      </c>
      <c r="R18" s="150">
        <v>1627000</v>
      </c>
      <c r="S18" s="150">
        <f>($U$5)/4</f>
        <v>1267000</v>
      </c>
      <c r="T18" s="150">
        <f>($U$5)/4</f>
        <v>1267000</v>
      </c>
      <c r="U18" s="150">
        <f>($U$5)/4</f>
        <v>1267000</v>
      </c>
      <c r="V18" s="150">
        <f>($U$5)/4</f>
        <v>1267000</v>
      </c>
      <c r="W18" s="150">
        <f>+V18</f>
        <v>1267000</v>
      </c>
    </row>
    <row r="19" spans="1:23" ht="18" x14ac:dyDescent="0.2">
      <c r="B19" s="413" t="s">
        <v>526</v>
      </c>
      <c r="C19" s="443"/>
      <c r="D19" s="470" t="s">
        <v>43</v>
      </c>
      <c r="E19" s="443"/>
      <c r="F19" s="443"/>
      <c r="G19" s="326">
        <f t="shared" ref="G19:I22" si="15">$C45*G45</f>
        <v>360000</v>
      </c>
      <c r="H19" s="326">
        <f t="shared" si="15"/>
        <v>540000</v>
      </c>
      <c r="I19" s="326">
        <f t="shared" si="15"/>
        <v>450000</v>
      </c>
      <c r="J19" s="436">
        <f t="shared" si="5"/>
        <v>1350000</v>
      </c>
      <c r="L19" s="32" t="s">
        <v>823</v>
      </c>
      <c r="M19" s="40"/>
      <c r="N19" s="24"/>
      <c r="O19" s="40"/>
      <c r="P19" s="47">
        <f t="shared" si="10"/>
        <v>16870000</v>
      </c>
      <c r="Q19" s="150">
        <f>+SUM(Q7:Q11)</f>
        <v>2919000</v>
      </c>
      <c r="R19" s="150">
        <f>+SUM(R7:R11)</f>
        <v>2851000</v>
      </c>
      <c r="S19" s="150">
        <f>+SUM($U$7:$U$11)/4</f>
        <v>2220000</v>
      </c>
      <c r="T19" s="150">
        <f>+SUM($U$7:$U$11)/4</f>
        <v>2220000</v>
      </c>
      <c r="U19" s="150">
        <f>+SUM($U$7:$U$11)/4</f>
        <v>2220000</v>
      </c>
      <c r="V19" s="150">
        <f>+SUM($U$7:$U$11)/4</f>
        <v>2220000</v>
      </c>
      <c r="W19" s="835">
        <f>+V19</f>
        <v>2220000</v>
      </c>
    </row>
    <row r="20" spans="1:23" x14ac:dyDescent="0.2">
      <c r="B20" s="413" t="s">
        <v>527</v>
      </c>
      <c r="C20" s="443"/>
      <c r="D20" s="470" t="s">
        <v>43</v>
      </c>
      <c r="E20" s="443"/>
      <c r="F20" s="443"/>
      <c r="G20" s="326">
        <f t="shared" si="15"/>
        <v>22650</v>
      </c>
      <c r="H20" s="326">
        <f t="shared" si="15"/>
        <v>36240</v>
      </c>
      <c r="I20" s="326">
        <f t="shared" si="15"/>
        <v>18120</v>
      </c>
      <c r="J20" s="436">
        <f t="shared" si="5"/>
        <v>77010</v>
      </c>
      <c r="L20" s="137" t="s">
        <v>813</v>
      </c>
      <c r="M20" s="137"/>
      <c r="N20" s="137"/>
      <c r="O20" s="137"/>
      <c r="P20" s="138"/>
      <c r="Q20" s="834">
        <f>+Q16/SUM(Q18:Q19)</f>
        <v>0</v>
      </c>
      <c r="R20" s="834">
        <f t="shared" ref="R20:W20" si="16">+R16/SUM(R18:R19)</f>
        <v>2.605329760309661E-2</v>
      </c>
      <c r="S20" s="834">
        <f t="shared" si="16"/>
        <v>3.3457604435522405E-2</v>
      </c>
      <c r="T20" s="834">
        <f t="shared" si="16"/>
        <v>3.3457604435522405E-2</v>
      </c>
      <c r="U20" s="834">
        <f t="shared" si="16"/>
        <v>3.3457604435522405E-2</v>
      </c>
      <c r="V20" s="834">
        <f t="shared" si="16"/>
        <v>3.3457604435522405E-2</v>
      </c>
      <c r="W20" s="834">
        <f t="shared" si="16"/>
        <v>3.3457604435522405E-2</v>
      </c>
    </row>
    <row r="21" spans="1:23" x14ac:dyDescent="0.2">
      <c r="B21" s="413" t="s">
        <v>528</v>
      </c>
      <c r="C21" s="443"/>
      <c r="D21" s="470" t="s">
        <v>43</v>
      </c>
      <c r="E21" s="443"/>
      <c r="F21" s="443"/>
      <c r="G21" s="326">
        <f t="shared" si="15"/>
        <v>2000000</v>
      </c>
      <c r="H21" s="326">
        <f t="shared" si="15"/>
        <v>1000000</v>
      </c>
      <c r="I21" s="326">
        <f t="shared" si="15"/>
        <v>2000000</v>
      </c>
      <c r="J21" s="436">
        <f t="shared" si="5"/>
        <v>5000000</v>
      </c>
    </row>
    <row r="22" spans="1:23" x14ac:dyDescent="0.2">
      <c r="B22" s="416" t="s">
        <v>552</v>
      </c>
      <c r="C22" s="443"/>
      <c r="D22" s="470" t="s">
        <v>43</v>
      </c>
      <c r="E22" s="443"/>
      <c r="F22" s="443"/>
      <c r="G22" s="326">
        <f t="shared" si="15"/>
        <v>10240</v>
      </c>
      <c r="H22" s="326">
        <f t="shared" si="15"/>
        <v>15360</v>
      </c>
      <c r="I22" s="326">
        <f t="shared" si="15"/>
        <v>10240</v>
      </c>
      <c r="J22" s="436">
        <f t="shared" si="5"/>
        <v>35840</v>
      </c>
      <c r="L22" s="32" t="s">
        <v>827</v>
      </c>
      <c r="M22" s="40"/>
      <c r="N22" s="47"/>
      <c r="O22" s="40"/>
      <c r="P22" s="47">
        <f>+SUM(Q22:W22)</f>
        <v>17114000</v>
      </c>
      <c r="Q22" s="150">
        <v>0</v>
      </c>
      <c r="R22" s="150">
        <f>+SUM($J$12:$J$14)/6</f>
        <v>2852333.3333333335</v>
      </c>
      <c r="S22" s="150">
        <f t="shared" ref="S22:W22" si="17">+SUM($J$12:$J$14)/6</f>
        <v>2852333.3333333335</v>
      </c>
      <c r="T22" s="150">
        <f t="shared" si="17"/>
        <v>2852333.3333333335</v>
      </c>
      <c r="U22" s="150">
        <f t="shared" si="17"/>
        <v>2852333.3333333335</v>
      </c>
      <c r="V22" s="150">
        <f t="shared" si="17"/>
        <v>2852333.3333333335</v>
      </c>
      <c r="W22" s="150">
        <f t="shared" si="17"/>
        <v>2852333.3333333335</v>
      </c>
    </row>
    <row r="23" spans="1:23" ht="18" x14ac:dyDescent="0.2">
      <c r="B23" s="417" t="s">
        <v>62</v>
      </c>
      <c r="C23" s="443"/>
      <c r="D23" s="470" t="s">
        <v>43</v>
      </c>
      <c r="E23" s="443"/>
      <c r="F23" s="443"/>
      <c r="G23" s="326">
        <f>SUMIF($E$53:$I$53,"="&amp;G4,E66:I66)</f>
        <v>19728157.897872344</v>
      </c>
      <c r="H23" s="326">
        <f>SUMIF($E$53:$I$53,"="&amp;H4,E66:I66)</f>
        <v>0</v>
      </c>
      <c r="I23" s="326">
        <f>SUMIF($E$53:$I$53,"="&amp;I4,E66:I66)</f>
        <v>18326528.234042555</v>
      </c>
      <c r="J23" s="436">
        <f>SUM(G23:I23)</f>
        <v>38054686.131914899</v>
      </c>
      <c r="L23" s="32" t="s">
        <v>811</v>
      </c>
      <c r="M23" s="40"/>
      <c r="N23" s="24"/>
      <c r="O23" s="40"/>
      <c r="P23" s="47">
        <f>+SUM(Q23:W23)</f>
        <v>130402225</v>
      </c>
      <c r="Q23" s="150">
        <v>16832800</v>
      </c>
      <c r="R23" s="150">
        <v>17552800</v>
      </c>
      <c r="S23" s="150">
        <f>($U$6)/4</f>
        <v>19203325</v>
      </c>
      <c r="T23" s="150">
        <f>($U$6)/4</f>
        <v>19203325</v>
      </c>
      <c r="U23" s="150">
        <f>($U$6)/4</f>
        <v>19203325</v>
      </c>
      <c r="V23" s="150">
        <f>($U$6)/4</f>
        <v>19203325</v>
      </c>
      <c r="W23" s="835">
        <f>+V23</f>
        <v>19203325</v>
      </c>
    </row>
    <row r="24" spans="1:23" x14ac:dyDescent="0.2">
      <c r="B24" s="418" t="s">
        <v>529</v>
      </c>
      <c r="C24" s="410"/>
      <c r="D24" s="410" t="s">
        <v>43</v>
      </c>
      <c r="E24" s="410"/>
      <c r="F24" s="410"/>
      <c r="G24" s="439">
        <f t="shared" ref="G24:I25" si="18">SUMIF($D$6:$D$23,"="&amp;$D24,G$6:G$23)</f>
        <v>31353547.897872344</v>
      </c>
      <c r="H24" s="439">
        <f t="shared" si="18"/>
        <v>10461100</v>
      </c>
      <c r="I24" s="439">
        <f t="shared" si="18"/>
        <v>33080888.234042555</v>
      </c>
      <c r="J24" s="440">
        <f>SUM(G24:I24)</f>
        <v>74895536.131914899</v>
      </c>
      <c r="L24" s="137" t="s">
        <v>809</v>
      </c>
      <c r="M24" s="137"/>
      <c r="N24" s="137"/>
      <c r="O24" s="137"/>
      <c r="P24" s="138"/>
      <c r="Q24" s="834">
        <f>+Q22/Q23</f>
        <v>0</v>
      </c>
      <c r="R24" s="834">
        <f t="shared" ref="R24:W24" si="19">+R22/R23</f>
        <v>0.16250018990322532</v>
      </c>
      <c r="S24" s="834">
        <f t="shared" si="19"/>
        <v>0.1485333052132031</v>
      </c>
      <c r="T24" s="834">
        <f t="shared" si="19"/>
        <v>0.1485333052132031</v>
      </c>
      <c r="U24" s="834">
        <f t="shared" si="19"/>
        <v>0.1485333052132031</v>
      </c>
      <c r="V24" s="834">
        <f t="shared" si="19"/>
        <v>0.1485333052132031</v>
      </c>
      <c r="W24" s="834">
        <f t="shared" si="19"/>
        <v>0.1485333052132031</v>
      </c>
    </row>
    <row r="25" spans="1:23" x14ac:dyDescent="0.2">
      <c r="B25" s="419" t="s">
        <v>530</v>
      </c>
      <c r="C25" s="411"/>
      <c r="D25" s="411" t="s">
        <v>41</v>
      </c>
      <c r="E25" s="411"/>
      <c r="F25" s="411"/>
      <c r="G25" s="441">
        <f t="shared" si="18"/>
        <v>4420000</v>
      </c>
      <c r="H25" s="441">
        <f t="shared" si="18"/>
        <v>3760000</v>
      </c>
      <c r="I25" s="441">
        <f t="shared" si="18"/>
        <v>14634000</v>
      </c>
      <c r="J25" s="442">
        <f>SUM(G25:I25)</f>
        <v>22814000</v>
      </c>
    </row>
    <row r="26" spans="1:23" ht="17" thickBot="1" x14ac:dyDescent="0.25">
      <c r="B26" s="420" t="s">
        <v>17</v>
      </c>
      <c r="C26" s="412"/>
      <c r="D26" s="412"/>
      <c r="E26" s="412"/>
      <c r="F26" s="412"/>
      <c r="G26" s="437">
        <f>SUM(G6:G24)</f>
        <v>67127095.795744687</v>
      </c>
      <c r="H26" s="437">
        <f t="shared" ref="H26:J26" si="20">SUM(H6:H23)</f>
        <v>14221100</v>
      </c>
      <c r="I26" s="437">
        <f t="shared" si="20"/>
        <v>47714888.234042555</v>
      </c>
      <c r="J26" s="438">
        <f t="shared" si="20"/>
        <v>97709536.131914899</v>
      </c>
      <c r="K26" s="423"/>
      <c r="L26" s="137" t="s">
        <v>824</v>
      </c>
      <c r="M26" s="137"/>
      <c r="N26" s="137"/>
      <c r="O26" s="137"/>
      <c r="P26" s="138"/>
      <c r="Q26" s="834">
        <f>+SUM(Q16,Q22)/SUM(Q18:Q19,Q23)</f>
        <v>0</v>
      </c>
      <c r="R26" s="834">
        <f t="shared" ref="R26:W26" si="21">+SUM(R16,R22)/SUM(R18:R19,R23)</f>
        <v>0.13476587323202063</v>
      </c>
      <c r="S26" s="834">
        <f t="shared" si="21"/>
        <v>0.13084872076534823</v>
      </c>
      <c r="T26" s="834">
        <f t="shared" si="21"/>
        <v>0.13084872076534823</v>
      </c>
      <c r="U26" s="834">
        <f t="shared" si="21"/>
        <v>0.13084872076534823</v>
      </c>
      <c r="V26" s="834">
        <f t="shared" si="21"/>
        <v>0.13084872076534823</v>
      </c>
      <c r="W26" s="834">
        <f t="shared" si="21"/>
        <v>0.13084872076534823</v>
      </c>
    </row>
    <row r="27" spans="1:23" x14ac:dyDescent="0.2">
      <c r="B27" s="424"/>
      <c r="C27" s="408"/>
      <c r="D27" s="408"/>
      <c r="E27" s="408"/>
      <c r="F27" s="408"/>
      <c r="G27" s="425"/>
      <c r="H27" s="425"/>
      <c r="I27" s="425"/>
      <c r="J27" s="425"/>
      <c r="K27" s="423"/>
      <c r="L27" s="1057" t="s">
        <v>825</v>
      </c>
      <c r="M27" s="1057"/>
      <c r="N27" s="1057"/>
      <c r="O27" s="1057"/>
      <c r="P27" s="1057"/>
      <c r="Q27" s="1057"/>
      <c r="R27" s="1057"/>
      <c r="S27" s="1057"/>
      <c r="T27" s="1057"/>
      <c r="U27" s="1057"/>
      <c r="V27" s="1057"/>
    </row>
    <row r="28" spans="1:23" ht="17" thickBot="1" x14ac:dyDescent="0.25">
      <c r="G28" s="426"/>
      <c r="H28" s="427"/>
    </row>
    <row r="29" spans="1:23" x14ac:dyDescent="0.2">
      <c r="B29" s="432" t="s">
        <v>554</v>
      </c>
      <c r="C29" s="433"/>
      <c r="D29" s="433"/>
      <c r="E29" s="433"/>
      <c r="F29" s="433"/>
      <c r="G29" s="433"/>
      <c r="H29" s="433"/>
      <c r="I29" s="433"/>
      <c r="J29" s="434"/>
    </row>
    <row r="30" spans="1:23" x14ac:dyDescent="0.2">
      <c r="B30" s="414"/>
      <c r="C30" s="421" t="s">
        <v>531</v>
      </c>
      <c r="D30" s="421" t="s">
        <v>230</v>
      </c>
      <c r="E30" s="421"/>
      <c r="F30" s="421" t="s">
        <v>242</v>
      </c>
      <c r="G30" s="421" t="s">
        <v>202</v>
      </c>
      <c r="H30" s="421" t="s">
        <v>240</v>
      </c>
      <c r="I30" s="421" t="s">
        <v>241</v>
      </c>
      <c r="J30" s="422" t="s">
        <v>17</v>
      </c>
      <c r="L30" s="957" t="s">
        <v>1034</v>
      </c>
    </row>
    <row r="31" spans="1:23" x14ac:dyDescent="0.2">
      <c r="B31" s="414" t="s">
        <v>513</v>
      </c>
      <c r="C31" s="421"/>
      <c r="D31" s="421"/>
      <c r="E31" s="421"/>
      <c r="F31" s="421"/>
      <c r="G31" s="421"/>
      <c r="H31" s="421"/>
      <c r="I31" s="421"/>
      <c r="J31" s="422"/>
      <c r="K31" s="407"/>
      <c r="L31" s="204" t="s">
        <v>1035</v>
      </c>
      <c r="N31" s="38">
        <f>+J24</f>
        <v>74895536.131914899</v>
      </c>
    </row>
    <row r="32" spans="1:23" ht="18" x14ac:dyDescent="0.2">
      <c r="B32" s="413" t="s">
        <v>514</v>
      </c>
      <c r="C32" s="528">
        <v>30</v>
      </c>
      <c r="D32" s="463" t="s">
        <v>532</v>
      </c>
      <c r="E32" s="463"/>
      <c r="F32" s="463"/>
      <c r="G32" s="464">
        <f>290000</f>
        <v>290000</v>
      </c>
      <c r="H32" s="464">
        <f>255000+12000</f>
        <v>267000</v>
      </c>
      <c r="I32" s="464">
        <v>0</v>
      </c>
      <c r="J32" s="524">
        <f>SUM(G32:I32)</f>
        <v>557000</v>
      </c>
      <c r="K32" s="428"/>
      <c r="L32" s="204" t="s">
        <v>1036</v>
      </c>
      <c r="N32" s="38">
        <f>-P15</f>
        <v>5000000</v>
      </c>
    </row>
    <row r="33" spans="2:15" x14ac:dyDescent="0.2">
      <c r="B33" s="413" t="s">
        <v>515</v>
      </c>
      <c r="C33" s="528">
        <f>25%*C32</f>
        <v>7.5</v>
      </c>
      <c r="D33" s="463" t="s">
        <v>532</v>
      </c>
      <c r="E33" s="463"/>
      <c r="F33" s="463"/>
      <c r="G33" s="464">
        <v>39000</v>
      </c>
      <c r="H33" s="464">
        <v>45000</v>
      </c>
      <c r="I33" s="464">
        <v>520000</v>
      </c>
      <c r="J33" s="524">
        <f t="shared" ref="J33:J47" si="22">SUM(G33:I33)</f>
        <v>604000</v>
      </c>
      <c r="K33" s="428"/>
      <c r="L33" s="204" t="s">
        <v>1039</v>
      </c>
      <c r="N33" s="38">
        <f>+P16</f>
        <v>699999.99999999977</v>
      </c>
    </row>
    <row r="34" spans="2:15" x14ac:dyDescent="0.2">
      <c r="B34" s="413" t="s">
        <v>516</v>
      </c>
      <c r="C34" s="528">
        <v>10</v>
      </c>
      <c r="D34" s="463" t="s">
        <v>532</v>
      </c>
      <c r="E34" s="463"/>
      <c r="F34" s="463"/>
      <c r="G34" s="464"/>
      <c r="H34" s="464">
        <v>67000</v>
      </c>
      <c r="I34" s="464">
        <v>503000</v>
      </c>
      <c r="J34" s="524">
        <f t="shared" si="22"/>
        <v>570000</v>
      </c>
      <c r="K34" s="428"/>
      <c r="L34" s="534" t="s">
        <v>1038</v>
      </c>
      <c r="N34" s="38">
        <f>+P22</f>
        <v>17114000</v>
      </c>
    </row>
    <row r="35" spans="2:15" x14ac:dyDescent="0.2">
      <c r="B35" s="414" t="s">
        <v>517</v>
      </c>
      <c r="C35" s="528"/>
      <c r="D35" s="463"/>
      <c r="E35" s="463"/>
      <c r="F35" s="463"/>
      <c r="G35" s="463"/>
      <c r="H35" s="463"/>
      <c r="I35" s="463"/>
      <c r="J35" s="525"/>
      <c r="K35" s="429"/>
      <c r="L35" s="137" t="s">
        <v>17</v>
      </c>
      <c r="M35" s="137"/>
      <c r="N35" s="138">
        <f>+SUM(N31:N34)</f>
        <v>97709536.131914899</v>
      </c>
    </row>
    <row r="36" spans="2:15" x14ac:dyDescent="0.2">
      <c r="B36" s="413" t="s">
        <v>518</v>
      </c>
      <c r="C36" s="528">
        <v>28</v>
      </c>
      <c r="D36" s="463" t="s">
        <v>532</v>
      </c>
      <c r="E36" s="463"/>
      <c r="F36" s="463"/>
      <c r="G36" s="464">
        <v>0</v>
      </c>
      <c r="H36" s="464">
        <v>11500</v>
      </c>
      <c r="I36" s="464">
        <v>42000</v>
      </c>
      <c r="J36" s="524">
        <f t="shared" si="22"/>
        <v>53500</v>
      </c>
      <c r="K36" s="428"/>
      <c r="L36" s="958" t="s">
        <v>1037</v>
      </c>
    </row>
    <row r="37" spans="2:15" x14ac:dyDescent="0.2">
      <c r="B37" s="413" t="s">
        <v>519</v>
      </c>
      <c r="C37" s="528"/>
      <c r="D37" s="463"/>
      <c r="E37" s="463"/>
      <c r="F37" s="463"/>
      <c r="G37" s="464"/>
      <c r="H37" s="464"/>
      <c r="I37" s="464"/>
      <c r="J37" s="524"/>
      <c r="K37" s="428"/>
    </row>
    <row r="38" spans="2:15" x14ac:dyDescent="0.2">
      <c r="B38" s="415" t="s">
        <v>520</v>
      </c>
      <c r="C38" s="528">
        <v>22</v>
      </c>
      <c r="D38" s="463" t="s">
        <v>532</v>
      </c>
      <c r="E38" s="463"/>
      <c r="F38" s="463"/>
      <c r="G38" s="464">
        <v>160000</v>
      </c>
      <c r="H38" s="464"/>
      <c r="I38" s="464"/>
      <c r="J38" s="524">
        <f t="shared" si="22"/>
        <v>160000</v>
      </c>
      <c r="K38" s="428"/>
    </row>
    <row r="39" spans="2:15" x14ac:dyDescent="0.2">
      <c r="B39" s="415" t="s">
        <v>521</v>
      </c>
      <c r="C39" s="528">
        <v>18</v>
      </c>
      <c r="D39" s="463" t="s">
        <v>532</v>
      </c>
      <c r="E39" s="463"/>
      <c r="F39" s="463"/>
      <c r="G39" s="464">
        <v>50000</v>
      </c>
      <c r="H39" s="464">
        <f>127000+19000</f>
        <v>146000</v>
      </c>
      <c r="I39" s="464"/>
      <c r="J39" s="524">
        <f t="shared" si="22"/>
        <v>196000</v>
      </c>
      <c r="K39" s="428"/>
      <c r="O39" s="957"/>
    </row>
    <row r="40" spans="2:15" x14ac:dyDescent="0.2">
      <c r="B40" s="415" t="s">
        <v>522</v>
      </c>
      <c r="C40" s="528">
        <v>14</v>
      </c>
      <c r="D40" s="463" t="s">
        <v>532</v>
      </c>
      <c r="E40" s="463"/>
      <c r="F40" s="463"/>
      <c r="G40" s="464">
        <v>0</v>
      </c>
      <c r="H40" s="464">
        <v>33000</v>
      </c>
      <c r="I40" s="464">
        <v>686000</v>
      </c>
      <c r="J40" s="524">
        <f t="shared" si="22"/>
        <v>719000</v>
      </c>
      <c r="K40" s="428"/>
    </row>
    <row r="41" spans="2:15" ht="18" x14ac:dyDescent="0.2">
      <c r="B41" s="414" t="s">
        <v>599</v>
      </c>
      <c r="C41" s="528">
        <f>ROUNDUP(23900000 / 7,-6)</f>
        <v>4000000</v>
      </c>
      <c r="D41" s="463"/>
      <c r="E41" s="463"/>
      <c r="F41" s="463"/>
      <c r="G41" s="463"/>
      <c r="H41" s="463"/>
      <c r="I41" s="463">
        <v>1</v>
      </c>
      <c r="J41" s="525">
        <f t="shared" si="22"/>
        <v>1</v>
      </c>
      <c r="K41" s="429"/>
    </row>
    <row r="42" spans="2:15" x14ac:dyDescent="0.2">
      <c r="B42" s="414" t="s">
        <v>907</v>
      </c>
      <c r="C42" s="528">
        <v>1500000</v>
      </c>
      <c r="D42" s="463"/>
      <c r="E42" s="463"/>
      <c r="F42" s="463"/>
      <c r="G42" s="463"/>
      <c r="H42" s="463"/>
      <c r="I42" s="463">
        <v>2</v>
      </c>
      <c r="J42" s="525">
        <f t="shared" si="22"/>
        <v>2</v>
      </c>
      <c r="K42" s="429"/>
    </row>
    <row r="43" spans="2:15" x14ac:dyDescent="0.2">
      <c r="B43" s="414" t="s">
        <v>524</v>
      </c>
      <c r="C43" s="528">
        <v>40000</v>
      </c>
      <c r="D43" s="463" t="s">
        <v>533</v>
      </c>
      <c r="E43" s="463"/>
      <c r="F43" s="463"/>
      <c r="G43" s="463">
        <v>6</v>
      </c>
      <c r="H43" s="463">
        <v>5</v>
      </c>
      <c r="I43" s="463">
        <v>5</v>
      </c>
      <c r="J43" s="525">
        <f>SUM(G43:I43)</f>
        <v>16</v>
      </c>
    </row>
    <row r="44" spans="2:15" x14ac:dyDescent="0.2">
      <c r="B44" s="414" t="s">
        <v>525</v>
      </c>
      <c r="C44" s="528"/>
      <c r="D44" s="463"/>
      <c r="E44" s="463"/>
      <c r="F44" s="463"/>
      <c r="G44" s="463"/>
      <c r="H44" s="463"/>
      <c r="I44" s="463"/>
      <c r="J44" s="525"/>
    </row>
    <row r="45" spans="2:15" x14ac:dyDescent="0.2">
      <c r="B45" s="413" t="s">
        <v>526</v>
      </c>
      <c r="C45" s="528">
        <v>90000</v>
      </c>
      <c r="D45" s="463"/>
      <c r="E45" s="463"/>
      <c r="F45" s="463"/>
      <c r="G45" s="463">
        <v>4</v>
      </c>
      <c r="H45" s="463">
        <v>6</v>
      </c>
      <c r="I45" s="463">
        <v>5</v>
      </c>
      <c r="J45" s="525">
        <f t="shared" si="22"/>
        <v>15</v>
      </c>
    </row>
    <row r="46" spans="2:15" x14ac:dyDescent="0.2">
      <c r="B46" s="413" t="s">
        <v>527</v>
      </c>
      <c r="C46" s="528">
        <v>45.3</v>
      </c>
      <c r="D46" s="463" t="s">
        <v>534</v>
      </c>
      <c r="E46" s="463"/>
      <c r="F46" s="463"/>
      <c r="G46" s="463">
        <v>500</v>
      </c>
      <c r="H46" s="463">
        <v>800</v>
      </c>
      <c r="I46" s="463">
        <v>400</v>
      </c>
      <c r="J46" s="525">
        <f t="shared" si="22"/>
        <v>1700</v>
      </c>
      <c r="N46" s="430"/>
    </row>
    <row r="47" spans="2:15" x14ac:dyDescent="0.2">
      <c r="B47" s="413" t="s">
        <v>528</v>
      </c>
      <c r="C47" s="528">
        <v>1000000</v>
      </c>
      <c r="D47" s="463"/>
      <c r="E47" s="463"/>
      <c r="F47" s="463"/>
      <c r="G47" s="463">
        <v>2</v>
      </c>
      <c r="H47" s="463">
        <v>1</v>
      </c>
      <c r="I47" s="463">
        <v>2</v>
      </c>
      <c r="J47" s="525">
        <f t="shared" si="22"/>
        <v>5</v>
      </c>
    </row>
    <row r="48" spans="2:15" ht="17" thickBot="1" x14ac:dyDescent="0.25">
      <c r="B48" s="444" t="s">
        <v>553</v>
      </c>
      <c r="C48" s="532">
        <v>25.6</v>
      </c>
      <c r="D48" s="465" t="s">
        <v>534</v>
      </c>
      <c r="E48" s="465"/>
      <c r="F48" s="465"/>
      <c r="G48" s="465">
        <v>400</v>
      </c>
      <c r="H48" s="465">
        <v>600</v>
      </c>
      <c r="I48" s="465">
        <v>400</v>
      </c>
      <c r="J48" s="526">
        <f>SUM(G48:I48)</f>
        <v>1400</v>
      </c>
      <c r="N48" s="430"/>
    </row>
    <row r="49" spans="2:12" x14ac:dyDescent="0.2">
      <c r="B49" s="527" t="s">
        <v>598</v>
      </c>
      <c r="C49" s="408"/>
      <c r="D49" s="408"/>
      <c r="E49" s="408"/>
      <c r="F49" s="408"/>
      <c r="G49" s="408"/>
      <c r="H49" s="429"/>
      <c r="L49" s="430"/>
    </row>
    <row r="50" spans="2:12" ht="17" thickBot="1" x14ac:dyDescent="0.25">
      <c r="L50" s="534"/>
    </row>
    <row r="51" spans="2:12" x14ac:dyDescent="0.2">
      <c r="B51" s="1054" t="s">
        <v>535</v>
      </c>
      <c r="C51" s="1055"/>
      <c r="D51" s="1055"/>
      <c r="E51" s="1055"/>
      <c r="F51" s="1055"/>
      <c r="G51" s="1055"/>
      <c r="H51" s="1055"/>
      <c r="I51" s="1055"/>
      <c r="J51" s="1056"/>
      <c r="L51" s="534"/>
    </row>
    <row r="52" spans="2:12" x14ac:dyDescent="0.2">
      <c r="B52" s="445" t="s">
        <v>536</v>
      </c>
      <c r="C52" s="446" t="s">
        <v>37</v>
      </c>
      <c r="D52" s="446" t="s">
        <v>230</v>
      </c>
      <c r="E52" s="446" t="s">
        <v>537</v>
      </c>
      <c r="F52" s="446" t="s">
        <v>538</v>
      </c>
      <c r="G52" s="446" t="s">
        <v>539</v>
      </c>
      <c r="H52" s="446" t="s">
        <v>540</v>
      </c>
      <c r="I52" s="461" t="s">
        <v>557</v>
      </c>
      <c r="J52" s="447" t="s">
        <v>17</v>
      </c>
    </row>
    <row r="53" spans="2:12" x14ac:dyDescent="0.2">
      <c r="B53" s="445" t="s">
        <v>242</v>
      </c>
      <c r="C53" s="446"/>
      <c r="D53" s="446"/>
      <c r="E53" s="448" t="str">
        <f>VLOOKUP(E52,'Parcel Breakdown'!$A$6:$C$22,3,FALSE)</f>
        <v>III</v>
      </c>
      <c r="F53" s="448" t="str">
        <f>VLOOKUP(F52,'Parcel Breakdown'!$A$6:$C$22,3,FALSE)</f>
        <v>III</v>
      </c>
      <c r="G53" s="448" t="str">
        <f>VLOOKUP(G52,'Parcel Breakdown'!$A$6:$C$22,3,FALSE)</f>
        <v>I</v>
      </c>
      <c r="H53" s="448" t="str">
        <f>VLOOKUP(H52,'Parcel Breakdown'!$A$6:$C$22,3,FALSE)</f>
        <v>I</v>
      </c>
      <c r="I53" s="448" t="str">
        <f>VLOOKUP(I52,'Parcel Breakdown'!$A$6:$C$22,3,FALSE)</f>
        <v>I</v>
      </c>
      <c r="J53" s="449"/>
    </row>
    <row r="54" spans="2:12" x14ac:dyDescent="0.2">
      <c r="B54" s="445" t="s">
        <v>541</v>
      </c>
      <c r="C54" s="460"/>
      <c r="D54" s="460"/>
      <c r="E54" s="448">
        <f>VLOOKUP(E52,'Parcel Breakdown'!$A$6:$E$22,5,FALSE)</f>
        <v>53728</v>
      </c>
      <c r="F54" s="448">
        <f>VLOOKUP(F52,'Parcel Breakdown'!$A$6:$E$22,5,FALSE)</f>
        <v>53502</v>
      </c>
      <c r="G54" s="448">
        <f>VLOOKUP(G52,'Parcel Breakdown'!$A$6:$E$22,5,FALSE)</f>
        <v>53024</v>
      </c>
      <c r="H54" s="448">
        <f>VLOOKUP(H52,'Parcel Breakdown'!$A$6:$E$22,5,FALSE)</f>
        <v>53564</v>
      </c>
      <c r="I54" s="462">
        <v>17000</v>
      </c>
      <c r="J54" s="449">
        <f>SUM(E54:I54)</f>
        <v>230818</v>
      </c>
    </row>
    <row r="55" spans="2:12" x14ac:dyDescent="0.2">
      <c r="B55" s="413" t="s">
        <v>542</v>
      </c>
      <c r="C55" s="528">
        <v>120</v>
      </c>
      <c r="D55" s="464" t="s">
        <v>532</v>
      </c>
      <c r="E55" s="448">
        <f>$C55*E$54</f>
        <v>6447360</v>
      </c>
      <c r="F55" s="448">
        <f t="shared" ref="F55:I57" si="23">$C55*F$54</f>
        <v>6420240</v>
      </c>
      <c r="G55" s="448">
        <f t="shared" si="23"/>
        <v>6362880</v>
      </c>
      <c r="H55" s="448">
        <f t="shared" si="23"/>
        <v>6427680</v>
      </c>
      <c r="I55" s="448">
        <f t="shared" si="23"/>
        <v>2040000</v>
      </c>
      <c r="J55" s="449">
        <f t="shared" ref="J55:J57" si="24">SUM(E55:I55)</f>
        <v>27698160</v>
      </c>
    </row>
    <row r="56" spans="2:12" x14ac:dyDescent="0.2">
      <c r="B56" s="413" t="s">
        <v>543</v>
      </c>
      <c r="C56" s="528">
        <v>50000</v>
      </c>
      <c r="D56" s="464"/>
      <c r="E56" s="448">
        <f>2*$C$56</f>
        <v>100000</v>
      </c>
      <c r="F56" s="448">
        <f>4*$C$56</f>
        <v>200000</v>
      </c>
      <c r="G56" s="448">
        <f>4*$C$56</f>
        <v>200000</v>
      </c>
      <c r="H56" s="448">
        <f>4*$C$56</f>
        <v>200000</v>
      </c>
      <c r="I56" s="448">
        <f t="shared" ref="I56" si="25">2*$C$56</f>
        <v>100000</v>
      </c>
      <c r="J56" s="449">
        <f t="shared" si="24"/>
        <v>800000</v>
      </c>
    </row>
    <row r="57" spans="2:12" x14ac:dyDescent="0.2">
      <c r="B57" s="413" t="s">
        <v>544</v>
      </c>
      <c r="C57" s="528">
        <f>(579150+1044900*2+465750)/(170*150*2+300*150*2)</f>
        <v>22.23191489361702</v>
      </c>
      <c r="D57" s="464" t="s">
        <v>532</v>
      </c>
      <c r="E57" s="448">
        <f>$C57*E$54</f>
        <v>1194476.3234042553</v>
      </c>
      <c r="F57" s="448">
        <f t="shared" si="23"/>
        <v>1189451.9106382979</v>
      </c>
      <c r="G57" s="448">
        <f t="shared" si="23"/>
        <v>1178825.0553191488</v>
      </c>
      <c r="H57" s="448">
        <f t="shared" si="23"/>
        <v>1190830.289361702</v>
      </c>
      <c r="I57" s="448">
        <f t="shared" si="23"/>
        <v>377942.55319148937</v>
      </c>
      <c r="J57" s="449">
        <f t="shared" si="24"/>
        <v>5131526.1319148941</v>
      </c>
    </row>
    <row r="58" spans="2:12" x14ac:dyDescent="0.2">
      <c r="B58" s="451" t="s">
        <v>545</v>
      </c>
      <c r="C58" s="466"/>
      <c r="D58" s="466"/>
      <c r="E58" s="453">
        <f>SUM(E55:E57)</f>
        <v>7741836.3234042553</v>
      </c>
      <c r="F58" s="453">
        <f t="shared" ref="F58:I58" si="26">SUM(F55:F57)</f>
        <v>7809691.9106382979</v>
      </c>
      <c r="G58" s="453">
        <f t="shared" si="26"/>
        <v>7741705.055319149</v>
      </c>
      <c r="H58" s="453">
        <f t="shared" si="26"/>
        <v>7818510.2893617023</v>
      </c>
      <c r="I58" s="453">
        <f t="shared" si="26"/>
        <v>2517942.5531914895</v>
      </c>
      <c r="J58" s="454">
        <f>SUM(E58:I58)</f>
        <v>33629686.131914891</v>
      </c>
    </row>
    <row r="59" spans="2:12" x14ac:dyDescent="0.2">
      <c r="B59" s="414" t="s">
        <v>546</v>
      </c>
      <c r="C59" s="467"/>
      <c r="D59" s="467"/>
      <c r="E59" s="450"/>
      <c r="F59" s="450"/>
      <c r="G59" s="450"/>
      <c r="H59" s="450"/>
      <c r="I59" s="450"/>
      <c r="J59" s="455"/>
    </row>
    <row r="60" spans="2:12" x14ac:dyDescent="0.2">
      <c r="B60" s="445" t="s">
        <v>547</v>
      </c>
      <c r="C60" s="467"/>
      <c r="D60" s="467"/>
      <c r="E60" s="324"/>
      <c r="F60" s="324"/>
      <c r="G60" s="324"/>
      <c r="H60" s="324"/>
      <c r="I60" s="324"/>
      <c r="J60" s="449"/>
    </row>
    <row r="61" spans="2:12" x14ac:dyDescent="0.2">
      <c r="B61" s="413" t="s">
        <v>548</v>
      </c>
      <c r="C61" s="710">
        <v>50</v>
      </c>
      <c r="D61" s="464" t="s">
        <v>558</v>
      </c>
      <c r="E61" s="450"/>
      <c r="F61" s="450"/>
      <c r="G61" s="450"/>
      <c r="H61" s="450"/>
      <c r="I61" s="450"/>
      <c r="J61" s="449"/>
    </row>
    <row r="62" spans="2:12" x14ac:dyDescent="0.2">
      <c r="B62" s="413" t="s">
        <v>549</v>
      </c>
      <c r="C62" s="710">
        <v>3</v>
      </c>
      <c r="D62" s="464" t="s">
        <v>558</v>
      </c>
      <c r="E62" s="324"/>
      <c r="F62" s="324"/>
      <c r="G62" s="324"/>
      <c r="H62" s="324"/>
      <c r="I62" s="324"/>
      <c r="J62" s="431"/>
    </row>
    <row r="63" spans="2:12" x14ac:dyDescent="0.2">
      <c r="B63" s="413" t="s">
        <v>550</v>
      </c>
      <c r="C63" s="536"/>
      <c r="D63" s="467" t="s">
        <v>534</v>
      </c>
      <c r="E63" s="462">
        <v>75</v>
      </c>
      <c r="F63" s="462">
        <v>110</v>
      </c>
      <c r="G63" s="462">
        <v>0</v>
      </c>
      <c r="H63" s="462">
        <v>110</v>
      </c>
      <c r="I63" s="462">
        <v>0</v>
      </c>
      <c r="J63" s="449">
        <f>SUM(E63:I63)</f>
        <v>295</v>
      </c>
    </row>
    <row r="64" spans="2:12" x14ac:dyDescent="0.2">
      <c r="B64" s="413" t="s">
        <v>551</v>
      </c>
      <c r="C64" s="536">
        <v>100</v>
      </c>
      <c r="D64" s="468" t="s">
        <v>559</v>
      </c>
      <c r="E64" s="448">
        <f>$C$64*E63*$C$62*$C$61</f>
        <v>1125000</v>
      </c>
      <c r="F64" s="448">
        <f t="shared" ref="F64:I64" si="27">$C$64*F63*$C$62*$C$61</f>
        <v>1650000</v>
      </c>
      <c r="G64" s="448">
        <f t="shared" si="27"/>
        <v>0</v>
      </c>
      <c r="H64" s="448">
        <f t="shared" si="27"/>
        <v>1650000</v>
      </c>
      <c r="I64" s="448">
        <f t="shared" si="27"/>
        <v>0</v>
      </c>
      <c r="J64" s="449">
        <f>SUM(E64:I64)</f>
        <v>4425000</v>
      </c>
      <c r="K64" s="430"/>
    </row>
    <row r="65" spans="2:10" x14ac:dyDescent="0.2">
      <c r="B65" s="451" t="s">
        <v>545</v>
      </c>
      <c r="C65" s="452"/>
      <c r="D65" s="452"/>
      <c r="E65" s="453">
        <f t="shared" ref="E65:J65" si="28">E64</f>
        <v>1125000</v>
      </c>
      <c r="F65" s="453">
        <f t="shared" si="28"/>
        <v>1650000</v>
      </c>
      <c r="G65" s="453">
        <f t="shared" si="28"/>
        <v>0</v>
      </c>
      <c r="H65" s="453">
        <f t="shared" si="28"/>
        <v>1650000</v>
      </c>
      <c r="I65" s="453">
        <f t="shared" si="28"/>
        <v>0</v>
      </c>
      <c r="J65" s="454">
        <f t="shared" si="28"/>
        <v>4425000</v>
      </c>
    </row>
    <row r="66" spans="2:10" ht="17" thickBot="1" x14ac:dyDescent="0.25">
      <c r="B66" s="456" t="s">
        <v>17</v>
      </c>
      <c r="C66" s="457"/>
      <c r="D66" s="457"/>
      <c r="E66" s="458">
        <f t="shared" ref="E66:J66" si="29">E65+E58</f>
        <v>8866836.3234042563</v>
      </c>
      <c r="F66" s="458">
        <f t="shared" si="29"/>
        <v>9459691.9106382988</v>
      </c>
      <c r="G66" s="458">
        <f t="shared" si="29"/>
        <v>7741705.055319149</v>
      </c>
      <c r="H66" s="458">
        <f t="shared" si="29"/>
        <v>9468510.2893617023</v>
      </c>
      <c r="I66" s="458">
        <f t="shared" si="29"/>
        <v>2517942.5531914895</v>
      </c>
      <c r="J66" s="459">
        <f t="shared" si="29"/>
        <v>38054686.131914891</v>
      </c>
    </row>
  </sheetData>
  <mergeCells count="3">
    <mergeCell ref="B51:J51"/>
    <mergeCell ref="L27:V27"/>
    <mergeCell ref="Q3:U3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C1:H59"/>
  <sheetViews>
    <sheetView topLeftCell="A45" zoomScale="53" zoomScaleNormal="80" workbookViewId="0">
      <selection activeCell="C2" sqref="C2:G58"/>
    </sheetView>
  </sheetViews>
  <sheetFormatPr baseColWidth="10" defaultColWidth="10.83203125" defaultRowHeight="16" x14ac:dyDescent="0.2"/>
  <cols>
    <col min="1" max="2" width="10.83203125" style="204"/>
    <col min="3" max="3" width="34.5" style="204" bestFit="1" customWidth="1"/>
    <col min="4" max="6" width="29.5" style="204" customWidth="1"/>
    <col min="7" max="7" width="20.1640625" style="204" bestFit="1" customWidth="1"/>
    <col min="8" max="8" width="23.5" style="204" customWidth="1"/>
    <col min="9" max="9" width="10.83203125" style="204"/>
    <col min="10" max="10" width="13" style="204" bestFit="1" customWidth="1"/>
    <col min="11" max="11" width="12.5" style="204" bestFit="1" customWidth="1"/>
    <col min="12" max="16384" width="10.83203125" style="204"/>
  </cols>
  <sheetData>
    <row r="1" spans="3:7" ht="17" thickBot="1" x14ac:dyDescent="0.25"/>
    <row r="2" spans="3:7" x14ac:dyDescent="0.2">
      <c r="C2" s="1073" t="s">
        <v>597</v>
      </c>
      <c r="D2" s="1074"/>
      <c r="E2" s="1075"/>
    </row>
    <row r="3" spans="3:7" x14ac:dyDescent="0.2">
      <c r="C3" s="483" t="s">
        <v>563</v>
      </c>
      <c r="D3" s="513" t="s">
        <v>242</v>
      </c>
      <c r="E3" s="514"/>
    </row>
    <row r="4" spans="3:7" x14ac:dyDescent="0.2">
      <c r="C4" s="414" t="s">
        <v>759</v>
      </c>
      <c r="D4" s="746" t="s">
        <v>758</v>
      </c>
      <c r="E4" s="747">
        <v>3</v>
      </c>
    </row>
    <row r="5" spans="3:7" x14ac:dyDescent="0.2">
      <c r="C5" s="469" t="s">
        <v>565</v>
      </c>
      <c r="D5" s="470" t="str">
        <f>VLOOKUP(C5,'Parcel Breakdown'!$A$6:$C$22,3,FALSE)</f>
        <v>II</v>
      </c>
      <c r="E5" s="517">
        <f>F22</f>
        <v>140400</v>
      </c>
    </row>
    <row r="6" spans="3:7" x14ac:dyDescent="0.2">
      <c r="C6" s="469" t="s">
        <v>566</v>
      </c>
      <c r="D6" s="470" t="str">
        <f>VLOOKUP(C6,'Parcel Breakdown'!$A$6:$C$22,3,FALSE)</f>
        <v>II</v>
      </c>
      <c r="E6" s="517">
        <f>G22</f>
        <v>678572.10714285716</v>
      </c>
    </row>
    <row r="7" spans="3:7" x14ac:dyDescent="0.2">
      <c r="C7" s="469" t="s">
        <v>588</v>
      </c>
      <c r="D7" s="470" t="str">
        <f>VLOOKUP(C7,'Parcel Breakdown'!$A$6:$C$22,3,FALSE)</f>
        <v>III</v>
      </c>
      <c r="E7" s="517">
        <f>D58</f>
        <v>4506350</v>
      </c>
    </row>
    <row r="8" spans="3:7" x14ac:dyDescent="0.2">
      <c r="C8" s="469" t="s">
        <v>573</v>
      </c>
      <c r="D8" s="470" t="str">
        <f>VLOOKUP(C8,'Parcel Breakdown'!$A$6:$C$22,3,FALSE)</f>
        <v>I</v>
      </c>
      <c r="E8" s="517">
        <f>SUM(D49:E49)+E58</f>
        <v>6900150</v>
      </c>
    </row>
    <row r="9" spans="3:7" x14ac:dyDescent="0.2">
      <c r="C9" s="473" t="s">
        <v>574</v>
      </c>
      <c r="D9" s="470" t="str">
        <f>VLOOKUP(C9,'Parcel Breakdown'!$A$6:$C$22,3,FALSE)</f>
        <v>III</v>
      </c>
      <c r="E9" s="517">
        <f>F49</f>
        <v>3281849.9999999995</v>
      </c>
    </row>
    <row r="10" spans="3:7" x14ac:dyDescent="0.2">
      <c r="C10" s="473" t="s">
        <v>564</v>
      </c>
      <c r="D10" s="470" t="str">
        <f>VLOOKUP(C10,'Parcel Breakdown'!$A$6:$C$22,3,FALSE)</f>
        <v>III</v>
      </c>
      <c r="E10" s="517">
        <f>E22+G49</f>
        <v>1333386</v>
      </c>
    </row>
    <row r="11" spans="3:7" ht="17" thickBot="1" x14ac:dyDescent="0.25">
      <c r="C11" s="515" t="s">
        <v>17</v>
      </c>
      <c r="D11" s="516"/>
      <c r="E11" s="518">
        <f>SUM(E4:E10)</f>
        <v>16840711.107142858</v>
      </c>
    </row>
    <row r="12" spans="3:7" x14ac:dyDescent="0.2">
      <c r="C12" s="748" t="s">
        <v>760</v>
      </c>
    </row>
    <row r="13" spans="3:7" ht="17" thickBot="1" x14ac:dyDescent="0.25">
      <c r="C13" s="527"/>
    </row>
    <row r="14" spans="3:7" x14ac:dyDescent="0.2">
      <c r="C14" s="1073" t="s">
        <v>596</v>
      </c>
      <c r="D14" s="1074"/>
      <c r="E14" s="1074"/>
      <c r="F14" s="1074"/>
      <c r="G14" s="1075"/>
    </row>
    <row r="15" spans="3:7" x14ac:dyDescent="0.2">
      <c r="C15" s="483" t="s">
        <v>560</v>
      </c>
      <c r="D15" s="505"/>
      <c r="E15" s="1076" t="s">
        <v>561</v>
      </c>
      <c r="F15" s="1077"/>
      <c r="G15" s="484" t="s">
        <v>562</v>
      </c>
    </row>
    <row r="16" spans="3:7" x14ac:dyDescent="0.2">
      <c r="C16" s="469" t="s">
        <v>563</v>
      </c>
      <c r="D16" s="324"/>
      <c r="E16" s="486" t="s">
        <v>564</v>
      </c>
      <c r="F16" s="487" t="s">
        <v>565</v>
      </c>
      <c r="G16" s="471" t="s">
        <v>566</v>
      </c>
    </row>
    <row r="17" spans="3:7" x14ac:dyDescent="0.2">
      <c r="C17" s="472" t="s">
        <v>567</v>
      </c>
      <c r="D17" s="500"/>
      <c r="E17" s="507">
        <v>0.15</v>
      </c>
      <c r="F17" s="519">
        <v>0.05</v>
      </c>
      <c r="G17" s="520">
        <v>0.05</v>
      </c>
    </row>
    <row r="18" spans="3:7" x14ac:dyDescent="0.2">
      <c r="C18" s="473" t="s">
        <v>568</v>
      </c>
      <c r="D18" s="501"/>
      <c r="E18" s="1061">
        <v>2000</v>
      </c>
      <c r="F18" s="1062"/>
      <c r="G18" s="521">
        <v>2003</v>
      </c>
    </row>
    <row r="19" spans="3:7" x14ac:dyDescent="0.2">
      <c r="C19" s="473" t="s">
        <v>569</v>
      </c>
      <c r="D19" s="501"/>
      <c r="E19" s="1063">
        <v>25</v>
      </c>
      <c r="F19" s="1064"/>
      <c r="G19" s="522">
        <v>35</v>
      </c>
    </row>
    <row r="20" spans="3:7" x14ac:dyDescent="0.2">
      <c r="C20" s="473" t="s">
        <v>570</v>
      </c>
      <c r="D20" s="501"/>
      <c r="E20" s="1065">
        <f>E18+E19-2019</f>
        <v>6</v>
      </c>
      <c r="F20" s="1066"/>
      <c r="G20" s="480">
        <f>G18+G19-2019</f>
        <v>19</v>
      </c>
    </row>
    <row r="21" spans="3:7" x14ac:dyDescent="0.2">
      <c r="C21" s="473" t="s">
        <v>595</v>
      </c>
      <c r="D21" s="501"/>
      <c r="E21" s="1067">
        <f>E35</f>
        <v>11700000</v>
      </c>
      <c r="F21" s="1068"/>
      <c r="G21" s="490">
        <f>G35</f>
        <v>25000025</v>
      </c>
    </row>
    <row r="22" spans="3:7" x14ac:dyDescent="0.2">
      <c r="C22" s="485" t="s">
        <v>571</v>
      </c>
      <c r="D22" s="502"/>
      <c r="E22" s="491">
        <f>E21/E19*E20*E17</f>
        <v>421200</v>
      </c>
      <c r="F22" s="492">
        <f>E21/E19*E20*F17</f>
        <v>140400</v>
      </c>
      <c r="G22" s="493">
        <f>G21/G19*G20*G17</f>
        <v>678572.10714285716</v>
      </c>
    </row>
    <row r="23" spans="3:7" hidden="1" x14ac:dyDescent="0.2">
      <c r="C23" s="469" t="s">
        <v>594</v>
      </c>
      <c r="D23" s="324"/>
      <c r="E23" s="486"/>
      <c r="F23" s="487"/>
      <c r="G23" s="471"/>
    </row>
    <row r="24" spans="3:7" hidden="1" x14ac:dyDescent="0.2">
      <c r="C24" s="474">
        <v>1</v>
      </c>
      <c r="D24" s="503"/>
      <c r="E24" s="1069">
        <v>1700000</v>
      </c>
      <c r="F24" s="1070"/>
      <c r="G24" s="480">
        <v>2500000</v>
      </c>
    </row>
    <row r="25" spans="3:7" hidden="1" x14ac:dyDescent="0.2">
      <c r="C25" s="474">
        <f>C24+1</f>
        <v>2</v>
      </c>
      <c r="D25" s="503"/>
      <c r="E25" s="1069">
        <f>E24-100000</f>
        <v>1600000</v>
      </c>
      <c r="F25" s="1070"/>
      <c r="G25" s="480">
        <f>G24</f>
        <v>2500000</v>
      </c>
    </row>
    <row r="26" spans="3:7" hidden="1" x14ac:dyDescent="0.2">
      <c r="C26" s="474">
        <f t="shared" ref="C26:C33" si="0">C25+1</f>
        <v>3</v>
      </c>
      <c r="D26" s="503"/>
      <c r="E26" s="1069">
        <f t="shared" ref="E26:E32" si="1">E25-100000</f>
        <v>1500000</v>
      </c>
      <c r="F26" s="1070"/>
      <c r="G26" s="480">
        <f t="shared" ref="G26:G33" si="2">G25</f>
        <v>2500000</v>
      </c>
    </row>
    <row r="27" spans="3:7" hidden="1" x14ac:dyDescent="0.2">
      <c r="C27" s="474">
        <f t="shared" si="0"/>
        <v>4</v>
      </c>
      <c r="D27" s="503"/>
      <c r="E27" s="1069">
        <f t="shared" si="1"/>
        <v>1400000</v>
      </c>
      <c r="F27" s="1070"/>
      <c r="G27" s="480">
        <f t="shared" si="2"/>
        <v>2500000</v>
      </c>
    </row>
    <row r="28" spans="3:7" hidden="1" x14ac:dyDescent="0.2">
      <c r="C28" s="474">
        <f t="shared" si="0"/>
        <v>5</v>
      </c>
      <c r="D28" s="503"/>
      <c r="E28" s="1069">
        <f t="shared" si="1"/>
        <v>1300000</v>
      </c>
      <c r="F28" s="1070"/>
      <c r="G28" s="480">
        <f t="shared" si="2"/>
        <v>2500000</v>
      </c>
    </row>
    <row r="29" spans="3:7" hidden="1" x14ac:dyDescent="0.2">
      <c r="C29" s="474">
        <f t="shared" si="0"/>
        <v>6</v>
      </c>
      <c r="D29" s="503"/>
      <c r="E29" s="1069">
        <f t="shared" si="1"/>
        <v>1200000</v>
      </c>
      <c r="F29" s="1070"/>
      <c r="G29" s="480">
        <f t="shared" si="2"/>
        <v>2500000</v>
      </c>
    </row>
    <row r="30" spans="3:7" hidden="1" x14ac:dyDescent="0.2">
      <c r="C30" s="474">
        <f t="shared" si="0"/>
        <v>7</v>
      </c>
      <c r="D30" s="503"/>
      <c r="E30" s="1069">
        <f t="shared" si="1"/>
        <v>1100000</v>
      </c>
      <c r="F30" s="1070"/>
      <c r="G30" s="480">
        <f t="shared" si="2"/>
        <v>2500000</v>
      </c>
    </row>
    <row r="31" spans="3:7" hidden="1" x14ac:dyDescent="0.2">
      <c r="C31" s="474">
        <f t="shared" si="0"/>
        <v>8</v>
      </c>
      <c r="D31" s="503"/>
      <c r="E31" s="1069">
        <f t="shared" si="1"/>
        <v>1000000</v>
      </c>
      <c r="F31" s="1070"/>
      <c r="G31" s="480">
        <f t="shared" si="2"/>
        <v>2500000</v>
      </c>
    </row>
    <row r="32" spans="3:7" hidden="1" x14ac:dyDescent="0.2">
      <c r="C32" s="474">
        <f t="shared" si="0"/>
        <v>9</v>
      </c>
      <c r="D32" s="503"/>
      <c r="E32" s="1069">
        <f t="shared" si="1"/>
        <v>900000</v>
      </c>
      <c r="F32" s="1070"/>
      <c r="G32" s="480">
        <f t="shared" si="2"/>
        <v>2500000</v>
      </c>
    </row>
    <row r="33" spans="3:7" hidden="1" x14ac:dyDescent="0.2">
      <c r="C33" s="474">
        <f t="shared" si="0"/>
        <v>10</v>
      </c>
      <c r="D33" s="503"/>
      <c r="E33" s="1069"/>
      <c r="F33" s="1070"/>
      <c r="G33" s="480">
        <f t="shared" si="2"/>
        <v>2500000</v>
      </c>
    </row>
    <row r="34" spans="3:7" hidden="1" x14ac:dyDescent="0.2">
      <c r="C34" s="474" t="s">
        <v>593</v>
      </c>
      <c r="D34" s="503"/>
      <c r="E34" s="1069">
        <v>0</v>
      </c>
      <c r="F34" s="1070"/>
      <c r="G34" s="480">
        <v>1</v>
      </c>
    </row>
    <row r="35" spans="3:7" ht="17" hidden="1" thickBot="1" x14ac:dyDescent="0.25">
      <c r="C35" s="475" t="s">
        <v>572</v>
      </c>
      <c r="D35" s="504"/>
      <c r="E35" s="1071">
        <f>SUM(E24:E33)</f>
        <v>11700000</v>
      </c>
      <c r="F35" s="1072"/>
      <c r="G35" s="494">
        <f>SUM(G24:G33)+1*25</f>
        <v>25000025</v>
      </c>
    </row>
    <row r="36" spans="3:7" s="324" customFormat="1" x14ac:dyDescent="0.2">
      <c r="D36" s="476"/>
      <c r="E36" s="476"/>
      <c r="F36" s="476"/>
    </row>
    <row r="37" spans="3:7" ht="17" thickBot="1" x14ac:dyDescent="0.25"/>
    <row r="38" spans="3:7" x14ac:dyDescent="0.2">
      <c r="C38" s="1054" t="s">
        <v>603</v>
      </c>
      <c r="D38" s="1055"/>
      <c r="E38" s="1055"/>
      <c r="F38" s="1055"/>
      <c r="G38" s="1056"/>
    </row>
    <row r="39" spans="3:7" x14ac:dyDescent="0.2">
      <c r="C39" s="469" t="s">
        <v>563</v>
      </c>
      <c r="D39" s="1059" t="s">
        <v>573</v>
      </c>
      <c r="E39" s="1060"/>
      <c r="F39" s="470" t="s">
        <v>574</v>
      </c>
      <c r="G39" s="471" t="s">
        <v>575</v>
      </c>
    </row>
    <row r="40" spans="3:7" x14ac:dyDescent="0.2">
      <c r="C40" s="469" t="s">
        <v>576</v>
      </c>
      <c r="D40" s="486" t="s">
        <v>577</v>
      </c>
      <c r="E40" s="487" t="s">
        <v>578</v>
      </c>
      <c r="F40" s="470" t="s">
        <v>579</v>
      </c>
      <c r="G40" s="471" t="s">
        <v>580</v>
      </c>
    </row>
    <row r="41" spans="3:7" x14ac:dyDescent="0.2">
      <c r="C41" s="469" t="s">
        <v>581</v>
      </c>
      <c r="D41" s="506">
        <v>120</v>
      </c>
      <c r="E41" s="509">
        <v>80</v>
      </c>
      <c r="F41" s="463">
        <v>300</v>
      </c>
      <c r="G41" s="495">
        <f>ROUND(903*0.3,0)</f>
        <v>271</v>
      </c>
    </row>
    <row r="42" spans="3:7" x14ac:dyDescent="0.2">
      <c r="C42" s="469" t="s">
        <v>601</v>
      </c>
      <c r="D42" s="529">
        <v>165</v>
      </c>
      <c r="E42" s="530">
        <v>165</v>
      </c>
      <c r="F42" s="528">
        <v>195</v>
      </c>
      <c r="G42" s="531">
        <v>60</v>
      </c>
    </row>
    <row r="43" spans="3:7" x14ac:dyDescent="0.2">
      <c r="C43" s="469" t="s">
        <v>582</v>
      </c>
      <c r="D43" s="486" t="s">
        <v>583</v>
      </c>
      <c r="E43" s="487" t="s">
        <v>583</v>
      </c>
      <c r="F43" s="470" t="s">
        <v>583</v>
      </c>
      <c r="G43" s="471" t="s">
        <v>28</v>
      </c>
    </row>
    <row r="44" spans="3:7" x14ac:dyDescent="0.2">
      <c r="C44" s="469" t="s">
        <v>600</v>
      </c>
      <c r="D44" s="507">
        <v>0.85</v>
      </c>
      <c r="E44" s="510">
        <f>$D44</f>
        <v>0.85</v>
      </c>
      <c r="F44" s="477">
        <f t="shared" ref="F44:G46" si="3">$D44</f>
        <v>0.85</v>
      </c>
      <c r="G44" s="478">
        <f t="shared" si="3"/>
        <v>0.85</v>
      </c>
    </row>
    <row r="45" spans="3:7" x14ac:dyDescent="0.2">
      <c r="C45" s="469" t="s">
        <v>584</v>
      </c>
      <c r="D45" s="507">
        <v>0.3</v>
      </c>
      <c r="E45" s="510">
        <f t="shared" ref="E45:E46" si="4">$D45</f>
        <v>0.3</v>
      </c>
      <c r="F45" s="477">
        <f t="shared" si="3"/>
        <v>0.3</v>
      </c>
      <c r="G45" s="478">
        <f t="shared" si="3"/>
        <v>0.3</v>
      </c>
    </row>
    <row r="46" spans="3:7" x14ac:dyDescent="0.2">
      <c r="C46" s="469" t="s">
        <v>585</v>
      </c>
      <c r="D46" s="507">
        <v>0.55000000000000004</v>
      </c>
      <c r="E46" s="510">
        <f t="shared" si="4"/>
        <v>0.55000000000000004</v>
      </c>
      <c r="F46" s="477">
        <f t="shared" si="3"/>
        <v>0.55000000000000004</v>
      </c>
      <c r="G46" s="478">
        <f t="shared" si="3"/>
        <v>0.55000000000000004</v>
      </c>
    </row>
    <row r="47" spans="3:7" x14ac:dyDescent="0.2">
      <c r="C47" s="469" t="s">
        <v>586</v>
      </c>
      <c r="D47" s="488">
        <f>D41*D42*D44*(1-D45)*D46*12</f>
        <v>77754.600000000006</v>
      </c>
      <c r="E47" s="489">
        <f t="shared" ref="E47:G47" si="5">E41*E42*E44*(1-E45)*E46*12</f>
        <v>51836.399999999994</v>
      </c>
      <c r="F47" s="479">
        <f t="shared" si="5"/>
        <v>229729.5</v>
      </c>
      <c r="G47" s="480">
        <f t="shared" si="5"/>
        <v>63853.020000000004</v>
      </c>
    </row>
    <row r="48" spans="3:7" x14ac:dyDescent="0.2">
      <c r="C48" s="469" t="s">
        <v>587</v>
      </c>
      <c r="D48" s="533">
        <v>7.0000000000000007E-2</v>
      </c>
      <c r="E48" s="511">
        <f>+$D$48</f>
        <v>7.0000000000000007E-2</v>
      </c>
      <c r="F48" s="498">
        <f>+$D$48</f>
        <v>7.0000000000000007E-2</v>
      </c>
      <c r="G48" s="499">
        <f>+$D$48</f>
        <v>7.0000000000000007E-2</v>
      </c>
    </row>
    <row r="49" spans="3:8" ht="17" thickBot="1" x14ac:dyDescent="0.25">
      <c r="C49" s="515" t="s">
        <v>571</v>
      </c>
      <c r="D49" s="508">
        <f>D47/D48</f>
        <v>1110780</v>
      </c>
      <c r="E49" s="512">
        <f t="shared" ref="E49:G49" si="6">E47/E48</f>
        <v>740519.99999999988</v>
      </c>
      <c r="F49" s="496">
        <f t="shared" si="6"/>
        <v>3281849.9999999995</v>
      </c>
      <c r="G49" s="497">
        <f t="shared" si="6"/>
        <v>912186</v>
      </c>
      <c r="H49" s="423"/>
    </row>
    <row r="50" spans="3:8" x14ac:dyDescent="0.2">
      <c r="D50" s="430"/>
      <c r="E50" s="430"/>
      <c r="F50" s="430"/>
      <c r="G50" s="430"/>
    </row>
    <row r="51" spans="3:8" ht="17" thickBot="1" x14ac:dyDescent="0.25"/>
    <row r="52" spans="3:8" x14ac:dyDescent="0.2">
      <c r="C52" s="1054" t="s">
        <v>604</v>
      </c>
      <c r="D52" s="1055"/>
      <c r="E52" s="1055"/>
      <c r="F52" s="1055"/>
      <c r="G52" s="1056"/>
    </row>
    <row r="53" spans="3:8" x14ac:dyDescent="0.2">
      <c r="C53" s="469" t="s">
        <v>563</v>
      </c>
      <c r="D53" s="470" t="s">
        <v>588</v>
      </c>
      <c r="E53" s="470" t="s">
        <v>573</v>
      </c>
      <c r="F53" s="324"/>
      <c r="G53" s="431"/>
    </row>
    <row r="54" spans="3:8" x14ac:dyDescent="0.2">
      <c r="C54" s="469" t="s">
        <v>576</v>
      </c>
      <c r="D54" s="470" t="s">
        <v>589</v>
      </c>
      <c r="E54" s="470" t="s">
        <v>590</v>
      </c>
      <c r="F54" s="324"/>
      <c r="G54" s="431"/>
    </row>
    <row r="55" spans="3:8" x14ac:dyDescent="0.2">
      <c r="C55" s="469" t="s">
        <v>591</v>
      </c>
      <c r="D55" s="470" t="s">
        <v>592</v>
      </c>
      <c r="E55" s="470" t="s">
        <v>592</v>
      </c>
      <c r="F55" s="324"/>
      <c r="G55" s="431"/>
    </row>
    <row r="56" spans="3:8" x14ac:dyDescent="0.2">
      <c r="C56" s="469" t="s">
        <v>602</v>
      </c>
      <c r="D56" s="464">
        <v>90127</v>
      </c>
      <c r="E56" s="464">
        <v>100977</v>
      </c>
      <c r="F56" s="324"/>
      <c r="G56" s="431"/>
    </row>
    <row r="57" spans="3:8" x14ac:dyDescent="0.2">
      <c r="C57" s="469" t="s">
        <v>37</v>
      </c>
      <c r="D57" s="528">
        <v>50</v>
      </c>
      <c r="E57" s="528">
        <v>50</v>
      </c>
      <c r="F57" s="324"/>
      <c r="G57" s="431"/>
    </row>
    <row r="58" spans="3:8" ht="17" thickBot="1" x14ac:dyDescent="0.25">
      <c r="C58" s="515" t="s">
        <v>571</v>
      </c>
      <c r="D58" s="496">
        <f>D56*D57</f>
        <v>4506350</v>
      </c>
      <c r="E58" s="496">
        <f>+E56*E57</f>
        <v>5048850</v>
      </c>
      <c r="F58" s="481"/>
      <c r="G58" s="482"/>
    </row>
    <row r="59" spans="3:8" x14ac:dyDescent="0.2">
      <c r="D59" s="430"/>
      <c r="E59" s="546"/>
    </row>
  </sheetData>
  <mergeCells count="22">
    <mergeCell ref="C2:E2"/>
    <mergeCell ref="E31:F31"/>
    <mergeCell ref="E32:F32"/>
    <mergeCell ref="E33:F33"/>
    <mergeCell ref="E34:F34"/>
    <mergeCell ref="C14:G14"/>
    <mergeCell ref="E25:F25"/>
    <mergeCell ref="E26:F26"/>
    <mergeCell ref="E27:F27"/>
    <mergeCell ref="E28:F28"/>
    <mergeCell ref="E15:F15"/>
    <mergeCell ref="C38:G38"/>
    <mergeCell ref="D39:E39"/>
    <mergeCell ref="C52:G52"/>
    <mergeCell ref="E18:F18"/>
    <mergeCell ref="E19:F19"/>
    <mergeCell ref="E20:F20"/>
    <mergeCell ref="E21:F21"/>
    <mergeCell ref="E24:F24"/>
    <mergeCell ref="E35:F35"/>
    <mergeCell ref="E29:F29"/>
    <mergeCell ref="E30:F3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2:AU48"/>
  <sheetViews>
    <sheetView showGridLines="0" zoomScale="40" zoomScaleNormal="40" workbookViewId="0">
      <selection activeCell="A8" sqref="A8"/>
    </sheetView>
  </sheetViews>
  <sheetFormatPr baseColWidth="10" defaultColWidth="14.5" defaultRowHeight="16" customHeight="1" x14ac:dyDescent="0.2"/>
  <cols>
    <col min="1" max="1" width="8.5" style="40" customWidth="1"/>
    <col min="2" max="2" width="16.5" style="40" bestFit="1" customWidth="1"/>
    <col min="3" max="3" width="16.5" style="40" customWidth="1"/>
    <col min="4" max="4" width="15.5" style="40" bestFit="1" customWidth="1"/>
    <col min="5" max="7" width="16.5" style="40" customWidth="1"/>
    <col min="8" max="8" width="15.5" style="40" bestFit="1" customWidth="1"/>
    <col min="9" max="10" width="14.5" style="40" customWidth="1"/>
    <col min="11" max="11" width="16" style="40" bestFit="1" customWidth="1"/>
    <col min="12" max="17" width="14.5" style="40" customWidth="1"/>
    <col min="18" max="18" width="17.1640625" style="40" customWidth="1"/>
    <col min="19" max="21" width="14.5" style="40" customWidth="1"/>
    <col min="22" max="22" width="15.83203125" style="40" customWidth="1"/>
    <col min="23" max="23" width="14.5" style="40" customWidth="1"/>
    <col min="24" max="32" width="14.5" style="40"/>
    <col min="33" max="33" width="18.83203125" style="40" customWidth="1"/>
    <col min="34" max="36" width="14.5" style="40"/>
    <col min="37" max="37" width="16" style="40" customWidth="1"/>
    <col min="38" max="16384" width="14.5" style="40"/>
  </cols>
  <sheetData>
    <row r="2" spans="1:47" ht="16" customHeight="1" x14ac:dyDescent="0.2">
      <c r="B2" s="40" t="s">
        <v>7</v>
      </c>
      <c r="D2" s="43">
        <v>0.02</v>
      </c>
      <c r="E2" s="43"/>
      <c r="F2" s="40" t="s">
        <v>183</v>
      </c>
      <c r="H2" s="111">
        <v>96.515600000000006</v>
      </c>
    </row>
    <row r="3" spans="1:47" ht="16" customHeight="1" x14ac:dyDescent="0.2">
      <c r="B3" s="40" t="s">
        <v>190</v>
      </c>
      <c r="D3" s="108">
        <v>3</v>
      </c>
      <c r="E3" s="108"/>
      <c r="F3" s="40" t="s">
        <v>191</v>
      </c>
      <c r="H3" s="43">
        <v>0.35</v>
      </c>
    </row>
    <row r="4" spans="1:47" ht="16" customHeight="1" x14ac:dyDescent="0.2">
      <c r="B4" s="40" t="s">
        <v>196</v>
      </c>
      <c r="D4" s="113">
        <f>+'Assumptions and Sensis'!$N$196</f>
        <v>1.25</v>
      </c>
      <c r="E4" s="113"/>
      <c r="F4" s="40" t="s">
        <v>194</v>
      </c>
      <c r="H4" s="43">
        <v>0.25</v>
      </c>
    </row>
    <row r="5" spans="1:47" ht="16" customHeight="1" x14ac:dyDescent="0.2">
      <c r="B5" s="40" t="s">
        <v>162</v>
      </c>
      <c r="D5" s="112">
        <f>+'Assumptions and Sensis'!$N$198</f>
        <v>30</v>
      </c>
      <c r="E5" s="112"/>
      <c r="F5" s="40" t="s">
        <v>365</v>
      </c>
      <c r="H5" s="169">
        <v>9.5000000000000001E-2</v>
      </c>
    </row>
    <row r="6" spans="1:47" ht="16" customHeight="1" x14ac:dyDescent="0.2">
      <c r="B6" s="40" t="s">
        <v>155</v>
      </c>
      <c r="D6" s="114">
        <f>+'Assumptions and Sensis'!$N$197</f>
        <v>0.06</v>
      </c>
      <c r="E6" s="114"/>
      <c r="F6" s="202" t="s">
        <v>366</v>
      </c>
      <c r="G6" s="202"/>
      <c r="H6" s="202"/>
    </row>
    <row r="8" spans="1:47" ht="16" customHeight="1" x14ac:dyDescent="0.2">
      <c r="B8" s="30" t="s">
        <v>202</v>
      </c>
      <c r="C8" s="30"/>
      <c r="D8" s="31"/>
      <c r="E8" s="31"/>
      <c r="F8" s="37"/>
      <c r="G8" s="37"/>
      <c r="H8" s="31"/>
      <c r="I8" s="30"/>
      <c r="J8" s="45"/>
      <c r="K8" s="45"/>
      <c r="L8" s="45"/>
      <c r="M8" s="45"/>
      <c r="N8" s="45"/>
      <c r="O8" s="45"/>
      <c r="P8" s="45"/>
      <c r="R8" s="30" t="s">
        <v>240</v>
      </c>
      <c r="S8" s="30"/>
      <c r="T8" s="31"/>
      <c r="U8" s="31"/>
      <c r="V8" s="37"/>
      <c r="W8" s="37"/>
      <c r="X8" s="31"/>
      <c r="Y8" s="30"/>
      <c r="Z8" s="45"/>
      <c r="AA8" s="45"/>
      <c r="AB8" s="45"/>
      <c r="AC8" s="45"/>
      <c r="AD8" s="45"/>
      <c r="AE8" s="45"/>
      <c r="AG8" s="30" t="s">
        <v>241</v>
      </c>
      <c r="AH8" s="30"/>
      <c r="AI8" s="31"/>
      <c r="AJ8" s="31"/>
      <c r="AK8" s="37"/>
      <c r="AL8" s="37"/>
      <c r="AM8" s="31"/>
      <c r="AN8" s="30"/>
      <c r="AO8" s="45"/>
      <c r="AP8" s="45"/>
      <c r="AQ8" s="45"/>
      <c r="AR8" s="45"/>
      <c r="AS8" s="45"/>
      <c r="AT8" s="45"/>
    </row>
    <row r="9" spans="1:47" ht="16" customHeight="1" x14ac:dyDescent="0.2">
      <c r="B9" s="118" t="s">
        <v>203</v>
      </c>
      <c r="C9" s="124">
        <f>+INDEX('Assumptions and Sensis'!$F$45:$H$45,1,MATCH('Taxes and TIF'!B8,'Assumptions and Sensis'!$F$42:$H$42,0))</f>
        <v>44561</v>
      </c>
      <c r="F9" s="118" t="s">
        <v>201</v>
      </c>
      <c r="H9" s="124">
        <f>+INDEX('Assumptions and Sensis'!$F$47:$H$47,1,MATCH('Taxes and TIF'!B8,'Assumptions and Sensis'!$F$42:$H$42,0))</f>
        <v>45291</v>
      </c>
      <c r="J9" s="118" t="s">
        <v>188</v>
      </c>
      <c r="K9" s="33">
        <f ca="1">+SUM('Loan Sizing'!$F$17:$F$22,'Loan Sizing'!$F$38,'Loan Sizing'!$F$54)/'Taxes and TIF'!$H$5</f>
        <v>272823403.18685645</v>
      </c>
      <c r="L9" s="33"/>
      <c r="M9" s="33"/>
      <c r="R9" s="118" t="s">
        <v>203</v>
      </c>
      <c r="S9" s="124">
        <f>+INDEX('Assumptions and Sensis'!$F$45:$H$45,1,MATCH('Taxes and TIF'!R8,'Assumptions and Sensis'!$F$42:$H$42,0))</f>
        <v>45291</v>
      </c>
      <c r="V9" s="118" t="s">
        <v>201</v>
      </c>
      <c r="X9" s="124">
        <f>+INDEX('Assumptions and Sensis'!$F$47:$H$47,1,MATCH('Taxes and TIF'!R8,'Assumptions and Sensis'!$F$42:$H$42,0))</f>
        <v>46022</v>
      </c>
      <c r="Z9" s="118" t="s">
        <v>188</v>
      </c>
      <c r="AA9" s="33">
        <f ca="1">+SUM('Loan Sizing'!$G$17:$G$22,'Loan Sizing'!$G$38,'Loan Sizing'!$G$54)/'Taxes and TIF'!$H$5</f>
        <v>157043233.41040519</v>
      </c>
      <c r="AB9" s="33"/>
      <c r="AC9" s="33"/>
      <c r="AG9" s="118" t="s">
        <v>203</v>
      </c>
      <c r="AH9" s="124">
        <f>+INDEX('Assumptions and Sensis'!$F$45:$H$45,1,MATCH('Taxes and TIF'!AG8,'Assumptions and Sensis'!$F$42:$H$42,0))</f>
        <v>46022</v>
      </c>
      <c r="AK9" s="118" t="s">
        <v>201</v>
      </c>
      <c r="AM9" s="124">
        <f>+INDEX('Assumptions and Sensis'!$F$47:$H$47,1,MATCH('Taxes and TIF'!AG8,'Assumptions and Sensis'!$F$42:$H$42,0))</f>
        <v>46752</v>
      </c>
      <c r="AO9" s="118" t="s">
        <v>188</v>
      </c>
      <c r="AP9" s="33">
        <f ca="1">+SUM('Loan Sizing'!$H$17:$H$22,'Loan Sizing'!$I$38,'Loan Sizing'!$I$54)/'Taxes and TIF'!$H$5</f>
        <v>239503950.29747936</v>
      </c>
      <c r="AQ9" s="33"/>
      <c r="AR9" s="33"/>
    </row>
    <row r="10" spans="1:47" ht="42.75" customHeight="1" thickBot="1" x14ac:dyDescent="0.25">
      <c r="B10" s="110" t="s">
        <v>187</v>
      </c>
      <c r="C10" s="110" t="s">
        <v>199</v>
      </c>
      <c r="D10" s="110" t="s">
        <v>189</v>
      </c>
      <c r="E10" s="110" t="s">
        <v>7</v>
      </c>
      <c r="F10" s="110" t="s">
        <v>188</v>
      </c>
      <c r="G10" s="110" t="s">
        <v>191</v>
      </c>
      <c r="H10" s="110" t="s">
        <v>192</v>
      </c>
      <c r="I10" s="110" t="s">
        <v>183</v>
      </c>
      <c r="J10" s="110" t="s">
        <v>193</v>
      </c>
      <c r="K10" s="110" t="s">
        <v>194</v>
      </c>
      <c r="L10" s="110" t="s">
        <v>319</v>
      </c>
      <c r="M10" s="110" t="s">
        <v>318</v>
      </c>
      <c r="N10" s="110" t="s">
        <v>195</v>
      </c>
      <c r="O10" s="110" t="s">
        <v>317</v>
      </c>
      <c r="P10" s="163"/>
      <c r="R10" s="110" t="s">
        <v>187</v>
      </c>
      <c r="S10" s="110" t="s">
        <v>199</v>
      </c>
      <c r="T10" s="110" t="s">
        <v>189</v>
      </c>
      <c r="U10" s="110" t="s">
        <v>7</v>
      </c>
      <c r="V10" s="110" t="s">
        <v>188</v>
      </c>
      <c r="W10" s="110" t="s">
        <v>191</v>
      </c>
      <c r="X10" s="110" t="s">
        <v>192</v>
      </c>
      <c r="Y10" s="110" t="s">
        <v>183</v>
      </c>
      <c r="Z10" s="110" t="s">
        <v>193</v>
      </c>
      <c r="AA10" s="110" t="s">
        <v>194</v>
      </c>
      <c r="AB10" s="110" t="s">
        <v>319</v>
      </c>
      <c r="AC10" s="110" t="s">
        <v>318</v>
      </c>
      <c r="AD10" s="110" t="s">
        <v>195</v>
      </c>
      <c r="AE10" s="110" t="s">
        <v>197</v>
      </c>
      <c r="AG10" s="110" t="s">
        <v>187</v>
      </c>
      <c r="AH10" s="110" t="s">
        <v>199</v>
      </c>
      <c r="AI10" s="110" t="s">
        <v>189</v>
      </c>
      <c r="AJ10" s="110" t="s">
        <v>7</v>
      </c>
      <c r="AK10" s="110" t="s">
        <v>188</v>
      </c>
      <c r="AL10" s="110" t="s">
        <v>191</v>
      </c>
      <c r="AM10" s="110" t="s">
        <v>192</v>
      </c>
      <c r="AN10" s="110" t="s">
        <v>183</v>
      </c>
      <c r="AO10" s="110" t="s">
        <v>193</v>
      </c>
      <c r="AP10" s="110" t="s">
        <v>194</v>
      </c>
      <c r="AQ10" s="110" t="s">
        <v>319</v>
      </c>
      <c r="AR10" s="110" t="s">
        <v>318</v>
      </c>
      <c r="AS10" s="110" t="s">
        <v>195</v>
      </c>
      <c r="AT10" s="110" t="s">
        <v>197</v>
      </c>
    </row>
    <row r="11" spans="1:47" ht="16" customHeight="1" x14ac:dyDescent="0.2">
      <c r="A11" s="109">
        <v>0</v>
      </c>
      <c r="B11" s="123">
        <f>+C9</f>
        <v>44561</v>
      </c>
      <c r="C11" s="116">
        <v>0</v>
      </c>
      <c r="D11" s="196">
        <f>+INDEX(Budget!$H$23:$J$23,1,MATCH('Taxes and TIF'!B8,Budget!$H$22:$J$22,0))</f>
        <v>6900151</v>
      </c>
      <c r="E11" s="106">
        <v>1</v>
      </c>
      <c r="F11" s="33">
        <f t="shared" ref="F11:F45" si="0">+IF(B11&gt;=H$9,K$9,0)*E11</f>
        <v>0</v>
      </c>
      <c r="G11" s="107">
        <f>+$H$3</f>
        <v>0.35</v>
      </c>
      <c r="H11" s="33">
        <f t="shared" ref="H11:H45" si="1">+F11*G11</f>
        <v>0</v>
      </c>
      <c r="I11" s="48">
        <f>+$H$2</f>
        <v>96.515600000000006</v>
      </c>
      <c r="J11" s="33">
        <f>+MAX(I11*H11/1000-L11,0)</f>
        <v>0</v>
      </c>
      <c r="K11" s="107">
        <f>+$H$4</f>
        <v>0.25</v>
      </c>
      <c r="L11" s="33">
        <f t="shared" ref="L11:L45" si="2">+D11*G11*I11/1000</f>
        <v>233090.27484945997</v>
      </c>
      <c r="M11" s="33">
        <f>+L11+J11</f>
        <v>233090.27484945997</v>
      </c>
      <c r="N11" s="33">
        <f t="shared" ref="N11:N12" si="3">+J11*(1-K11)</f>
        <v>0</v>
      </c>
      <c r="O11" s="33">
        <f t="shared" ref="O11:O12" si="4">+N11/$D$4</f>
        <v>0</v>
      </c>
      <c r="P11" s="403" t="str">
        <f>+IF(O11=0,"",O11)</f>
        <v/>
      </c>
      <c r="R11" s="123">
        <f>+S9</f>
        <v>45291</v>
      </c>
      <c r="S11" s="116">
        <v>0</v>
      </c>
      <c r="T11" s="196">
        <f>+INDEX(Budget!$H$23:$J$23,1,MATCH('Taxes and TIF'!R8,Budget!$H$22:$J$22,0))</f>
        <v>818973.10714285716</v>
      </c>
      <c r="U11" s="106">
        <v>1</v>
      </c>
      <c r="V11" s="33">
        <f>+IF(R11&gt;=X$9,AA$9,0)*U11</f>
        <v>0</v>
      </c>
      <c r="W11" s="107">
        <f>+$H$3</f>
        <v>0.35</v>
      </c>
      <c r="X11" s="33">
        <f>+V11*W11</f>
        <v>0</v>
      </c>
      <c r="Y11" s="48">
        <f>+$H$2</f>
        <v>96.515600000000006</v>
      </c>
      <c r="Z11" s="33">
        <f>+MAX(Y11*X11/1000-AB11,0)</f>
        <v>0</v>
      </c>
      <c r="AA11" s="107">
        <f>+$H$4</f>
        <v>0.25</v>
      </c>
      <c r="AB11" s="33">
        <f>+T11*W11*Y11/1000</f>
        <v>27665.288286914998</v>
      </c>
      <c r="AC11" s="33">
        <f>+AB11+Z11</f>
        <v>27665.288286914998</v>
      </c>
      <c r="AD11" s="33">
        <f>+Z11*(1-AA11)</f>
        <v>0</v>
      </c>
      <c r="AE11" s="33">
        <f t="shared" ref="AE11:AE12" si="5">+AD11/$D$4</f>
        <v>0</v>
      </c>
      <c r="AF11" s="403" t="str">
        <f>+IF(AE11=0,"",AE11)</f>
        <v/>
      </c>
      <c r="AG11" s="123">
        <f>+AH9</f>
        <v>46022</v>
      </c>
      <c r="AH11" s="116">
        <v>0</v>
      </c>
      <c r="AI11" s="196">
        <f>+INDEX(Budget!$H$23:$J$23,1,MATCH('Taxes and TIF'!AG8,Budget!$H$22:$J$22,0))</f>
        <v>9121587</v>
      </c>
      <c r="AJ11" s="106">
        <v>1</v>
      </c>
      <c r="AK11" s="33">
        <f>+IF(AG11&gt;=AM$9,AP$9,0)*AJ11</f>
        <v>0</v>
      </c>
      <c r="AL11" s="107">
        <f>+$H$3</f>
        <v>0.35</v>
      </c>
      <c r="AM11" s="33">
        <f>+AK11*AL11</f>
        <v>0</v>
      </c>
      <c r="AN11" s="48">
        <f>+$H$2</f>
        <v>96.515600000000006</v>
      </c>
      <c r="AO11" s="33">
        <f>+MAX(AN11*AM11/1000-AQ11,0)</f>
        <v>0</v>
      </c>
      <c r="AP11" s="107">
        <f>+$H$4</f>
        <v>0.25</v>
      </c>
      <c r="AQ11" s="33">
        <f>+AI11*AL11*AN11/1000</f>
        <v>308131.40479001997</v>
      </c>
      <c r="AR11" s="33">
        <f>+AQ11+AO11</f>
        <v>308131.40479001997</v>
      </c>
      <c r="AS11" s="33">
        <f>+AO11*(1-AP11)</f>
        <v>0</v>
      </c>
      <c r="AT11" s="33">
        <f t="shared" ref="AT11:AT12" si="6">+AS11/$D$4</f>
        <v>0</v>
      </c>
      <c r="AU11" s="403" t="str">
        <f>+IF(AT11=0,"",AT11)</f>
        <v/>
      </c>
    </row>
    <row r="12" spans="1:47" ht="16" customHeight="1" x14ac:dyDescent="0.2">
      <c r="A12" s="109">
        <f t="shared" ref="A12:A17" si="7">+MOD(A11+1,$D$3)</f>
        <v>1</v>
      </c>
      <c r="B12" s="123">
        <f>+EOMONTH(B11,12)</f>
        <v>44926</v>
      </c>
      <c r="C12" s="116">
        <f>+IF(B12&gt;=H$9,'Taxes and TIF'!C11+1,'Taxes and TIF'!C11)</f>
        <v>0</v>
      </c>
      <c r="D12" s="41">
        <f>+$D$11*E12</f>
        <v>6900151</v>
      </c>
      <c r="E12" s="115">
        <f>+E11*(1+IF($A12=0,$D$2,0))</f>
        <v>1</v>
      </c>
      <c r="F12" s="41">
        <f t="shared" si="0"/>
        <v>0</v>
      </c>
      <c r="G12" s="107">
        <f>+G11</f>
        <v>0.35</v>
      </c>
      <c r="H12" s="41">
        <f t="shared" si="1"/>
        <v>0</v>
      </c>
      <c r="I12" s="48">
        <f>+I11</f>
        <v>96.515600000000006</v>
      </c>
      <c r="J12" s="41">
        <f>+MAX(I12*H12/1000-L12,0)</f>
        <v>0</v>
      </c>
      <c r="K12" s="107">
        <f>+K11</f>
        <v>0.25</v>
      </c>
      <c r="L12" s="41">
        <f t="shared" si="2"/>
        <v>233090.27484945997</v>
      </c>
      <c r="M12" s="41">
        <f t="shared" ref="M12" si="8">+L12+J12</f>
        <v>233090.27484945997</v>
      </c>
      <c r="N12" s="41">
        <f t="shared" si="3"/>
        <v>0</v>
      </c>
      <c r="O12" s="41">
        <f t="shared" si="4"/>
        <v>0</v>
      </c>
      <c r="P12" s="403" t="str">
        <f t="shared" ref="P12:P45" si="9">+IF(O12=0,"",O12)</f>
        <v/>
      </c>
      <c r="R12" s="123">
        <f>+EOMONTH(R11,12)</f>
        <v>45657</v>
      </c>
      <c r="S12" s="116">
        <f>+IF(R12&gt;=X$9,'Taxes and TIF'!S11+1,'Taxes and TIF'!S11)</f>
        <v>0</v>
      </c>
      <c r="T12" s="41">
        <f>+T11</f>
        <v>818973.10714285716</v>
      </c>
      <c r="U12" s="115">
        <f>+U11*(1+IF($A12=0,$D$2,0))</f>
        <v>1</v>
      </c>
      <c r="V12" s="41">
        <f t="shared" ref="V12" si="10">+IF(R12&gt;=X$9,AA$9,0)*U12</f>
        <v>0</v>
      </c>
      <c r="W12" s="107">
        <f>+W11</f>
        <v>0.35</v>
      </c>
      <c r="X12" s="41">
        <f t="shared" ref="X12" si="11">+V12*W12</f>
        <v>0</v>
      </c>
      <c r="Y12" s="48">
        <f>+Y11</f>
        <v>96.515600000000006</v>
      </c>
      <c r="Z12" s="41">
        <f t="shared" ref="Z12" si="12">+MAX(Y12*X12/1000-AB12,0)</f>
        <v>0</v>
      </c>
      <c r="AA12" s="107">
        <f>+AA11</f>
        <v>0.25</v>
      </c>
      <c r="AB12" s="41">
        <f t="shared" ref="AB12" si="13">+T12*W12*Y12/1000</f>
        <v>27665.288286914998</v>
      </c>
      <c r="AC12" s="41">
        <f t="shared" ref="AC12" si="14">+AB12+Z12</f>
        <v>27665.288286914998</v>
      </c>
      <c r="AD12" s="41">
        <f t="shared" ref="AD12" si="15">+Z12*(1-AA12)</f>
        <v>0</v>
      </c>
      <c r="AE12" s="41">
        <f t="shared" si="5"/>
        <v>0</v>
      </c>
      <c r="AF12" s="403" t="str">
        <f t="shared" ref="AF12:AF45" si="16">+IF(AE12=0,"",AE12)</f>
        <v/>
      </c>
      <c r="AG12" s="123">
        <f>+EOMONTH(AG11,12)</f>
        <v>46387</v>
      </c>
      <c r="AH12" s="116">
        <f>+IF(AG12&gt;=AM$9,'Taxes and TIF'!AH11+1,'Taxes and TIF'!AH11)</f>
        <v>0</v>
      </c>
      <c r="AI12" s="41">
        <f>+AI11</f>
        <v>9121587</v>
      </c>
      <c r="AJ12" s="115">
        <f>+AJ11*(1+IF($A12=0,$D$2,0))</f>
        <v>1</v>
      </c>
      <c r="AK12" s="41">
        <f t="shared" ref="AK12" si="17">+IF(AG12&gt;=AM$9,AP$9,0)*AJ12</f>
        <v>0</v>
      </c>
      <c r="AL12" s="107">
        <f>+AL11</f>
        <v>0.35</v>
      </c>
      <c r="AM12" s="41">
        <f t="shared" ref="AM12" si="18">+AK12*AL12</f>
        <v>0</v>
      </c>
      <c r="AN12" s="48">
        <f>+AN11</f>
        <v>96.515600000000006</v>
      </c>
      <c r="AO12" s="41">
        <f t="shared" ref="AO12" si="19">+MAX(AN12*AM12/1000-AQ12,0)</f>
        <v>0</v>
      </c>
      <c r="AP12" s="107">
        <f>+AP11</f>
        <v>0.25</v>
      </c>
      <c r="AQ12" s="41">
        <f t="shared" ref="AQ12" si="20">+AI12*AL12*AN12/1000</f>
        <v>308131.40479001997</v>
      </c>
      <c r="AR12" s="41">
        <f t="shared" ref="AR12" si="21">+AQ12+AO12</f>
        <v>308131.40479001997</v>
      </c>
      <c r="AS12" s="41">
        <f t="shared" ref="AS12" si="22">+AO12*(1-AP12)</f>
        <v>0</v>
      </c>
      <c r="AT12" s="41">
        <f t="shared" si="6"/>
        <v>0</v>
      </c>
      <c r="AU12" s="403" t="str">
        <f t="shared" ref="AU12:AU45" si="23">+IF(AT12=0,"",AT12)</f>
        <v/>
      </c>
    </row>
    <row r="13" spans="1:47" ht="16" customHeight="1" x14ac:dyDescent="0.2">
      <c r="A13" s="109">
        <f t="shared" si="7"/>
        <v>2</v>
      </c>
      <c r="B13" s="123">
        <f t="shared" ref="B13:B22" si="24">+EOMONTH(B12,12)</f>
        <v>45291</v>
      </c>
      <c r="C13" s="116">
        <f>+IF(B13&gt;=H$9,'Taxes and TIF'!C12+1,'Taxes and TIF'!C12)</f>
        <v>1</v>
      </c>
      <c r="D13" s="41">
        <f t="shared" ref="D13:D45" si="25">+$D$11*E13</f>
        <v>6900151</v>
      </c>
      <c r="E13" s="115">
        <f t="shared" ref="E13:E22" si="26">+E12*(1+IF($A13=0,$D$2,0))</f>
        <v>1</v>
      </c>
      <c r="F13" s="41">
        <f t="shared" ca="1" si="0"/>
        <v>272823403.18685645</v>
      </c>
      <c r="G13" s="107">
        <f t="shared" ref="G13:G22" si="27">+G12</f>
        <v>0.35</v>
      </c>
      <c r="H13" s="41">
        <f t="shared" ca="1" si="1"/>
        <v>95488191.115399748</v>
      </c>
      <c r="I13" s="48">
        <f t="shared" ref="I13:I22" si="28">+I12</f>
        <v>96.515600000000006</v>
      </c>
      <c r="J13" s="41">
        <f t="shared" ref="J13:J22" ca="1" si="29">+MAX(I13*H13/1000-L13,0)</f>
        <v>8983009.7835680172</v>
      </c>
      <c r="K13" s="107">
        <f t="shared" ref="K13:K22" si="30">+K12</f>
        <v>0.25</v>
      </c>
      <c r="L13" s="41">
        <f t="shared" si="2"/>
        <v>233090.27484945997</v>
      </c>
      <c r="M13" s="41">
        <f t="shared" ref="M13:M22" ca="1" si="31">+L13+J13</f>
        <v>9216100.0584174767</v>
      </c>
      <c r="N13" s="41">
        <f t="shared" ref="N13:N22" ca="1" si="32">+J13*(1-K13)</f>
        <v>6737257.3376760129</v>
      </c>
      <c r="O13" s="41">
        <f t="shared" ref="O13:O22" ca="1" si="33">+N13/$D$4</f>
        <v>5389805.8701408105</v>
      </c>
      <c r="P13" s="403">
        <f t="shared" ca="1" si="9"/>
        <v>5389805.8701408105</v>
      </c>
      <c r="R13" s="123">
        <f t="shared" ref="R13:R22" si="34">+EOMONTH(R12,12)</f>
        <v>46022</v>
      </c>
      <c r="S13" s="116">
        <f>+IF(R13&gt;=X$9,'Taxes and TIF'!S12+1,'Taxes and TIF'!S12)</f>
        <v>1</v>
      </c>
      <c r="T13" s="41">
        <f t="shared" ref="T13:T22" si="35">+T12</f>
        <v>818973.10714285716</v>
      </c>
      <c r="U13" s="115">
        <f t="shared" ref="U13:U22" si="36">+U12*(1+IF($A13=0,$D$2,0))</f>
        <v>1</v>
      </c>
      <c r="V13" s="41">
        <f t="shared" ref="V13:V22" ca="1" si="37">+IF(R13&gt;=X$9,AA$9,0)*U13</f>
        <v>157043233.41040519</v>
      </c>
      <c r="W13" s="107">
        <f t="shared" ref="W13:W22" si="38">+W12</f>
        <v>0.35</v>
      </c>
      <c r="X13" s="41">
        <f t="shared" ref="X13:X22" ca="1" si="39">+V13*W13</f>
        <v>54965131.693641812</v>
      </c>
      <c r="Y13" s="48">
        <f t="shared" ref="Y13:Y22" si="40">+Y12</f>
        <v>96.515600000000006</v>
      </c>
      <c r="Z13" s="41">
        <f t="shared" ref="Z13:Z22" ca="1" si="41">+MAX(Y13*X13/1000-AB13,0)</f>
        <v>5277327.3762039412</v>
      </c>
      <c r="AA13" s="107">
        <f t="shared" ref="AA13:AA22" si="42">+AA12</f>
        <v>0.25</v>
      </c>
      <c r="AB13" s="41">
        <f t="shared" ref="AB13:AB22" si="43">+T13*W13*Y13/1000</f>
        <v>27665.288286914998</v>
      </c>
      <c r="AC13" s="41">
        <f t="shared" ref="AC13:AC22" ca="1" si="44">+AB13+Z13</f>
        <v>5304992.6644908562</v>
      </c>
      <c r="AD13" s="41">
        <f t="shared" ref="AD13:AD22" ca="1" si="45">+Z13*(1-AA13)</f>
        <v>3957995.5321529559</v>
      </c>
      <c r="AE13" s="41">
        <f t="shared" ref="AE13:AE22" ca="1" si="46">+AD13/$D$4</f>
        <v>3166396.4257223648</v>
      </c>
      <c r="AF13" s="403">
        <f t="shared" ca="1" si="16"/>
        <v>3166396.4257223648</v>
      </c>
      <c r="AG13" s="123">
        <f t="shared" ref="AG13:AG22" si="47">+EOMONTH(AG12,12)</f>
        <v>46752</v>
      </c>
      <c r="AH13" s="116">
        <f>+IF(AG13&gt;=AM$9,'Taxes and TIF'!AH12+1,'Taxes and TIF'!AH12)</f>
        <v>1</v>
      </c>
      <c r="AI13" s="41">
        <f t="shared" ref="AI13:AI22" si="48">+AI12</f>
        <v>9121587</v>
      </c>
      <c r="AJ13" s="115">
        <f t="shared" ref="AJ13:AJ22" si="49">+AJ12*(1+IF($A13=0,$D$2,0))</f>
        <v>1</v>
      </c>
      <c r="AK13" s="41">
        <f t="shared" ref="AK13:AK22" ca="1" si="50">+IF(AG13&gt;=AM$9,AP$9,0)*AJ13</f>
        <v>239503950.29747936</v>
      </c>
      <c r="AL13" s="107">
        <f t="shared" ref="AL13:AL22" si="51">+AL12</f>
        <v>0.35</v>
      </c>
      <c r="AM13" s="41">
        <f t="shared" ref="AM13:AM22" ca="1" si="52">+AK13*AL13</f>
        <v>83826382.604117766</v>
      </c>
      <c r="AN13" s="48">
        <f t="shared" ref="AN13:AN22" si="53">+AN12</f>
        <v>96.515600000000006</v>
      </c>
      <c r="AO13" s="41">
        <f t="shared" ref="AO13:AO22" ca="1" si="54">+MAX(AN13*AM13/1000-AQ13,0)</f>
        <v>7782422.2080759695</v>
      </c>
      <c r="AP13" s="107">
        <f t="shared" ref="AP13:AP22" si="55">+AP12</f>
        <v>0.25</v>
      </c>
      <c r="AQ13" s="41">
        <f t="shared" ref="AQ13:AQ22" si="56">+AI13*AL13*AN13/1000</f>
        <v>308131.40479001997</v>
      </c>
      <c r="AR13" s="41">
        <f t="shared" ref="AR13:AR22" ca="1" si="57">+AQ13+AO13</f>
        <v>8090553.6128659891</v>
      </c>
      <c r="AS13" s="41">
        <f t="shared" ref="AS13:AS22" ca="1" si="58">+AO13*(1-AP13)</f>
        <v>5836816.6560569769</v>
      </c>
      <c r="AT13" s="41">
        <f t="shared" ref="AT13:AT22" ca="1" si="59">+AS13/$D$4</f>
        <v>4669453.3248455813</v>
      </c>
      <c r="AU13" s="403">
        <f t="shared" ca="1" si="23"/>
        <v>4669453.3248455813</v>
      </c>
    </row>
    <row r="14" spans="1:47" ht="16" customHeight="1" x14ac:dyDescent="0.2">
      <c r="A14" s="109">
        <f t="shared" si="7"/>
        <v>0</v>
      </c>
      <c r="B14" s="123">
        <f t="shared" si="24"/>
        <v>45657</v>
      </c>
      <c r="C14" s="116">
        <f>+IF(B14&gt;=H$9,'Taxes and TIF'!C13+1,'Taxes and TIF'!C13)</f>
        <v>2</v>
      </c>
      <c r="D14" s="41">
        <f t="shared" si="25"/>
        <v>7038154.0200000005</v>
      </c>
      <c r="E14" s="115">
        <f t="shared" si="26"/>
        <v>1.02</v>
      </c>
      <c r="F14" s="41">
        <f t="shared" ca="1" si="0"/>
        <v>278279871.2505936</v>
      </c>
      <c r="G14" s="107">
        <f t="shared" si="27"/>
        <v>0.35</v>
      </c>
      <c r="H14" s="41">
        <f t="shared" ca="1" si="1"/>
        <v>97397954.937707752</v>
      </c>
      <c r="I14" s="48">
        <f t="shared" si="28"/>
        <v>96.515600000000006</v>
      </c>
      <c r="J14" s="41">
        <f t="shared" ca="1" si="29"/>
        <v>9162669.9792393781</v>
      </c>
      <c r="K14" s="107">
        <f t="shared" si="30"/>
        <v>0.25</v>
      </c>
      <c r="L14" s="41">
        <f t="shared" si="2"/>
        <v>237752.08034644922</v>
      </c>
      <c r="M14" s="41">
        <f t="shared" ca="1" si="31"/>
        <v>9400422.0595858265</v>
      </c>
      <c r="N14" s="41">
        <f t="shared" ca="1" si="32"/>
        <v>6872002.4844295336</v>
      </c>
      <c r="O14" s="41">
        <f t="shared" ca="1" si="33"/>
        <v>5497601.9875436267</v>
      </c>
      <c r="P14" s="403">
        <f t="shared" ca="1" si="9"/>
        <v>5497601.9875436267</v>
      </c>
      <c r="R14" s="123">
        <f t="shared" si="34"/>
        <v>46387</v>
      </c>
      <c r="S14" s="116">
        <f>+IF(R14&gt;=X$9,'Taxes and TIF'!S13+1,'Taxes and TIF'!S13)</f>
        <v>2</v>
      </c>
      <c r="T14" s="41">
        <f t="shared" si="35"/>
        <v>818973.10714285716</v>
      </c>
      <c r="U14" s="115">
        <f t="shared" si="36"/>
        <v>1.02</v>
      </c>
      <c r="V14" s="41">
        <f t="shared" ca="1" si="37"/>
        <v>160184098.07861328</v>
      </c>
      <c r="W14" s="107">
        <f t="shared" si="38"/>
        <v>0.35</v>
      </c>
      <c r="X14" s="41">
        <f t="shared" ca="1" si="39"/>
        <v>56064434.327514648</v>
      </c>
      <c r="Y14" s="48">
        <f t="shared" si="40"/>
        <v>96.515600000000006</v>
      </c>
      <c r="Z14" s="41">
        <f t="shared" ca="1" si="41"/>
        <v>5383427.2294937577</v>
      </c>
      <c r="AA14" s="107">
        <f t="shared" si="42"/>
        <v>0.25</v>
      </c>
      <c r="AB14" s="41">
        <f t="shared" si="43"/>
        <v>27665.288286914998</v>
      </c>
      <c r="AC14" s="41">
        <f t="shared" ca="1" si="44"/>
        <v>5411092.5177806728</v>
      </c>
      <c r="AD14" s="41">
        <f t="shared" ca="1" si="45"/>
        <v>4037570.4221203183</v>
      </c>
      <c r="AE14" s="41">
        <f t="shared" ca="1" si="46"/>
        <v>3230056.3376962547</v>
      </c>
      <c r="AF14" s="403">
        <f t="shared" ca="1" si="16"/>
        <v>3230056.3376962547</v>
      </c>
      <c r="AG14" s="123">
        <f t="shared" si="47"/>
        <v>47118</v>
      </c>
      <c r="AH14" s="116">
        <f>+IF(AG14&gt;=AM$9,'Taxes and TIF'!AH13+1,'Taxes and TIF'!AH13)</f>
        <v>2</v>
      </c>
      <c r="AI14" s="41">
        <f t="shared" si="48"/>
        <v>9121587</v>
      </c>
      <c r="AJ14" s="115">
        <f t="shared" si="49"/>
        <v>1.02</v>
      </c>
      <c r="AK14" s="41">
        <f t="shared" ca="1" si="50"/>
        <v>244294029.30342895</v>
      </c>
      <c r="AL14" s="107">
        <f t="shared" si="51"/>
        <v>0.35</v>
      </c>
      <c r="AM14" s="41">
        <f t="shared" ca="1" si="52"/>
        <v>85502910.25620012</v>
      </c>
      <c r="AN14" s="48">
        <f t="shared" si="53"/>
        <v>96.515600000000006</v>
      </c>
      <c r="AO14" s="41">
        <f t="shared" ca="1" si="54"/>
        <v>7944233.2803332899</v>
      </c>
      <c r="AP14" s="107">
        <f t="shared" si="55"/>
        <v>0.25</v>
      </c>
      <c r="AQ14" s="41">
        <f t="shared" si="56"/>
        <v>308131.40479001997</v>
      </c>
      <c r="AR14" s="41">
        <f t="shared" ca="1" si="57"/>
        <v>8252364.6851233095</v>
      </c>
      <c r="AS14" s="41">
        <f t="shared" ca="1" si="58"/>
        <v>5958174.9602499679</v>
      </c>
      <c r="AT14" s="41">
        <f t="shared" ca="1" si="59"/>
        <v>4766539.9681999739</v>
      </c>
      <c r="AU14" s="403">
        <f t="shared" ca="1" si="23"/>
        <v>4766539.9681999739</v>
      </c>
    </row>
    <row r="15" spans="1:47" ht="16" customHeight="1" x14ac:dyDescent="0.2">
      <c r="A15" s="109">
        <f t="shared" si="7"/>
        <v>1</v>
      </c>
      <c r="B15" s="123">
        <f t="shared" si="24"/>
        <v>46022</v>
      </c>
      <c r="C15" s="116">
        <f>+IF(B15&gt;=H$9,'Taxes and TIF'!C14+1,'Taxes and TIF'!C14)</f>
        <v>3</v>
      </c>
      <c r="D15" s="41">
        <f t="shared" si="25"/>
        <v>7038154.0200000005</v>
      </c>
      <c r="E15" s="115">
        <f t="shared" si="26"/>
        <v>1.02</v>
      </c>
      <c r="F15" s="41">
        <f t="shared" ca="1" si="0"/>
        <v>278279871.2505936</v>
      </c>
      <c r="G15" s="107">
        <f t="shared" si="27"/>
        <v>0.35</v>
      </c>
      <c r="H15" s="41">
        <f t="shared" ca="1" si="1"/>
        <v>97397954.937707752</v>
      </c>
      <c r="I15" s="48">
        <f t="shared" si="28"/>
        <v>96.515600000000006</v>
      </c>
      <c r="J15" s="41">
        <f t="shared" ca="1" si="29"/>
        <v>9162669.9792393781</v>
      </c>
      <c r="K15" s="107">
        <f t="shared" si="30"/>
        <v>0.25</v>
      </c>
      <c r="L15" s="41">
        <f t="shared" si="2"/>
        <v>237752.08034644922</v>
      </c>
      <c r="M15" s="41">
        <f t="shared" ca="1" si="31"/>
        <v>9400422.0595858265</v>
      </c>
      <c r="N15" s="41">
        <f t="shared" ca="1" si="32"/>
        <v>6872002.4844295336</v>
      </c>
      <c r="O15" s="41">
        <f t="shared" ca="1" si="33"/>
        <v>5497601.9875436267</v>
      </c>
      <c r="P15" s="403">
        <f t="shared" ca="1" si="9"/>
        <v>5497601.9875436267</v>
      </c>
      <c r="R15" s="123">
        <f t="shared" si="34"/>
        <v>46752</v>
      </c>
      <c r="S15" s="116">
        <f>+IF(R15&gt;=X$9,'Taxes and TIF'!S14+1,'Taxes and TIF'!S14)</f>
        <v>3</v>
      </c>
      <c r="T15" s="41">
        <f t="shared" si="35"/>
        <v>818973.10714285716</v>
      </c>
      <c r="U15" s="115">
        <f t="shared" si="36"/>
        <v>1.02</v>
      </c>
      <c r="V15" s="41">
        <f t="shared" ca="1" si="37"/>
        <v>160184098.07861328</v>
      </c>
      <c r="W15" s="107">
        <f t="shared" si="38"/>
        <v>0.35</v>
      </c>
      <c r="X15" s="41">
        <f t="shared" ca="1" si="39"/>
        <v>56064434.327514648</v>
      </c>
      <c r="Y15" s="48">
        <f t="shared" si="40"/>
        <v>96.515600000000006</v>
      </c>
      <c r="Z15" s="41">
        <f t="shared" ca="1" si="41"/>
        <v>5383427.2294937577</v>
      </c>
      <c r="AA15" s="107">
        <f t="shared" si="42"/>
        <v>0.25</v>
      </c>
      <c r="AB15" s="41">
        <f t="shared" si="43"/>
        <v>27665.288286914998</v>
      </c>
      <c r="AC15" s="41">
        <f t="shared" ca="1" si="44"/>
        <v>5411092.5177806728</v>
      </c>
      <c r="AD15" s="41">
        <f t="shared" ca="1" si="45"/>
        <v>4037570.4221203183</v>
      </c>
      <c r="AE15" s="41">
        <f t="shared" ca="1" si="46"/>
        <v>3230056.3376962547</v>
      </c>
      <c r="AF15" s="403">
        <f t="shared" ca="1" si="16"/>
        <v>3230056.3376962547</v>
      </c>
      <c r="AG15" s="123">
        <f t="shared" si="47"/>
        <v>47483</v>
      </c>
      <c r="AH15" s="116">
        <f>+IF(AG15&gt;=AM$9,'Taxes and TIF'!AH14+1,'Taxes and TIF'!AH14)</f>
        <v>3</v>
      </c>
      <c r="AI15" s="41">
        <f t="shared" si="48"/>
        <v>9121587</v>
      </c>
      <c r="AJ15" s="115">
        <f t="shared" si="49"/>
        <v>1.02</v>
      </c>
      <c r="AK15" s="41">
        <f t="shared" ca="1" si="50"/>
        <v>244294029.30342895</v>
      </c>
      <c r="AL15" s="107">
        <f t="shared" si="51"/>
        <v>0.35</v>
      </c>
      <c r="AM15" s="41">
        <f t="shared" ca="1" si="52"/>
        <v>85502910.25620012</v>
      </c>
      <c r="AN15" s="48">
        <f t="shared" si="53"/>
        <v>96.515600000000006</v>
      </c>
      <c r="AO15" s="41">
        <f t="shared" ca="1" si="54"/>
        <v>7944233.2803332899</v>
      </c>
      <c r="AP15" s="107">
        <f t="shared" si="55"/>
        <v>0.25</v>
      </c>
      <c r="AQ15" s="41">
        <f t="shared" si="56"/>
        <v>308131.40479001997</v>
      </c>
      <c r="AR15" s="41">
        <f t="shared" ca="1" si="57"/>
        <v>8252364.6851233095</v>
      </c>
      <c r="AS15" s="41">
        <f t="shared" ca="1" si="58"/>
        <v>5958174.9602499679</v>
      </c>
      <c r="AT15" s="41">
        <f t="shared" ca="1" si="59"/>
        <v>4766539.9681999739</v>
      </c>
      <c r="AU15" s="403">
        <f t="shared" ca="1" si="23"/>
        <v>4766539.9681999739</v>
      </c>
    </row>
    <row r="16" spans="1:47" ht="16" customHeight="1" x14ac:dyDescent="0.2">
      <c r="A16" s="109">
        <f t="shared" si="7"/>
        <v>2</v>
      </c>
      <c r="B16" s="123">
        <f t="shared" si="24"/>
        <v>46387</v>
      </c>
      <c r="C16" s="116">
        <f>+IF(B16&gt;=H$9,'Taxes and TIF'!C15+1,'Taxes and TIF'!C15)</f>
        <v>4</v>
      </c>
      <c r="D16" s="41">
        <f t="shared" si="25"/>
        <v>7038154.0200000005</v>
      </c>
      <c r="E16" s="115">
        <f t="shared" si="26"/>
        <v>1.02</v>
      </c>
      <c r="F16" s="41">
        <f t="shared" ca="1" si="0"/>
        <v>278279871.2505936</v>
      </c>
      <c r="G16" s="107">
        <f t="shared" si="27"/>
        <v>0.35</v>
      </c>
      <c r="H16" s="41">
        <f t="shared" ca="1" si="1"/>
        <v>97397954.937707752</v>
      </c>
      <c r="I16" s="48">
        <f t="shared" si="28"/>
        <v>96.515600000000006</v>
      </c>
      <c r="J16" s="41">
        <f t="shared" ca="1" si="29"/>
        <v>9162669.9792393781</v>
      </c>
      <c r="K16" s="107">
        <f t="shared" si="30"/>
        <v>0.25</v>
      </c>
      <c r="L16" s="41">
        <f t="shared" si="2"/>
        <v>237752.08034644922</v>
      </c>
      <c r="M16" s="41">
        <f t="shared" ca="1" si="31"/>
        <v>9400422.0595858265</v>
      </c>
      <c r="N16" s="41">
        <f t="shared" ca="1" si="32"/>
        <v>6872002.4844295336</v>
      </c>
      <c r="O16" s="41">
        <f t="shared" ca="1" si="33"/>
        <v>5497601.9875436267</v>
      </c>
      <c r="P16" s="403">
        <f t="shared" ca="1" si="9"/>
        <v>5497601.9875436267</v>
      </c>
      <c r="R16" s="123">
        <f t="shared" si="34"/>
        <v>47118</v>
      </c>
      <c r="S16" s="116">
        <f>+IF(R16&gt;=X$9,'Taxes and TIF'!S15+1,'Taxes and TIF'!S15)</f>
        <v>4</v>
      </c>
      <c r="T16" s="41">
        <f t="shared" si="35"/>
        <v>818973.10714285716</v>
      </c>
      <c r="U16" s="115">
        <f t="shared" si="36"/>
        <v>1.02</v>
      </c>
      <c r="V16" s="41">
        <f t="shared" ca="1" si="37"/>
        <v>160184098.07861328</v>
      </c>
      <c r="W16" s="107">
        <f t="shared" si="38"/>
        <v>0.35</v>
      </c>
      <c r="X16" s="41">
        <f t="shared" ca="1" si="39"/>
        <v>56064434.327514648</v>
      </c>
      <c r="Y16" s="48">
        <f t="shared" si="40"/>
        <v>96.515600000000006</v>
      </c>
      <c r="Z16" s="41">
        <f t="shared" ca="1" si="41"/>
        <v>5383427.2294937577</v>
      </c>
      <c r="AA16" s="107">
        <f t="shared" si="42"/>
        <v>0.25</v>
      </c>
      <c r="AB16" s="41">
        <f t="shared" si="43"/>
        <v>27665.288286914998</v>
      </c>
      <c r="AC16" s="41">
        <f t="shared" ca="1" si="44"/>
        <v>5411092.5177806728</v>
      </c>
      <c r="AD16" s="41">
        <f t="shared" ca="1" si="45"/>
        <v>4037570.4221203183</v>
      </c>
      <c r="AE16" s="41">
        <f t="shared" ca="1" si="46"/>
        <v>3230056.3376962547</v>
      </c>
      <c r="AF16" s="403">
        <f t="shared" ca="1" si="16"/>
        <v>3230056.3376962547</v>
      </c>
      <c r="AG16" s="123">
        <f t="shared" si="47"/>
        <v>47848</v>
      </c>
      <c r="AH16" s="116">
        <f>+IF(AG16&gt;=AM$9,'Taxes and TIF'!AH15+1,'Taxes and TIF'!AH15)</f>
        <v>4</v>
      </c>
      <c r="AI16" s="41">
        <f t="shared" si="48"/>
        <v>9121587</v>
      </c>
      <c r="AJ16" s="115">
        <f t="shared" si="49"/>
        <v>1.02</v>
      </c>
      <c r="AK16" s="41">
        <f t="shared" ca="1" si="50"/>
        <v>244294029.30342895</v>
      </c>
      <c r="AL16" s="107">
        <f t="shared" si="51"/>
        <v>0.35</v>
      </c>
      <c r="AM16" s="41">
        <f t="shared" ca="1" si="52"/>
        <v>85502910.25620012</v>
      </c>
      <c r="AN16" s="48">
        <f t="shared" si="53"/>
        <v>96.515600000000006</v>
      </c>
      <c r="AO16" s="41">
        <f t="shared" ca="1" si="54"/>
        <v>7944233.2803332899</v>
      </c>
      <c r="AP16" s="107">
        <f t="shared" si="55"/>
        <v>0.25</v>
      </c>
      <c r="AQ16" s="41">
        <f t="shared" si="56"/>
        <v>308131.40479001997</v>
      </c>
      <c r="AR16" s="41">
        <f t="shared" ca="1" si="57"/>
        <v>8252364.6851233095</v>
      </c>
      <c r="AS16" s="41">
        <f t="shared" ca="1" si="58"/>
        <v>5958174.9602499679</v>
      </c>
      <c r="AT16" s="41">
        <f t="shared" ca="1" si="59"/>
        <v>4766539.9681999739</v>
      </c>
      <c r="AU16" s="403">
        <f t="shared" ca="1" si="23"/>
        <v>4766539.9681999739</v>
      </c>
    </row>
    <row r="17" spans="1:47" s="204" customFormat="1" ht="16" customHeight="1" x14ac:dyDescent="0.2">
      <c r="A17" s="109">
        <f t="shared" si="7"/>
        <v>0</v>
      </c>
      <c r="B17" s="123">
        <f t="shared" si="24"/>
        <v>46752</v>
      </c>
      <c r="C17" s="116">
        <f>+IF(B17&gt;=H$9,'Taxes and TIF'!C16+1,'Taxes and TIF'!C16)</f>
        <v>5</v>
      </c>
      <c r="D17" s="41">
        <f t="shared" si="25"/>
        <v>7178917.1003999999</v>
      </c>
      <c r="E17" s="115">
        <f t="shared" si="26"/>
        <v>1.0404</v>
      </c>
      <c r="F17" s="41">
        <f t="shared" ca="1" si="0"/>
        <v>283845468.67560548</v>
      </c>
      <c r="G17" s="107">
        <f t="shared" si="27"/>
        <v>0.35</v>
      </c>
      <c r="H17" s="41">
        <f t="shared" ca="1" si="1"/>
        <v>99345914.036461905</v>
      </c>
      <c r="I17" s="48">
        <f t="shared" si="28"/>
        <v>96.515600000000006</v>
      </c>
      <c r="J17" s="41">
        <f t="shared" ca="1" si="29"/>
        <v>9345923.378824167</v>
      </c>
      <c r="K17" s="107">
        <f t="shared" si="30"/>
        <v>0.25</v>
      </c>
      <c r="L17" s="41">
        <f t="shared" si="2"/>
        <v>242507.1219533782</v>
      </c>
      <c r="M17" s="41">
        <f t="shared" ca="1" si="31"/>
        <v>9588430.5007775445</v>
      </c>
      <c r="N17" s="41">
        <f t="shared" ca="1" si="32"/>
        <v>7009442.5341181252</v>
      </c>
      <c r="O17" s="41">
        <f t="shared" ca="1" si="33"/>
        <v>5607554.0272944998</v>
      </c>
      <c r="P17" s="403">
        <f t="shared" ca="1" si="9"/>
        <v>5607554.0272944998</v>
      </c>
      <c r="Q17" s="40"/>
      <c r="R17" s="123">
        <f t="shared" si="34"/>
        <v>47483</v>
      </c>
      <c r="S17" s="116">
        <f>+IF(R17&gt;=X$9,'Taxes and TIF'!S16+1,'Taxes and TIF'!S16)</f>
        <v>5</v>
      </c>
      <c r="T17" s="41">
        <f t="shared" si="35"/>
        <v>818973.10714285716</v>
      </c>
      <c r="U17" s="115">
        <f t="shared" si="36"/>
        <v>1.0404</v>
      </c>
      <c r="V17" s="41">
        <f t="shared" ca="1" si="37"/>
        <v>163387780.04018557</v>
      </c>
      <c r="W17" s="107">
        <f t="shared" si="38"/>
        <v>0.35</v>
      </c>
      <c r="X17" s="41">
        <f t="shared" ca="1" si="39"/>
        <v>57185723.014064945</v>
      </c>
      <c r="Y17" s="48">
        <f t="shared" si="40"/>
        <v>96.515600000000006</v>
      </c>
      <c r="Z17" s="41">
        <f t="shared" ca="1" si="41"/>
        <v>5491649.0798493717</v>
      </c>
      <c r="AA17" s="107">
        <f t="shared" si="42"/>
        <v>0.25</v>
      </c>
      <c r="AB17" s="41">
        <f t="shared" si="43"/>
        <v>27665.288286914998</v>
      </c>
      <c r="AC17" s="41">
        <f t="shared" ca="1" si="44"/>
        <v>5519314.3681362867</v>
      </c>
      <c r="AD17" s="41">
        <f t="shared" ca="1" si="45"/>
        <v>4118736.8098870288</v>
      </c>
      <c r="AE17" s="41">
        <f t="shared" ca="1" si="46"/>
        <v>3294989.4479096229</v>
      </c>
      <c r="AF17" s="403">
        <f t="shared" ca="1" si="16"/>
        <v>3294989.4479096229</v>
      </c>
      <c r="AG17" s="123">
        <f t="shared" si="47"/>
        <v>48213</v>
      </c>
      <c r="AH17" s="116">
        <f>+IF(AG17&gt;=AM$9,'Taxes and TIF'!AH16+1,'Taxes and TIF'!AH16)</f>
        <v>5</v>
      </c>
      <c r="AI17" s="41">
        <f t="shared" si="48"/>
        <v>9121587</v>
      </c>
      <c r="AJ17" s="115">
        <f t="shared" si="49"/>
        <v>1.0404</v>
      </c>
      <c r="AK17" s="41">
        <f t="shared" ca="1" si="50"/>
        <v>249179909.88949752</v>
      </c>
      <c r="AL17" s="107">
        <f t="shared" si="51"/>
        <v>0.35</v>
      </c>
      <c r="AM17" s="41">
        <f t="shared" ca="1" si="52"/>
        <v>87212968.461324126</v>
      </c>
      <c r="AN17" s="48">
        <f t="shared" si="53"/>
        <v>96.515600000000006</v>
      </c>
      <c r="AO17" s="41">
        <f t="shared" ca="1" si="54"/>
        <v>8109280.5740357563</v>
      </c>
      <c r="AP17" s="107">
        <f t="shared" si="55"/>
        <v>0.25</v>
      </c>
      <c r="AQ17" s="41">
        <f t="shared" si="56"/>
        <v>308131.40479001997</v>
      </c>
      <c r="AR17" s="41">
        <f t="shared" ca="1" si="57"/>
        <v>8417411.9788257759</v>
      </c>
      <c r="AS17" s="41">
        <f t="shared" ca="1" si="58"/>
        <v>6081960.4305268172</v>
      </c>
      <c r="AT17" s="41">
        <f t="shared" ca="1" si="59"/>
        <v>4865568.3444214538</v>
      </c>
      <c r="AU17" s="403">
        <f t="shared" ca="1" si="23"/>
        <v>4865568.3444214538</v>
      </c>
    </row>
    <row r="18" spans="1:47" ht="16" customHeight="1" x14ac:dyDescent="0.2">
      <c r="A18" s="109">
        <f t="shared" ref="A18:A45" si="60">+MOD(A17+1,$D$3)</f>
        <v>1</v>
      </c>
      <c r="B18" s="123">
        <f t="shared" si="24"/>
        <v>47118</v>
      </c>
      <c r="C18" s="116">
        <f>+IF(B18&gt;=H$9,'Taxes and TIF'!C17+1,'Taxes and TIF'!C17)</f>
        <v>6</v>
      </c>
      <c r="D18" s="41">
        <f t="shared" si="25"/>
        <v>7178917.1003999999</v>
      </c>
      <c r="E18" s="115">
        <f t="shared" si="26"/>
        <v>1.0404</v>
      </c>
      <c r="F18" s="41">
        <f t="shared" ca="1" si="0"/>
        <v>283845468.67560548</v>
      </c>
      <c r="G18" s="107">
        <f t="shared" si="27"/>
        <v>0.35</v>
      </c>
      <c r="H18" s="41">
        <f t="shared" ca="1" si="1"/>
        <v>99345914.036461905</v>
      </c>
      <c r="I18" s="48">
        <f t="shared" si="28"/>
        <v>96.515600000000006</v>
      </c>
      <c r="J18" s="41">
        <f t="shared" ca="1" si="29"/>
        <v>9345923.378824167</v>
      </c>
      <c r="K18" s="107">
        <f t="shared" si="30"/>
        <v>0.25</v>
      </c>
      <c r="L18" s="41">
        <f t="shared" si="2"/>
        <v>242507.1219533782</v>
      </c>
      <c r="M18" s="41">
        <f t="shared" ca="1" si="31"/>
        <v>9588430.5007775445</v>
      </c>
      <c r="N18" s="41">
        <f t="shared" ca="1" si="32"/>
        <v>7009442.5341181252</v>
      </c>
      <c r="O18" s="41">
        <f t="shared" ca="1" si="33"/>
        <v>5607554.0272944998</v>
      </c>
      <c r="P18" s="403">
        <f t="shared" ca="1" si="9"/>
        <v>5607554.0272944998</v>
      </c>
      <c r="R18" s="123">
        <f t="shared" si="34"/>
        <v>47848</v>
      </c>
      <c r="S18" s="116">
        <f>+IF(R18&gt;=X$9,'Taxes and TIF'!S17+1,'Taxes and TIF'!S17)</f>
        <v>6</v>
      </c>
      <c r="T18" s="41">
        <f t="shared" si="35"/>
        <v>818973.10714285716</v>
      </c>
      <c r="U18" s="115">
        <f t="shared" si="36"/>
        <v>1.0404</v>
      </c>
      <c r="V18" s="41">
        <f t="shared" ca="1" si="37"/>
        <v>163387780.04018557</v>
      </c>
      <c r="W18" s="107">
        <f t="shared" si="38"/>
        <v>0.35</v>
      </c>
      <c r="X18" s="41">
        <f t="shared" ca="1" si="39"/>
        <v>57185723.014064945</v>
      </c>
      <c r="Y18" s="48">
        <f t="shared" si="40"/>
        <v>96.515600000000006</v>
      </c>
      <c r="Z18" s="41">
        <f t="shared" ca="1" si="41"/>
        <v>5491649.0798493717</v>
      </c>
      <c r="AA18" s="107">
        <f t="shared" si="42"/>
        <v>0.25</v>
      </c>
      <c r="AB18" s="41">
        <f t="shared" si="43"/>
        <v>27665.288286914998</v>
      </c>
      <c r="AC18" s="41">
        <f t="shared" ca="1" si="44"/>
        <v>5519314.3681362867</v>
      </c>
      <c r="AD18" s="41">
        <f t="shared" ca="1" si="45"/>
        <v>4118736.8098870288</v>
      </c>
      <c r="AE18" s="41">
        <f t="shared" ca="1" si="46"/>
        <v>3294989.4479096229</v>
      </c>
      <c r="AF18" s="403">
        <f t="shared" ca="1" si="16"/>
        <v>3294989.4479096229</v>
      </c>
      <c r="AG18" s="123">
        <f t="shared" si="47"/>
        <v>48579</v>
      </c>
      <c r="AH18" s="116">
        <f>+IF(AG18&gt;=AM$9,'Taxes and TIF'!AH17+1,'Taxes and TIF'!AH17)</f>
        <v>6</v>
      </c>
      <c r="AI18" s="41">
        <f t="shared" si="48"/>
        <v>9121587</v>
      </c>
      <c r="AJ18" s="115">
        <f t="shared" si="49"/>
        <v>1.0404</v>
      </c>
      <c r="AK18" s="41">
        <f t="shared" ca="1" si="50"/>
        <v>249179909.88949752</v>
      </c>
      <c r="AL18" s="107">
        <f t="shared" si="51"/>
        <v>0.35</v>
      </c>
      <c r="AM18" s="41">
        <f t="shared" ca="1" si="52"/>
        <v>87212968.461324126</v>
      </c>
      <c r="AN18" s="48">
        <f t="shared" si="53"/>
        <v>96.515600000000006</v>
      </c>
      <c r="AO18" s="41">
        <f t="shared" ca="1" si="54"/>
        <v>8109280.5740357563</v>
      </c>
      <c r="AP18" s="107">
        <f t="shared" si="55"/>
        <v>0.25</v>
      </c>
      <c r="AQ18" s="41">
        <f t="shared" si="56"/>
        <v>308131.40479001997</v>
      </c>
      <c r="AR18" s="41">
        <f t="shared" ca="1" si="57"/>
        <v>8417411.9788257759</v>
      </c>
      <c r="AS18" s="41">
        <f t="shared" ca="1" si="58"/>
        <v>6081960.4305268172</v>
      </c>
      <c r="AT18" s="41">
        <f t="shared" ca="1" si="59"/>
        <v>4865568.3444214538</v>
      </c>
      <c r="AU18" s="403">
        <f t="shared" ca="1" si="23"/>
        <v>4865568.3444214538</v>
      </c>
    </row>
    <row r="19" spans="1:47" ht="16" customHeight="1" x14ac:dyDescent="0.2">
      <c r="A19" s="109">
        <f t="shared" si="60"/>
        <v>2</v>
      </c>
      <c r="B19" s="123">
        <f t="shared" si="24"/>
        <v>47483</v>
      </c>
      <c r="C19" s="116">
        <f>+IF(B19&gt;=H$9,'Taxes and TIF'!C18+1,'Taxes and TIF'!C18)</f>
        <v>7</v>
      </c>
      <c r="D19" s="41">
        <f t="shared" si="25"/>
        <v>7178917.1003999999</v>
      </c>
      <c r="E19" s="115">
        <f t="shared" si="26"/>
        <v>1.0404</v>
      </c>
      <c r="F19" s="41">
        <f t="shared" ca="1" si="0"/>
        <v>283845468.67560548</v>
      </c>
      <c r="G19" s="107">
        <f t="shared" si="27"/>
        <v>0.35</v>
      </c>
      <c r="H19" s="41">
        <f t="shared" ca="1" si="1"/>
        <v>99345914.036461905</v>
      </c>
      <c r="I19" s="48">
        <f t="shared" si="28"/>
        <v>96.515600000000006</v>
      </c>
      <c r="J19" s="41">
        <f t="shared" ca="1" si="29"/>
        <v>9345923.378824167</v>
      </c>
      <c r="K19" s="107">
        <f t="shared" si="30"/>
        <v>0.25</v>
      </c>
      <c r="L19" s="41">
        <f t="shared" si="2"/>
        <v>242507.1219533782</v>
      </c>
      <c r="M19" s="41">
        <f t="shared" ca="1" si="31"/>
        <v>9588430.5007775445</v>
      </c>
      <c r="N19" s="41">
        <f t="shared" ca="1" si="32"/>
        <v>7009442.5341181252</v>
      </c>
      <c r="O19" s="41">
        <f t="shared" ca="1" si="33"/>
        <v>5607554.0272944998</v>
      </c>
      <c r="P19" s="403">
        <f t="shared" ca="1" si="9"/>
        <v>5607554.0272944998</v>
      </c>
      <c r="R19" s="123">
        <f t="shared" si="34"/>
        <v>48213</v>
      </c>
      <c r="S19" s="116">
        <f>+IF(R19&gt;=X$9,'Taxes and TIF'!S18+1,'Taxes and TIF'!S18)</f>
        <v>7</v>
      </c>
      <c r="T19" s="41">
        <f t="shared" si="35"/>
        <v>818973.10714285716</v>
      </c>
      <c r="U19" s="115">
        <f t="shared" si="36"/>
        <v>1.0404</v>
      </c>
      <c r="V19" s="41">
        <f t="shared" ca="1" si="37"/>
        <v>163387780.04018557</v>
      </c>
      <c r="W19" s="107">
        <f t="shared" si="38"/>
        <v>0.35</v>
      </c>
      <c r="X19" s="41">
        <f t="shared" ca="1" si="39"/>
        <v>57185723.014064945</v>
      </c>
      <c r="Y19" s="48">
        <f t="shared" si="40"/>
        <v>96.515600000000006</v>
      </c>
      <c r="Z19" s="41">
        <f t="shared" ca="1" si="41"/>
        <v>5491649.0798493717</v>
      </c>
      <c r="AA19" s="107">
        <f t="shared" si="42"/>
        <v>0.25</v>
      </c>
      <c r="AB19" s="41">
        <f t="shared" si="43"/>
        <v>27665.288286914998</v>
      </c>
      <c r="AC19" s="41">
        <f t="shared" ca="1" si="44"/>
        <v>5519314.3681362867</v>
      </c>
      <c r="AD19" s="41">
        <f t="shared" ca="1" si="45"/>
        <v>4118736.8098870288</v>
      </c>
      <c r="AE19" s="41">
        <f t="shared" ca="1" si="46"/>
        <v>3294989.4479096229</v>
      </c>
      <c r="AF19" s="403">
        <f t="shared" ca="1" si="16"/>
        <v>3294989.4479096229</v>
      </c>
      <c r="AG19" s="123">
        <f t="shared" si="47"/>
        <v>48944</v>
      </c>
      <c r="AH19" s="116">
        <f>+IF(AG19&gt;=AM$9,'Taxes and TIF'!AH18+1,'Taxes and TIF'!AH18)</f>
        <v>7</v>
      </c>
      <c r="AI19" s="41">
        <f t="shared" si="48"/>
        <v>9121587</v>
      </c>
      <c r="AJ19" s="115">
        <f t="shared" si="49"/>
        <v>1.0404</v>
      </c>
      <c r="AK19" s="41">
        <f t="shared" ca="1" si="50"/>
        <v>249179909.88949752</v>
      </c>
      <c r="AL19" s="107">
        <f t="shared" si="51"/>
        <v>0.35</v>
      </c>
      <c r="AM19" s="41">
        <f t="shared" ca="1" si="52"/>
        <v>87212968.461324126</v>
      </c>
      <c r="AN19" s="48">
        <f t="shared" si="53"/>
        <v>96.515600000000006</v>
      </c>
      <c r="AO19" s="41">
        <f t="shared" ca="1" si="54"/>
        <v>8109280.5740357563</v>
      </c>
      <c r="AP19" s="107">
        <f t="shared" si="55"/>
        <v>0.25</v>
      </c>
      <c r="AQ19" s="41">
        <f t="shared" si="56"/>
        <v>308131.40479001997</v>
      </c>
      <c r="AR19" s="41">
        <f t="shared" ca="1" si="57"/>
        <v>8417411.9788257759</v>
      </c>
      <c r="AS19" s="41">
        <f t="shared" ca="1" si="58"/>
        <v>6081960.4305268172</v>
      </c>
      <c r="AT19" s="41">
        <f t="shared" ca="1" si="59"/>
        <v>4865568.3444214538</v>
      </c>
      <c r="AU19" s="403">
        <f t="shared" ca="1" si="23"/>
        <v>4865568.3444214538</v>
      </c>
    </row>
    <row r="20" spans="1:47" ht="16" customHeight="1" x14ac:dyDescent="0.2">
      <c r="A20" s="109">
        <f t="shared" si="60"/>
        <v>0</v>
      </c>
      <c r="B20" s="123">
        <f t="shared" si="24"/>
        <v>47848</v>
      </c>
      <c r="C20" s="116">
        <f>+IF(B20&gt;=H$9,'Taxes and TIF'!C19+1,'Taxes and TIF'!C19)</f>
        <v>8</v>
      </c>
      <c r="D20" s="41">
        <f t="shared" si="25"/>
        <v>7322495.4424079992</v>
      </c>
      <c r="E20" s="115">
        <f t="shared" si="26"/>
        <v>1.0612079999999999</v>
      </c>
      <c r="F20" s="41">
        <f t="shared" ca="1" si="0"/>
        <v>289522378.04911757</v>
      </c>
      <c r="G20" s="107">
        <f t="shared" si="27"/>
        <v>0.35</v>
      </c>
      <c r="H20" s="41">
        <f t="shared" ca="1" si="1"/>
        <v>101332832.31719114</v>
      </c>
      <c r="I20" s="48">
        <f t="shared" si="28"/>
        <v>96.515600000000006</v>
      </c>
      <c r="J20" s="41">
        <f t="shared" ca="1" si="29"/>
        <v>9532841.8464006502</v>
      </c>
      <c r="K20" s="107">
        <f t="shared" si="30"/>
        <v>0.25</v>
      </c>
      <c r="L20" s="41">
        <f t="shared" si="2"/>
        <v>247357.26439244571</v>
      </c>
      <c r="M20" s="41">
        <f t="shared" ca="1" si="31"/>
        <v>9780199.1107930951</v>
      </c>
      <c r="N20" s="41">
        <f t="shared" ca="1" si="32"/>
        <v>7149631.3848004881</v>
      </c>
      <c r="O20" s="41">
        <f t="shared" ca="1" si="33"/>
        <v>5719705.1078403909</v>
      </c>
      <c r="P20" s="403">
        <f t="shared" ca="1" si="9"/>
        <v>5719705.1078403909</v>
      </c>
      <c r="R20" s="123">
        <f t="shared" si="34"/>
        <v>48579</v>
      </c>
      <c r="S20" s="116">
        <f>+IF(R20&gt;=X$9,'Taxes and TIF'!S19+1,'Taxes and TIF'!S19)</f>
        <v>8</v>
      </c>
      <c r="T20" s="41">
        <f t="shared" si="35"/>
        <v>818973.10714285716</v>
      </c>
      <c r="U20" s="115">
        <f t="shared" si="36"/>
        <v>1.0612079999999999</v>
      </c>
      <c r="V20" s="41">
        <f t="shared" ca="1" si="37"/>
        <v>166655535.64098924</v>
      </c>
      <c r="W20" s="107">
        <f t="shared" si="38"/>
        <v>0.35</v>
      </c>
      <c r="X20" s="41">
        <f t="shared" ca="1" si="39"/>
        <v>58329437.474346235</v>
      </c>
      <c r="Y20" s="48">
        <f t="shared" si="40"/>
        <v>96.515600000000006</v>
      </c>
      <c r="Z20" s="41">
        <f t="shared" ca="1" si="41"/>
        <v>5602035.3672120972</v>
      </c>
      <c r="AA20" s="107">
        <f t="shared" si="42"/>
        <v>0.25</v>
      </c>
      <c r="AB20" s="41">
        <f t="shared" si="43"/>
        <v>27665.288286914998</v>
      </c>
      <c r="AC20" s="41">
        <f t="shared" ca="1" si="44"/>
        <v>5629700.6554990122</v>
      </c>
      <c r="AD20" s="41">
        <f t="shared" ca="1" si="45"/>
        <v>4201526.5254090726</v>
      </c>
      <c r="AE20" s="41">
        <f t="shared" ca="1" si="46"/>
        <v>3361221.2203272581</v>
      </c>
      <c r="AF20" s="403">
        <f t="shared" ca="1" si="16"/>
        <v>3361221.2203272581</v>
      </c>
      <c r="AG20" s="123">
        <f t="shared" si="47"/>
        <v>49309</v>
      </c>
      <c r="AH20" s="116">
        <f>+IF(AG20&gt;=AM$9,'Taxes and TIF'!AH19+1,'Taxes and TIF'!AH19)</f>
        <v>8</v>
      </c>
      <c r="AI20" s="41">
        <f t="shared" si="48"/>
        <v>9121587</v>
      </c>
      <c r="AJ20" s="115">
        <f t="shared" si="49"/>
        <v>1.0612079999999999</v>
      </c>
      <c r="AK20" s="41">
        <f t="shared" ca="1" si="50"/>
        <v>254163508.08728746</v>
      </c>
      <c r="AL20" s="107">
        <f t="shared" si="51"/>
        <v>0.35</v>
      </c>
      <c r="AM20" s="41">
        <f t="shared" ca="1" si="52"/>
        <v>88957227.830550611</v>
      </c>
      <c r="AN20" s="48">
        <f t="shared" si="53"/>
        <v>96.515600000000006</v>
      </c>
      <c r="AO20" s="41">
        <f t="shared" ca="1" si="54"/>
        <v>8277628.8136122711</v>
      </c>
      <c r="AP20" s="107">
        <f t="shared" si="55"/>
        <v>0.25</v>
      </c>
      <c r="AQ20" s="41">
        <f t="shared" si="56"/>
        <v>308131.40479001997</v>
      </c>
      <c r="AR20" s="41">
        <f t="shared" ca="1" si="57"/>
        <v>8585760.2184022907</v>
      </c>
      <c r="AS20" s="41">
        <f t="shared" ca="1" si="58"/>
        <v>6208221.6102092033</v>
      </c>
      <c r="AT20" s="41">
        <f t="shared" ca="1" si="59"/>
        <v>4966577.288167363</v>
      </c>
      <c r="AU20" s="403">
        <f t="shared" ca="1" si="23"/>
        <v>4966577.288167363</v>
      </c>
    </row>
    <row r="21" spans="1:47" ht="16" customHeight="1" x14ac:dyDescent="0.2">
      <c r="A21" s="109">
        <f t="shared" si="60"/>
        <v>1</v>
      </c>
      <c r="B21" s="123">
        <f t="shared" si="24"/>
        <v>48213</v>
      </c>
      <c r="C21" s="116">
        <f>+IF(B21&gt;=H$9,'Taxes and TIF'!C20+1,'Taxes and TIF'!C20)</f>
        <v>9</v>
      </c>
      <c r="D21" s="41">
        <f t="shared" si="25"/>
        <v>7322495.4424079992</v>
      </c>
      <c r="E21" s="115">
        <f t="shared" si="26"/>
        <v>1.0612079999999999</v>
      </c>
      <c r="F21" s="41">
        <f t="shared" ca="1" si="0"/>
        <v>289522378.04911757</v>
      </c>
      <c r="G21" s="107">
        <f t="shared" si="27"/>
        <v>0.35</v>
      </c>
      <c r="H21" s="41">
        <f t="shared" ca="1" si="1"/>
        <v>101332832.31719114</v>
      </c>
      <c r="I21" s="48">
        <f t="shared" si="28"/>
        <v>96.515600000000006</v>
      </c>
      <c r="J21" s="41">
        <f t="shared" ca="1" si="29"/>
        <v>9532841.8464006502</v>
      </c>
      <c r="K21" s="107">
        <f t="shared" si="30"/>
        <v>0.25</v>
      </c>
      <c r="L21" s="41">
        <f t="shared" si="2"/>
        <v>247357.26439244571</v>
      </c>
      <c r="M21" s="41">
        <f t="shared" ca="1" si="31"/>
        <v>9780199.1107930951</v>
      </c>
      <c r="N21" s="41">
        <f t="shared" ca="1" si="32"/>
        <v>7149631.3848004881</v>
      </c>
      <c r="O21" s="41">
        <f t="shared" ca="1" si="33"/>
        <v>5719705.1078403909</v>
      </c>
      <c r="P21" s="403">
        <f t="shared" ca="1" si="9"/>
        <v>5719705.1078403909</v>
      </c>
      <c r="R21" s="123">
        <f t="shared" si="34"/>
        <v>48944</v>
      </c>
      <c r="S21" s="116">
        <f>+IF(R21&gt;=X$9,'Taxes and TIF'!S20+1,'Taxes and TIF'!S20)</f>
        <v>9</v>
      </c>
      <c r="T21" s="41">
        <f t="shared" si="35"/>
        <v>818973.10714285716</v>
      </c>
      <c r="U21" s="115">
        <f t="shared" si="36"/>
        <v>1.0612079999999999</v>
      </c>
      <c r="V21" s="41">
        <f t="shared" ca="1" si="37"/>
        <v>166655535.64098924</v>
      </c>
      <c r="W21" s="107">
        <f t="shared" si="38"/>
        <v>0.35</v>
      </c>
      <c r="X21" s="41">
        <f t="shared" ca="1" si="39"/>
        <v>58329437.474346235</v>
      </c>
      <c r="Y21" s="48">
        <f t="shared" si="40"/>
        <v>96.515600000000006</v>
      </c>
      <c r="Z21" s="41">
        <f t="shared" ca="1" si="41"/>
        <v>5602035.3672120972</v>
      </c>
      <c r="AA21" s="107">
        <f t="shared" si="42"/>
        <v>0.25</v>
      </c>
      <c r="AB21" s="41">
        <f t="shared" si="43"/>
        <v>27665.288286914998</v>
      </c>
      <c r="AC21" s="41">
        <f t="shared" ca="1" si="44"/>
        <v>5629700.6554990122</v>
      </c>
      <c r="AD21" s="41">
        <f t="shared" ca="1" si="45"/>
        <v>4201526.5254090726</v>
      </c>
      <c r="AE21" s="41">
        <f t="shared" ca="1" si="46"/>
        <v>3361221.2203272581</v>
      </c>
      <c r="AF21" s="403">
        <f t="shared" ca="1" si="16"/>
        <v>3361221.2203272581</v>
      </c>
      <c r="AG21" s="123">
        <f t="shared" si="47"/>
        <v>49674</v>
      </c>
      <c r="AH21" s="116">
        <f>+IF(AG21&gt;=AM$9,'Taxes and TIF'!AH20+1,'Taxes and TIF'!AH20)</f>
        <v>9</v>
      </c>
      <c r="AI21" s="41">
        <f t="shared" si="48"/>
        <v>9121587</v>
      </c>
      <c r="AJ21" s="115">
        <f t="shared" si="49"/>
        <v>1.0612079999999999</v>
      </c>
      <c r="AK21" s="41">
        <f t="shared" ca="1" si="50"/>
        <v>254163508.08728746</v>
      </c>
      <c r="AL21" s="107">
        <f t="shared" si="51"/>
        <v>0.35</v>
      </c>
      <c r="AM21" s="41">
        <f t="shared" ca="1" si="52"/>
        <v>88957227.830550611</v>
      </c>
      <c r="AN21" s="48">
        <f t="shared" si="53"/>
        <v>96.515600000000006</v>
      </c>
      <c r="AO21" s="41">
        <f t="shared" ca="1" si="54"/>
        <v>8277628.8136122711</v>
      </c>
      <c r="AP21" s="107">
        <f t="shared" si="55"/>
        <v>0.25</v>
      </c>
      <c r="AQ21" s="41">
        <f t="shared" si="56"/>
        <v>308131.40479001997</v>
      </c>
      <c r="AR21" s="41">
        <f t="shared" ca="1" si="57"/>
        <v>8585760.2184022907</v>
      </c>
      <c r="AS21" s="41">
        <f t="shared" ca="1" si="58"/>
        <v>6208221.6102092033</v>
      </c>
      <c r="AT21" s="41">
        <f t="shared" ca="1" si="59"/>
        <v>4966577.288167363</v>
      </c>
      <c r="AU21" s="403">
        <f t="shared" ca="1" si="23"/>
        <v>4966577.288167363</v>
      </c>
    </row>
    <row r="22" spans="1:47" ht="16" customHeight="1" x14ac:dyDescent="0.2">
      <c r="A22" s="109">
        <f t="shared" si="60"/>
        <v>2</v>
      </c>
      <c r="B22" s="123">
        <f t="shared" si="24"/>
        <v>48579</v>
      </c>
      <c r="C22" s="116">
        <f>+IF(B22&gt;=H$9,'Taxes and TIF'!C21+1,'Taxes and TIF'!C21)</f>
        <v>10</v>
      </c>
      <c r="D22" s="41">
        <f t="shared" si="25"/>
        <v>7322495.4424079992</v>
      </c>
      <c r="E22" s="115">
        <f t="shared" si="26"/>
        <v>1.0612079999999999</v>
      </c>
      <c r="F22" s="41">
        <f t="shared" ca="1" si="0"/>
        <v>289522378.04911757</v>
      </c>
      <c r="G22" s="107">
        <f t="shared" si="27"/>
        <v>0.35</v>
      </c>
      <c r="H22" s="41">
        <f t="shared" ca="1" si="1"/>
        <v>101332832.31719114</v>
      </c>
      <c r="I22" s="48">
        <f t="shared" si="28"/>
        <v>96.515600000000006</v>
      </c>
      <c r="J22" s="41">
        <f t="shared" ca="1" si="29"/>
        <v>9532841.8464006502</v>
      </c>
      <c r="K22" s="107">
        <f t="shared" si="30"/>
        <v>0.25</v>
      </c>
      <c r="L22" s="41">
        <f t="shared" si="2"/>
        <v>247357.26439244571</v>
      </c>
      <c r="M22" s="41">
        <f t="shared" ca="1" si="31"/>
        <v>9780199.1107930951</v>
      </c>
      <c r="N22" s="41">
        <f t="shared" ca="1" si="32"/>
        <v>7149631.3848004881</v>
      </c>
      <c r="O22" s="41">
        <f t="shared" ca="1" si="33"/>
        <v>5719705.1078403909</v>
      </c>
      <c r="P22" s="403">
        <f t="shared" ca="1" si="9"/>
        <v>5719705.1078403909</v>
      </c>
      <c r="R22" s="123">
        <f t="shared" si="34"/>
        <v>49309</v>
      </c>
      <c r="S22" s="116">
        <f>+IF(R22&gt;=X$9,'Taxes and TIF'!S21+1,'Taxes and TIF'!S21)</f>
        <v>10</v>
      </c>
      <c r="T22" s="41">
        <f t="shared" si="35"/>
        <v>818973.10714285716</v>
      </c>
      <c r="U22" s="115">
        <f t="shared" si="36"/>
        <v>1.0612079999999999</v>
      </c>
      <c r="V22" s="41">
        <f t="shared" ca="1" si="37"/>
        <v>166655535.64098924</v>
      </c>
      <c r="W22" s="107">
        <f t="shared" si="38"/>
        <v>0.35</v>
      </c>
      <c r="X22" s="41">
        <f t="shared" ca="1" si="39"/>
        <v>58329437.474346235</v>
      </c>
      <c r="Y22" s="48">
        <f t="shared" si="40"/>
        <v>96.515600000000006</v>
      </c>
      <c r="Z22" s="41">
        <f t="shared" ca="1" si="41"/>
        <v>5602035.3672120972</v>
      </c>
      <c r="AA22" s="107">
        <f t="shared" si="42"/>
        <v>0.25</v>
      </c>
      <c r="AB22" s="41">
        <f t="shared" si="43"/>
        <v>27665.288286914998</v>
      </c>
      <c r="AC22" s="41">
        <f t="shared" ca="1" si="44"/>
        <v>5629700.6554990122</v>
      </c>
      <c r="AD22" s="41">
        <f t="shared" ca="1" si="45"/>
        <v>4201526.5254090726</v>
      </c>
      <c r="AE22" s="41">
        <f t="shared" ca="1" si="46"/>
        <v>3361221.2203272581</v>
      </c>
      <c r="AF22" s="403">
        <f t="shared" ca="1" si="16"/>
        <v>3361221.2203272581</v>
      </c>
      <c r="AG22" s="123">
        <f t="shared" si="47"/>
        <v>50040</v>
      </c>
      <c r="AH22" s="116">
        <f>+IF(AG22&gt;=AM$9,'Taxes and TIF'!AH21+1,'Taxes and TIF'!AH21)</f>
        <v>10</v>
      </c>
      <c r="AI22" s="41">
        <f t="shared" si="48"/>
        <v>9121587</v>
      </c>
      <c r="AJ22" s="115">
        <f t="shared" si="49"/>
        <v>1.0612079999999999</v>
      </c>
      <c r="AK22" s="41">
        <f t="shared" ca="1" si="50"/>
        <v>254163508.08728746</v>
      </c>
      <c r="AL22" s="107">
        <f t="shared" si="51"/>
        <v>0.35</v>
      </c>
      <c r="AM22" s="41">
        <f t="shared" ca="1" si="52"/>
        <v>88957227.830550611</v>
      </c>
      <c r="AN22" s="48">
        <f t="shared" si="53"/>
        <v>96.515600000000006</v>
      </c>
      <c r="AO22" s="41">
        <f t="shared" ca="1" si="54"/>
        <v>8277628.8136122711</v>
      </c>
      <c r="AP22" s="107">
        <f t="shared" si="55"/>
        <v>0.25</v>
      </c>
      <c r="AQ22" s="41">
        <f t="shared" si="56"/>
        <v>308131.40479001997</v>
      </c>
      <c r="AR22" s="41">
        <f t="shared" ca="1" si="57"/>
        <v>8585760.2184022907</v>
      </c>
      <c r="AS22" s="41">
        <f t="shared" ca="1" si="58"/>
        <v>6208221.6102092033</v>
      </c>
      <c r="AT22" s="41">
        <f t="shared" ca="1" si="59"/>
        <v>4966577.288167363</v>
      </c>
      <c r="AU22" s="403">
        <f t="shared" ca="1" si="23"/>
        <v>4966577.288167363</v>
      </c>
    </row>
    <row r="23" spans="1:47" ht="16" customHeight="1" x14ac:dyDescent="0.2">
      <c r="A23" s="109">
        <f t="shared" si="60"/>
        <v>0</v>
      </c>
      <c r="B23" s="123">
        <f t="shared" ref="B23:B45" si="61">+EOMONTH(B22,12)</f>
        <v>48944</v>
      </c>
      <c r="C23" s="116">
        <f>+IF(B23&gt;=H$9,'Taxes and TIF'!C22+1,'Taxes and TIF'!C22)</f>
        <v>11</v>
      </c>
      <c r="D23" s="41">
        <f t="shared" si="25"/>
        <v>7468945.3512561601</v>
      </c>
      <c r="E23" s="115">
        <f t="shared" ref="E23:E45" si="62">+E22*(1+IF($A23=0,$D$2,0))</f>
        <v>1.08243216</v>
      </c>
      <c r="F23" s="41">
        <f t="shared" ca="1" si="0"/>
        <v>295312825.61009991</v>
      </c>
      <c r="G23" s="107">
        <f t="shared" ref="G23:G45" si="63">+G22</f>
        <v>0.35</v>
      </c>
      <c r="H23" s="41">
        <f t="shared" ca="1" si="1"/>
        <v>103359488.96353497</v>
      </c>
      <c r="I23" s="48">
        <f t="shared" ref="I23:I45" si="64">+I22</f>
        <v>96.515600000000006</v>
      </c>
      <c r="J23" s="41">
        <f t="shared" ref="J23:J45" ca="1" si="65">+MAX(I23*H23/1000-L23,0)</f>
        <v>9723498.6833286639</v>
      </c>
      <c r="K23" s="107">
        <f t="shared" ref="K23:K45" si="66">+K22</f>
        <v>0.25</v>
      </c>
      <c r="L23" s="41">
        <f t="shared" si="2"/>
        <v>252304.40968029469</v>
      </c>
      <c r="M23" s="41">
        <f t="shared" ref="M23:M45" ca="1" si="67">+L23+J23</f>
        <v>9975803.0930089578</v>
      </c>
      <c r="N23" s="41">
        <f t="shared" ref="N23:N45" ca="1" si="68">+J23*(1-K23)</f>
        <v>7292624.0124964975</v>
      </c>
      <c r="O23" s="41">
        <f t="shared" ref="O23:O45" ca="1" si="69">+N23/$D$4</f>
        <v>5834099.2099971976</v>
      </c>
      <c r="P23" s="403">
        <f t="shared" ca="1" si="9"/>
        <v>5834099.2099971976</v>
      </c>
      <c r="R23" s="123">
        <f t="shared" ref="R23:R45" si="70">+EOMONTH(R22,12)</f>
        <v>49674</v>
      </c>
      <c r="S23" s="116">
        <f>+IF(R23&gt;=X$9,'Taxes and TIF'!S22+1,'Taxes and TIF'!S22)</f>
        <v>11</v>
      </c>
      <c r="T23" s="41">
        <f t="shared" ref="T23:T45" si="71">+T22</f>
        <v>818973.10714285716</v>
      </c>
      <c r="U23" s="115">
        <f t="shared" ref="U23:U45" si="72">+U22*(1+IF($A23=0,$D$2,0))</f>
        <v>1.08243216</v>
      </c>
      <c r="V23" s="41">
        <f t="shared" ref="V23:V45" ca="1" si="73">+IF(R23&gt;=X$9,AA$9,0)*U23</f>
        <v>169988646.35380906</v>
      </c>
      <c r="W23" s="107">
        <f t="shared" ref="W23:W45" si="74">+W22</f>
        <v>0.35</v>
      </c>
      <c r="X23" s="41">
        <f t="shared" ref="X23:X45" ca="1" si="75">+V23*W23</f>
        <v>59496026.223833166</v>
      </c>
      <c r="Y23" s="48">
        <f t="shared" ref="Y23:Y45" si="76">+Y22</f>
        <v>96.515600000000006</v>
      </c>
      <c r="Z23" s="41">
        <f t="shared" ref="Z23:Z45" ca="1" si="77">+MAX(Y23*X23/1000-AB23,0)</f>
        <v>5714629.3803220773</v>
      </c>
      <c r="AA23" s="107">
        <f t="shared" ref="AA23:AA45" si="78">+AA22</f>
        <v>0.25</v>
      </c>
      <c r="AB23" s="41">
        <f t="shared" ref="AB23:AB45" si="79">+T23*W23*Y23/1000</f>
        <v>27665.288286914998</v>
      </c>
      <c r="AC23" s="41">
        <f t="shared" ref="AC23:AC45" ca="1" si="80">+AB23+Z23</f>
        <v>5742294.6686089924</v>
      </c>
      <c r="AD23" s="41">
        <f t="shared" ref="AD23:AD45" ca="1" si="81">+Z23*(1-AA23)</f>
        <v>4285972.0352415582</v>
      </c>
      <c r="AE23" s="41">
        <f t="shared" ref="AE23:AE45" ca="1" si="82">+AD23/$D$4</f>
        <v>3428777.6281932467</v>
      </c>
      <c r="AF23" s="403">
        <f t="shared" ca="1" si="16"/>
        <v>3428777.6281932467</v>
      </c>
      <c r="AG23" s="123">
        <f t="shared" ref="AG23:AG45" si="83">+EOMONTH(AG22,12)</f>
        <v>50405</v>
      </c>
      <c r="AH23" s="116">
        <f>+IF(AG23&gt;=AM$9,'Taxes and TIF'!AH22+1,'Taxes and TIF'!AH22)</f>
        <v>11</v>
      </c>
      <c r="AI23" s="41">
        <f t="shared" ref="AI23:AI45" si="84">+AI22</f>
        <v>9121587</v>
      </c>
      <c r="AJ23" s="115">
        <f t="shared" ref="AJ23:AJ45" si="85">+AJ22*(1+IF($A23=0,$D$2,0))</f>
        <v>1.08243216</v>
      </c>
      <c r="AK23" s="41">
        <f t="shared" ref="AK23:AK45" ca="1" si="86">+IF(AG23&gt;=AM$9,AP$9,0)*AJ23</f>
        <v>259246778.24903321</v>
      </c>
      <c r="AL23" s="107">
        <f t="shared" ref="AL23:AL45" si="87">+AL22</f>
        <v>0.35</v>
      </c>
      <c r="AM23" s="41">
        <f t="shared" ref="AM23:AM45" ca="1" si="88">+AK23*AL23</f>
        <v>90736372.387161613</v>
      </c>
      <c r="AN23" s="48">
        <f t="shared" ref="AN23:AN45" si="89">+AN22</f>
        <v>96.515600000000006</v>
      </c>
      <c r="AO23" s="41">
        <f t="shared" ref="AO23:AO45" ca="1" si="90">+MAX(AN23*AM23/1000-AQ23,0)</f>
        <v>8449344.0179803167</v>
      </c>
      <c r="AP23" s="107">
        <f t="shared" ref="AP23:AP45" si="91">+AP22</f>
        <v>0.25</v>
      </c>
      <c r="AQ23" s="41">
        <f t="shared" ref="AQ23:AQ45" si="92">+AI23*AL23*AN23/1000</f>
        <v>308131.40479001997</v>
      </c>
      <c r="AR23" s="41">
        <f t="shared" ref="AR23:AR45" ca="1" si="93">+AQ23+AO23</f>
        <v>8757475.4227703363</v>
      </c>
      <c r="AS23" s="41">
        <f t="shared" ref="AS23:AS45" ca="1" si="94">+AO23*(1-AP23)</f>
        <v>6337008.013485238</v>
      </c>
      <c r="AT23" s="41">
        <f t="shared" ref="AT23:AT45" ca="1" si="95">+AS23/$D$4</f>
        <v>5069606.4107881906</v>
      </c>
      <c r="AU23" s="403">
        <f t="shared" ca="1" si="23"/>
        <v>5069606.4107881906</v>
      </c>
    </row>
    <row r="24" spans="1:47" ht="16" customHeight="1" x14ac:dyDescent="0.2">
      <c r="A24" s="109">
        <f t="shared" si="60"/>
        <v>1</v>
      </c>
      <c r="B24" s="123">
        <f t="shared" si="61"/>
        <v>49309</v>
      </c>
      <c r="C24" s="116">
        <f>+IF(B24&gt;=H$9,'Taxes and TIF'!C23+1,'Taxes and TIF'!C23)</f>
        <v>12</v>
      </c>
      <c r="D24" s="41">
        <f t="shared" si="25"/>
        <v>7468945.3512561601</v>
      </c>
      <c r="E24" s="115">
        <f t="shared" si="62"/>
        <v>1.08243216</v>
      </c>
      <c r="F24" s="41">
        <f t="shared" ca="1" si="0"/>
        <v>295312825.61009991</v>
      </c>
      <c r="G24" s="107">
        <f t="shared" si="63"/>
        <v>0.35</v>
      </c>
      <c r="H24" s="41">
        <f t="shared" ca="1" si="1"/>
        <v>103359488.96353497</v>
      </c>
      <c r="I24" s="48">
        <f t="shared" si="64"/>
        <v>96.515600000000006</v>
      </c>
      <c r="J24" s="41">
        <f t="shared" ca="1" si="65"/>
        <v>9723498.6833286639</v>
      </c>
      <c r="K24" s="107">
        <f t="shared" si="66"/>
        <v>0.25</v>
      </c>
      <c r="L24" s="41">
        <f t="shared" si="2"/>
        <v>252304.40968029469</v>
      </c>
      <c r="M24" s="41">
        <f t="shared" ca="1" si="67"/>
        <v>9975803.0930089578</v>
      </c>
      <c r="N24" s="41">
        <f t="shared" ca="1" si="68"/>
        <v>7292624.0124964975</v>
      </c>
      <c r="O24" s="41">
        <f t="shared" ca="1" si="69"/>
        <v>5834099.2099971976</v>
      </c>
      <c r="P24" s="403">
        <f t="shared" ca="1" si="9"/>
        <v>5834099.2099971976</v>
      </c>
      <c r="R24" s="123">
        <f t="shared" si="70"/>
        <v>50040</v>
      </c>
      <c r="S24" s="116">
        <f>+IF(R24&gt;=X$9,'Taxes and TIF'!S23+1,'Taxes and TIF'!S23)</f>
        <v>12</v>
      </c>
      <c r="T24" s="41">
        <f t="shared" si="71"/>
        <v>818973.10714285716</v>
      </c>
      <c r="U24" s="115">
        <f t="shared" si="72"/>
        <v>1.08243216</v>
      </c>
      <c r="V24" s="41">
        <f t="shared" ca="1" si="73"/>
        <v>169988646.35380906</v>
      </c>
      <c r="W24" s="107">
        <f t="shared" si="74"/>
        <v>0.35</v>
      </c>
      <c r="X24" s="41">
        <f t="shared" ca="1" si="75"/>
        <v>59496026.223833166</v>
      </c>
      <c r="Y24" s="48">
        <f t="shared" si="76"/>
        <v>96.515600000000006</v>
      </c>
      <c r="Z24" s="41">
        <f t="shared" ca="1" si="77"/>
        <v>5714629.3803220773</v>
      </c>
      <c r="AA24" s="107">
        <f t="shared" si="78"/>
        <v>0.25</v>
      </c>
      <c r="AB24" s="41">
        <f t="shared" si="79"/>
        <v>27665.288286914998</v>
      </c>
      <c r="AC24" s="41">
        <f t="shared" ca="1" si="80"/>
        <v>5742294.6686089924</v>
      </c>
      <c r="AD24" s="41">
        <f t="shared" ca="1" si="81"/>
        <v>4285972.0352415582</v>
      </c>
      <c r="AE24" s="41">
        <f t="shared" ca="1" si="82"/>
        <v>3428777.6281932467</v>
      </c>
      <c r="AF24" s="403">
        <f t="shared" ca="1" si="16"/>
        <v>3428777.6281932467</v>
      </c>
      <c r="AG24" s="123">
        <f t="shared" si="83"/>
        <v>50770</v>
      </c>
      <c r="AH24" s="116">
        <f>+IF(AG24&gt;=AM$9,'Taxes and TIF'!AH23+1,'Taxes and TIF'!AH23)</f>
        <v>12</v>
      </c>
      <c r="AI24" s="41">
        <f t="shared" si="84"/>
        <v>9121587</v>
      </c>
      <c r="AJ24" s="115">
        <f t="shared" si="85"/>
        <v>1.08243216</v>
      </c>
      <c r="AK24" s="41">
        <f t="shared" ca="1" si="86"/>
        <v>259246778.24903321</v>
      </c>
      <c r="AL24" s="107">
        <f t="shared" si="87"/>
        <v>0.35</v>
      </c>
      <c r="AM24" s="41">
        <f t="shared" ca="1" si="88"/>
        <v>90736372.387161613</v>
      </c>
      <c r="AN24" s="48">
        <f t="shared" si="89"/>
        <v>96.515600000000006</v>
      </c>
      <c r="AO24" s="41">
        <f t="shared" ca="1" si="90"/>
        <v>8449344.0179803167</v>
      </c>
      <c r="AP24" s="107">
        <f t="shared" si="91"/>
        <v>0.25</v>
      </c>
      <c r="AQ24" s="41">
        <f t="shared" si="92"/>
        <v>308131.40479001997</v>
      </c>
      <c r="AR24" s="41">
        <f t="shared" ca="1" si="93"/>
        <v>8757475.4227703363</v>
      </c>
      <c r="AS24" s="41">
        <f t="shared" ca="1" si="94"/>
        <v>6337008.013485238</v>
      </c>
      <c r="AT24" s="41">
        <f t="shared" ca="1" si="95"/>
        <v>5069606.4107881906</v>
      </c>
      <c r="AU24" s="403">
        <f t="shared" ca="1" si="23"/>
        <v>5069606.4107881906</v>
      </c>
    </row>
    <row r="25" spans="1:47" ht="16" customHeight="1" x14ac:dyDescent="0.2">
      <c r="A25" s="109">
        <f t="shared" si="60"/>
        <v>2</v>
      </c>
      <c r="B25" s="123">
        <f t="shared" si="61"/>
        <v>49674</v>
      </c>
      <c r="C25" s="116">
        <f>+IF(B25&gt;=H$9,'Taxes and TIF'!C24+1,'Taxes and TIF'!C24)</f>
        <v>13</v>
      </c>
      <c r="D25" s="41">
        <f t="shared" si="25"/>
        <v>7468945.3512561601</v>
      </c>
      <c r="E25" s="115">
        <f t="shared" si="62"/>
        <v>1.08243216</v>
      </c>
      <c r="F25" s="41">
        <f t="shared" ca="1" si="0"/>
        <v>295312825.61009991</v>
      </c>
      <c r="G25" s="107">
        <f t="shared" si="63"/>
        <v>0.35</v>
      </c>
      <c r="H25" s="41">
        <f t="shared" ca="1" si="1"/>
        <v>103359488.96353497</v>
      </c>
      <c r="I25" s="48">
        <f t="shared" si="64"/>
        <v>96.515600000000006</v>
      </c>
      <c r="J25" s="41">
        <f t="shared" ca="1" si="65"/>
        <v>9723498.6833286639</v>
      </c>
      <c r="K25" s="107">
        <f t="shared" si="66"/>
        <v>0.25</v>
      </c>
      <c r="L25" s="41">
        <f t="shared" si="2"/>
        <v>252304.40968029469</v>
      </c>
      <c r="M25" s="41">
        <f t="shared" ca="1" si="67"/>
        <v>9975803.0930089578</v>
      </c>
      <c r="N25" s="41">
        <f t="shared" ca="1" si="68"/>
        <v>7292624.0124964975</v>
      </c>
      <c r="O25" s="41">
        <f t="shared" ca="1" si="69"/>
        <v>5834099.2099971976</v>
      </c>
      <c r="P25" s="403">
        <f t="shared" ca="1" si="9"/>
        <v>5834099.2099971976</v>
      </c>
      <c r="R25" s="123">
        <f t="shared" si="70"/>
        <v>50405</v>
      </c>
      <c r="S25" s="116">
        <f>+IF(R25&gt;=X$9,'Taxes and TIF'!S24+1,'Taxes and TIF'!S24)</f>
        <v>13</v>
      </c>
      <c r="T25" s="41">
        <f t="shared" si="71"/>
        <v>818973.10714285716</v>
      </c>
      <c r="U25" s="115">
        <f t="shared" si="72"/>
        <v>1.08243216</v>
      </c>
      <c r="V25" s="41">
        <f t="shared" ca="1" si="73"/>
        <v>169988646.35380906</v>
      </c>
      <c r="W25" s="107">
        <f t="shared" si="74"/>
        <v>0.35</v>
      </c>
      <c r="X25" s="41">
        <f t="shared" ca="1" si="75"/>
        <v>59496026.223833166</v>
      </c>
      <c r="Y25" s="48">
        <f t="shared" si="76"/>
        <v>96.515600000000006</v>
      </c>
      <c r="Z25" s="41">
        <f t="shared" ca="1" si="77"/>
        <v>5714629.3803220773</v>
      </c>
      <c r="AA25" s="107">
        <f t="shared" si="78"/>
        <v>0.25</v>
      </c>
      <c r="AB25" s="41">
        <f t="shared" si="79"/>
        <v>27665.288286914998</v>
      </c>
      <c r="AC25" s="41">
        <f t="shared" ca="1" si="80"/>
        <v>5742294.6686089924</v>
      </c>
      <c r="AD25" s="41">
        <f t="shared" ca="1" si="81"/>
        <v>4285972.0352415582</v>
      </c>
      <c r="AE25" s="41">
        <f t="shared" ca="1" si="82"/>
        <v>3428777.6281932467</v>
      </c>
      <c r="AF25" s="403">
        <f t="shared" ca="1" si="16"/>
        <v>3428777.6281932467</v>
      </c>
      <c r="AG25" s="123">
        <f t="shared" si="83"/>
        <v>51135</v>
      </c>
      <c r="AH25" s="116">
        <f>+IF(AG25&gt;=AM$9,'Taxes and TIF'!AH24+1,'Taxes and TIF'!AH24)</f>
        <v>13</v>
      </c>
      <c r="AI25" s="41">
        <f t="shared" si="84"/>
        <v>9121587</v>
      </c>
      <c r="AJ25" s="115">
        <f t="shared" si="85"/>
        <v>1.08243216</v>
      </c>
      <c r="AK25" s="41">
        <f t="shared" ca="1" si="86"/>
        <v>259246778.24903321</v>
      </c>
      <c r="AL25" s="107">
        <f t="shared" si="87"/>
        <v>0.35</v>
      </c>
      <c r="AM25" s="41">
        <f t="shared" ca="1" si="88"/>
        <v>90736372.387161613</v>
      </c>
      <c r="AN25" s="48">
        <f t="shared" si="89"/>
        <v>96.515600000000006</v>
      </c>
      <c r="AO25" s="41">
        <f t="shared" ca="1" si="90"/>
        <v>8449344.0179803167</v>
      </c>
      <c r="AP25" s="107">
        <f t="shared" si="91"/>
        <v>0.25</v>
      </c>
      <c r="AQ25" s="41">
        <f t="shared" si="92"/>
        <v>308131.40479001997</v>
      </c>
      <c r="AR25" s="41">
        <f t="shared" ca="1" si="93"/>
        <v>8757475.4227703363</v>
      </c>
      <c r="AS25" s="41">
        <f t="shared" ca="1" si="94"/>
        <v>6337008.013485238</v>
      </c>
      <c r="AT25" s="41">
        <f t="shared" ca="1" si="95"/>
        <v>5069606.4107881906</v>
      </c>
      <c r="AU25" s="403">
        <f t="shared" ca="1" si="23"/>
        <v>5069606.4107881906</v>
      </c>
    </row>
    <row r="26" spans="1:47" ht="16" customHeight="1" x14ac:dyDescent="0.2">
      <c r="A26" s="109">
        <f t="shared" si="60"/>
        <v>0</v>
      </c>
      <c r="B26" s="123">
        <f t="shared" si="61"/>
        <v>50040</v>
      </c>
      <c r="C26" s="116">
        <f>+IF(B26&gt;=H$9,'Taxes and TIF'!C25+1,'Taxes and TIF'!C25)</f>
        <v>14</v>
      </c>
      <c r="D26" s="41">
        <f t="shared" si="25"/>
        <v>7618324.2582812831</v>
      </c>
      <c r="E26" s="115">
        <f t="shared" si="62"/>
        <v>1.1040808032</v>
      </c>
      <c r="F26" s="41">
        <f t="shared" ca="1" si="0"/>
        <v>301219082.12230194</v>
      </c>
      <c r="G26" s="107">
        <f t="shared" si="63"/>
        <v>0.35</v>
      </c>
      <c r="H26" s="41">
        <f t="shared" ca="1" si="1"/>
        <v>105426678.74280567</v>
      </c>
      <c r="I26" s="48">
        <f t="shared" si="64"/>
        <v>96.515600000000006</v>
      </c>
      <c r="J26" s="41">
        <f t="shared" ca="1" si="65"/>
        <v>9917968.6569952369</v>
      </c>
      <c r="K26" s="107">
        <f t="shared" si="66"/>
        <v>0.25</v>
      </c>
      <c r="L26" s="41">
        <f t="shared" si="2"/>
        <v>257350.49787390057</v>
      </c>
      <c r="M26" s="41">
        <f t="shared" ca="1" si="67"/>
        <v>10175319.154869137</v>
      </c>
      <c r="N26" s="41">
        <f t="shared" ca="1" si="68"/>
        <v>7438476.4927464277</v>
      </c>
      <c r="O26" s="41">
        <f t="shared" ca="1" si="69"/>
        <v>5950781.1941971425</v>
      </c>
      <c r="P26" s="403">
        <f t="shared" ca="1" si="9"/>
        <v>5950781.1941971425</v>
      </c>
      <c r="R26" s="123">
        <f t="shared" si="70"/>
        <v>50770</v>
      </c>
      <c r="S26" s="116">
        <f>+IF(R26&gt;=X$9,'Taxes and TIF'!S25+1,'Taxes and TIF'!S25)</f>
        <v>14</v>
      </c>
      <c r="T26" s="41">
        <f t="shared" si="71"/>
        <v>818973.10714285716</v>
      </c>
      <c r="U26" s="115">
        <f t="shared" si="72"/>
        <v>1.1040808032</v>
      </c>
      <c r="V26" s="41">
        <f t="shared" ca="1" si="73"/>
        <v>173388419.28088525</v>
      </c>
      <c r="W26" s="107">
        <f t="shared" si="74"/>
        <v>0.35</v>
      </c>
      <c r="X26" s="41">
        <f t="shared" ca="1" si="75"/>
        <v>60685946.748309836</v>
      </c>
      <c r="Y26" s="48">
        <f t="shared" si="76"/>
        <v>96.515600000000006</v>
      </c>
      <c r="Z26" s="41">
        <f t="shared" ca="1" si="77"/>
        <v>5829475.2736942582</v>
      </c>
      <c r="AA26" s="107">
        <f t="shared" si="78"/>
        <v>0.25</v>
      </c>
      <c r="AB26" s="41">
        <f t="shared" si="79"/>
        <v>27665.288286914998</v>
      </c>
      <c r="AC26" s="41">
        <f t="shared" ca="1" si="80"/>
        <v>5857140.5619811732</v>
      </c>
      <c r="AD26" s="41">
        <f t="shared" ca="1" si="81"/>
        <v>4372106.4552706936</v>
      </c>
      <c r="AE26" s="41">
        <f t="shared" ca="1" si="82"/>
        <v>3497685.1642165547</v>
      </c>
      <c r="AF26" s="403">
        <f t="shared" ca="1" si="16"/>
        <v>3497685.1642165547</v>
      </c>
      <c r="AG26" s="123">
        <f t="shared" si="83"/>
        <v>51501</v>
      </c>
      <c r="AH26" s="116">
        <f>+IF(AG26&gt;=AM$9,'Taxes and TIF'!AH25+1,'Taxes and TIF'!AH25)</f>
        <v>14</v>
      </c>
      <c r="AI26" s="41">
        <f t="shared" si="84"/>
        <v>9121587</v>
      </c>
      <c r="AJ26" s="115">
        <f t="shared" si="85"/>
        <v>1.1040808032</v>
      </c>
      <c r="AK26" s="41">
        <f t="shared" ca="1" si="86"/>
        <v>264431713.8140139</v>
      </c>
      <c r="AL26" s="107">
        <f t="shared" si="87"/>
        <v>0.35</v>
      </c>
      <c r="AM26" s="41">
        <f t="shared" ca="1" si="88"/>
        <v>92551099.834904864</v>
      </c>
      <c r="AN26" s="48">
        <f t="shared" si="89"/>
        <v>96.515600000000006</v>
      </c>
      <c r="AO26" s="41">
        <f t="shared" ca="1" si="90"/>
        <v>8624493.5264357254</v>
      </c>
      <c r="AP26" s="107">
        <f t="shared" si="91"/>
        <v>0.25</v>
      </c>
      <c r="AQ26" s="41">
        <f t="shared" si="92"/>
        <v>308131.40479001997</v>
      </c>
      <c r="AR26" s="41">
        <f t="shared" ca="1" si="93"/>
        <v>8932624.931225745</v>
      </c>
      <c r="AS26" s="41">
        <f t="shared" ca="1" si="94"/>
        <v>6468370.144826794</v>
      </c>
      <c r="AT26" s="41">
        <f t="shared" ca="1" si="95"/>
        <v>5174696.1158614354</v>
      </c>
      <c r="AU26" s="403">
        <f t="shared" ca="1" si="23"/>
        <v>5174696.1158614354</v>
      </c>
    </row>
    <row r="27" spans="1:47" ht="16" customHeight="1" x14ac:dyDescent="0.2">
      <c r="A27" s="109">
        <f t="shared" si="60"/>
        <v>1</v>
      </c>
      <c r="B27" s="123">
        <f t="shared" si="61"/>
        <v>50405</v>
      </c>
      <c r="C27" s="116">
        <f>+IF(B27&gt;=H$9,'Taxes and TIF'!C26+1,'Taxes and TIF'!C26)</f>
        <v>15</v>
      </c>
      <c r="D27" s="41">
        <f t="shared" si="25"/>
        <v>7618324.2582812831</v>
      </c>
      <c r="E27" s="115">
        <f t="shared" si="62"/>
        <v>1.1040808032</v>
      </c>
      <c r="F27" s="41">
        <f t="shared" ca="1" si="0"/>
        <v>301219082.12230194</v>
      </c>
      <c r="G27" s="107">
        <f t="shared" si="63"/>
        <v>0.35</v>
      </c>
      <c r="H27" s="41">
        <f t="shared" ca="1" si="1"/>
        <v>105426678.74280567</v>
      </c>
      <c r="I27" s="48">
        <f t="shared" si="64"/>
        <v>96.515600000000006</v>
      </c>
      <c r="J27" s="41">
        <f t="shared" ca="1" si="65"/>
        <v>9917968.6569952369</v>
      </c>
      <c r="K27" s="107">
        <f t="shared" si="66"/>
        <v>0.25</v>
      </c>
      <c r="L27" s="41">
        <f t="shared" si="2"/>
        <v>257350.49787390057</v>
      </c>
      <c r="M27" s="41">
        <f t="shared" ca="1" si="67"/>
        <v>10175319.154869137</v>
      </c>
      <c r="N27" s="41">
        <f t="shared" ca="1" si="68"/>
        <v>7438476.4927464277</v>
      </c>
      <c r="O27" s="41">
        <f t="shared" ca="1" si="69"/>
        <v>5950781.1941971425</v>
      </c>
      <c r="P27" s="403">
        <f t="shared" ca="1" si="9"/>
        <v>5950781.1941971425</v>
      </c>
      <c r="R27" s="123">
        <f t="shared" si="70"/>
        <v>51135</v>
      </c>
      <c r="S27" s="116">
        <f>+IF(R27&gt;=X$9,'Taxes and TIF'!S26+1,'Taxes and TIF'!S26)</f>
        <v>15</v>
      </c>
      <c r="T27" s="41">
        <f t="shared" si="71"/>
        <v>818973.10714285716</v>
      </c>
      <c r="U27" s="115">
        <f t="shared" si="72"/>
        <v>1.1040808032</v>
      </c>
      <c r="V27" s="41">
        <f t="shared" ca="1" si="73"/>
        <v>173388419.28088525</v>
      </c>
      <c r="W27" s="107">
        <f t="shared" si="74"/>
        <v>0.35</v>
      </c>
      <c r="X27" s="41">
        <f t="shared" ca="1" si="75"/>
        <v>60685946.748309836</v>
      </c>
      <c r="Y27" s="48">
        <f t="shared" si="76"/>
        <v>96.515600000000006</v>
      </c>
      <c r="Z27" s="41">
        <f t="shared" ca="1" si="77"/>
        <v>5829475.2736942582</v>
      </c>
      <c r="AA27" s="107">
        <f t="shared" si="78"/>
        <v>0.25</v>
      </c>
      <c r="AB27" s="41">
        <f t="shared" si="79"/>
        <v>27665.288286914998</v>
      </c>
      <c r="AC27" s="41">
        <f t="shared" ca="1" si="80"/>
        <v>5857140.5619811732</v>
      </c>
      <c r="AD27" s="41">
        <f t="shared" ca="1" si="81"/>
        <v>4372106.4552706936</v>
      </c>
      <c r="AE27" s="41">
        <f t="shared" ca="1" si="82"/>
        <v>3497685.1642165547</v>
      </c>
      <c r="AF27" s="403">
        <f t="shared" ca="1" si="16"/>
        <v>3497685.1642165547</v>
      </c>
      <c r="AG27" s="123">
        <f t="shared" si="83"/>
        <v>51866</v>
      </c>
      <c r="AH27" s="116">
        <f>+IF(AG27&gt;=AM$9,'Taxes and TIF'!AH26+1,'Taxes and TIF'!AH26)</f>
        <v>15</v>
      </c>
      <c r="AI27" s="41">
        <f t="shared" si="84"/>
        <v>9121587</v>
      </c>
      <c r="AJ27" s="115">
        <f t="shared" si="85"/>
        <v>1.1040808032</v>
      </c>
      <c r="AK27" s="41">
        <f t="shared" ca="1" si="86"/>
        <v>264431713.8140139</v>
      </c>
      <c r="AL27" s="107">
        <f t="shared" si="87"/>
        <v>0.35</v>
      </c>
      <c r="AM27" s="41">
        <f t="shared" ca="1" si="88"/>
        <v>92551099.834904864</v>
      </c>
      <c r="AN27" s="48">
        <f t="shared" si="89"/>
        <v>96.515600000000006</v>
      </c>
      <c r="AO27" s="41">
        <f t="shared" ca="1" si="90"/>
        <v>8624493.5264357254</v>
      </c>
      <c r="AP27" s="107">
        <f t="shared" si="91"/>
        <v>0.25</v>
      </c>
      <c r="AQ27" s="41">
        <f t="shared" si="92"/>
        <v>308131.40479001997</v>
      </c>
      <c r="AR27" s="41">
        <f t="shared" ca="1" si="93"/>
        <v>8932624.931225745</v>
      </c>
      <c r="AS27" s="41">
        <f t="shared" ca="1" si="94"/>
        <v>6468370.144826794</v>
      </c>
      <c r="AT27" s="41">
        <f t="shared" ca="1" si="95"/>
        <v>5174696.1158614354</v>
      </c>
      <c r="AU27" s="403">
        <f t="shared" ca="1" si="23"/>
        <v>5174696.1158614354</v>
      </c>
    </row>
    <row r="28" spans="1:47" ht="16" customHeight="1" x14ac:dyDescent="0.2">
      <c r="A28" s="109">
        <f t="shared" si="60"/>
        <v>2</v>
      </c>
      <c r="B28" s="123">
        <f t="shared" si="61"/>
        <v>50770</v>
      </c>
      <c r="C28" s="116">
        <f>+IF(B28&gt;=H$9,'Taxes and TIF'!C27+1,'Taxes and TIF'!C27)</f>
        <v>16</v>
      </c>
      <c r="D28" s="41">
        <f t="shared" si="25"/>
        <v>7618324.2582812831</v>
      </c>
      <c r="E28" s="115">
        <f t="shared" si="62"/>
        <v>1.1040808032</v>
      </c>
      <c r="F28" s="41">
        <f t="shared" ca="1" si="0"/>
        <v>301219082.12230194</v>
      </c>
      <c r="G28" s="107">
        <f t="shared" si="63"/>
        <v>0.35</v>
      </c>
      <c r="H28" s="41">
        <f t="shared" ca="1" si="1"/>
        <v>105426678.74280567</v>
      </c>
      <c r="I28" s="48">
        <f t="shared" si="64"/>
        <v>96.515600000000006</v>
      </c>
      <c r="J28" s="41">
        <f t="shared" ca="1" si="65"/>
        <v>9917968.6569952369</v>
      </c>
      <c r="K28" s="107">
        <f t="shared" si="66"/>
        <v>0.25</v>
      </c>
      <c r="L28" s="41">
        <f t="shared" si="2"/>
        <v>257350.49787390057</v>
      </c>
      <c r="M28" s="41">
        <f t="shared" ca="1" si="67"/>
        <v>10175319.154869137</v>
      </c>
      <c r="N28" s="41">
        <f t="shared" ca="1" si="68"/>
        <v>7438476.4927464277</v>
      </c>
      <c r="O28" s="41">
        <f t="shared" ca="1" si="69"/>
        <v>5950781.1941971425</v>
      </c>
      <c r="P28" s="403">
        <f t="shared" ca="1" si="9"/>
        <v>5950781.1941971425</v>
      </c>
      <c r="R28" s="123">
        <f t="shared" si="70"/>
        <v>51501</v>
      </c>
      <c r="S28" s="116">
        <f>+IF(R28&gt;=X$9,'Taxes and TIF'!S27+1,'Taxes and TIF'!S27)</f>
        <v>16</v>
      </c>
      <c r="T28" s="41">
        <f t="shared" si="71"/>
        <v>818973.10714285716</v>
      </c>
      <c r="U28" s="115">
        <f t="shared" si="72"/>
        <v>1.1040808032</v>
      </c>
      <c r="V28" s="41">
        <f t="shared" ca="1" si="73"/>
        <v>173388419.28088525</v>
      </c>
      <c r="W28" s="107">
        <f t="shared" si="74"/>
        <v>0.35</v>
      </c>
      <c r="X28" s="41">
        <f t="shared" ca="1" si="75"/>
        <v>60685946.748309836</v>
      </c>
      <c r="Y28" s="48">
        <f t="shared" si="76"/>
        <v>96.515600000000006</v>
      </c>
      <c r="Z28" s="41">
        <f t="shared" ca="1" si="77"/>
        <v>5829475.2736942582</v>
      </c>
      <c r="AA28" s="107">
        <f t="shared" si="78"/>
        <v>0.25</v>
      </c>
      <c r="AB28" s="41">
        <f t="shared" si="79"/>
        <v>27665.288286914998</v>
      </c>
      <c r="AC28" s="41">
        <f t="shared" ca="1" si="80"/>
        <v>5857140.5619811732</v>
      </c>
      <c r="AD28" s="41">
        <f t="shared" ca="1" si="81"/>
        <v>4372106.4552706936</v>
      </c>
      <c r="AE28" s="41">
        <f t="shared" ca="1" si="82"/>
        <v>3497685.1642165547</v>
      </c>
      <c r="AF28" s="403">
        <f t="shared" ca="1" si="16"/>
        <v>3497685.1642165547</v>
      </c>
      <c r="AG28" s="123">
        <f t="shared" si="83"/>
        <v>52231</v>
      </c>
      <c r="AH28" s="116">
        <f>+IF(AG28&gt;=AM$9,'Taxes and TIF'!AH27+1,'Taxes and TIF'!AH27)</f>
        <v>16</v>
      </c>
      <c r="AI28" s="41">
        <f t="shared" si="84"/>
        <v>9121587</v>
      </c>
      <c r="AJ28" s="115">
        <f t="shared" si="85"/>
        <v>1.1040808032</v>
      </c>
      <c r="AK28" s="41">
        <f t="shared" ca="1" si="86"/>
        <v>264431713.8140139</v>
      </c>
      <c r="AL28" s="107">
        <f t="shared" si="87"/>
        <v>0.35</v>
      </c>
      <c r="AM28" s="41">
        <f t="shared" ca="1" si="88"/>
        <v>92551099.834904864</v>
      </c>
      <c r="AN28" s="48">
        <f t="shared" si="89"/>
        <v>96.515600000000006</v>
      </c>
      <c r="AO28" s="41">
        <f t="shared" ca="1" si="90"/>
        <v>8624493.5264357254</v>
      </c>
      <c r="AP28" s="107">
        <f t="shared" si="91"/>
        <v>0.25</v>
      </c>
      <c r="AQ28" s="41">
        <f t="shared" si="92"/>
        <v>308131.40479001997</v>
      </c>
      <c r="AR28" s="41">
        <f t="shared" ca="1" si="93"/>
        <v>8932624.931225745</v>
      </c>
      <c r="AS28" s="41">
        <f t="shared" ca="1" si="94"/>
        <v>6468370.144826794</v>
      </c>
      <c r="AT28" s="41">
        <f t="shared" ca="1" si="95"/>
        <v>5174696.1158614354</v>
      </c>
      <c r="AU28" s="403">
        <f t="shared" ca="1" si="23"/>
        <v>5174696.1158614354</v>
      </c>
    </row>
    <row r="29" spans="1:47" ht="16" customHeight="1" x14ac:dyDescent="0.2">
      <c r="A29" s="109">
        <f t="shared" si="60"/>
        <v>0</v>
      </c>
      <c r="B29" s="123">
        <f t="shared" si="61"/>
        <v>51135</v>
      </c>
      <c r="C29" s="116">
        <f>+IF(B29&gt;=H$9,'Taxes and TIF'!C28+1,'Taxes and TIF'!C28)</f>
        <v>17</v>
      </c>
      <c r="D29" s="41">
        <f t="shared" si="25"/>
        <v>7770690.7434469089</v>
      </c>
      <c r="E29" s="115">
        <f t="shared" si="62"/>
        <v>1.1261624192640001</v>
      </c>
      <c r="F29" s="41">
        <f t="shared" ca="1" si="0"/>
        <v>307243463.76474798</v>
      </c>
      <c r="G29" s="107">
        <f t="shared" si="63"/>
        <v>0.35</v>
      </c>
      <c r="H29" s="41">
        <f t="shared" ca="1" si="1"/>
        <v>107535212.31766179</v>
      </c>
      <c r="I29" s="48">
        <f t="shared" si="64"/>
        <v>96.515600000000006</v>
      </c>
      <c r="J29" s="41">
        <f t="shared" ca="1" si="65"/>
        <v>10116328.03013514</v>
      </c>
      <c r="K29" s="107">
        <f t="shared" si="66"/>
        <v>0.25</v>
      </c>
      <c r="L29" s="41">
        <f t="shared" si="2"/>
        <v>262497.50783137861</v>
      </c>
      <c r="M29" s="41">
        <f t="shared" ca="1" si="67"/>
        <v>10378825.537966518</v>
      </c>
      <c r="N29" s="41">
        <f t="shared" ca="1" si="68"/>
        <v>7587246.0226013549</v>
      </c>
      <c r="O29" s="41">
        <f t="shared" ca="1" si="69"/>
        <v>6069796.8180810837</v>
      </c>
      <c r="P29" s="403">
        <f t="shared" ca="1" si="9"/>
        <v>6069796.8180810837</v>
      </c>
      <c r="R29" s="123">
        <f t="shared" si="70"/>
        <v>51866</v>
      </c>
      <c r="S29" s="116">
        <f>+IF(R29&gt;=X$9,'Taxes and TIF'!S28+1,'Taxes and TIF'!S28)</f>
        <v>17</v>
      </c>
      <c r="T29" s="41">
        <f t="shared" si="71"/>
        <v>818973.10714285716</v>
      </c>
      <c r="U29" s="115">
        <f t="shared" si="72"/>
        <v>1.1261624192640001</v>
      </c>
      <c r="V29" s="41">
        <f t="shared" ca="1" si="73"/>
        <v>176856187.66650295</v>
      </c>
      <c r="W29" s="107">
        <f t="shared" si="74"/>
        <v>0.35</v>
      </c>
      <c r="X29" s="41">
        <f t="shared" ca="1" si="75"/>
        <v>61899665.683276027</v>
      </c>
      <c r="Y29" s="48">
        <f t="shared" si="76"/>
        <v>96.515600000000006</v>
      </c>
      <c r="Z29" s="41">
        <f t="shared" ca="1" si="77"/>
        <v>5946618.0849338816</v>
      </c>
      <c r="AA29" s="107">
        <f t="shared" si="78"/>
        <v>0.25</v>
      </c>
      <c r="AB29" s="41">
        <f t="shared" si="79"/>
        <v>27665.288286914998</v>
      </c>
      <c r="AC29" s="41">
        <f t="shared" ca="1" si="80"/>
        <v>5974283.3732207967</v>
      </c>
      <c r="AD29" s="41">
        <f t="shared" ca="1" si="81"/>
        <v>4459963.5637004115</v>
      </c>
      <c r="AE29" s="41">
        <f t="shared" ca="1" si="82"/>
        <v>3567970.8509603292</v>
      </c>
      <c r="AF29" s="403">
        <f t="shared" ca="1" si="16"/>
        <v>3567970.8509603292</v>
      </c>
      <c r="AG29" s="123">
        <f t="shared" si="83"/>
        <v>52596</v>
      </c>
      <c r="AH29" s="116">
        <f>+IF(AG29&gt;=AM$9,'Taxes and TIF'!AH28+1,'Taxes and TIF'!AH28)</f>
        <v>17</v>
      </c>
      <c r="AI29" s="41">
        <f t="shared" si="84"/>
        <v>9121587</v>
      </c>
      <c r="AJ29" s="115">
        <f t="shared" si="85"/>
        <v>1.1261624192640001</v>
      </c>
      <c r="AK29" s="41">
        <f t="shared" ca="1" si="86"/>
        <v>269720348.09029418</v>
      </c>
      <c r="AL29" s="107">
        <f t="shared" si="87"/>
        <v>0.35</v>
      </c>
      <c r="AM29" s="41">
        <f t="shared" ca="1" si="88"/>
        <v>94402121.831602961</v>
      </c>
      <c r="AN29" s="48">
        <f t="shared" si="89"/>
        <v>96.515600000000006</v>
      </c>
      <c r="AO29" s="41">
        <f t="shared" ca="1" si="90"/>
        <v>8803146.0250602402</v>
      </c>
      <c r="AP29" s="107">
        <f t="shared" si="91"/>
        <v>0.25</v>
      </c>
      <c r="AQ29" s="41">
        <f t="shared" si="92"/>
        <v>308131.40479001997</v>
      </c>
      <c r="AR29" s="41">
        <f t="shared" ca="1" si="93"/>
        <v>9111277.4298502598</v>
      </c>
      <c r="AS29" s="41">
        <f t="shared" ca="1" si="94"/>
        <v>6602359.5187951801</v>
      </c>
      <c r="AT29" s="41">
        <f t="shared" ca="1" si="95"/>
        <v>5281887.6150361439</v>
      </c>
      <c r="AU29" s="403">
        <f t="shared" ca="1" si="23"/>
        <v>5281887.6150361439</v>
      </c>
    </row>
    <row r="30" spans="1:47" ht="16" customHeight="1" x14ac:dyDescent="0.2">
      <c r="A30" s="109">
        <f t="shared" si="60"/>
        <v>1</v>
      </c>
      <c r="B30" s="123">
        <f t="shared" si="61"/>
        <v>51501</v>
      </c>
      <c r="C30" s="116">
        <f>+IF(B30&gt;=H$9,'Taxes and TIF'!C29+1,'Taxes and TIF'!C29)</f>
        <v>18</v>
      </c>
      <c r="D30" s="41">
        <f t="shared" si="25"/>
        <v>7770690.7434469089</v>
      </c>
      <c r="E30" s="115">
        <f t="shared" si="62"/>
        <v>1.1261624192640001</v>
      </c>
      <c r="F30" s="41">
        <f t="shared" ca="1" si="0"/>
        <v>307243463.76474798</v>
      </c>
      <c r="G30" s="107">
        <f t="shared" si="63"/>
        <v>0.35</v>
      </c>
      <c r="H30" s="41">
        <f t="shared" ca="1" si="1"/>
        <v>107535212.31766179</v>
      </c>
      <c r="I30" s="48">
        <f t="shared" si="64"/>
        <v>96.515600000000006</v>
      </c>
      <c r="J30" s="41">
        <f t="shared" ca="1" si="65"/>
        <v>10116328.03013514</v>
      </c>
      <c r="K30" s="107">
        <f t="shared" si="66"/>
        <v>0.25</v>
      </c>
      <c r="L30" s="41">
        <f t="shared" si="2"/>
        <v>262497.50783137861</v>
      </c>
      <c r="M30" s="41">
        <f t="shared" ca="1" si="67"/>
        <v>10378825.537966518</v>
      </c>
      <c r="N30" s="41">
        <f t="shared" ca="1" si="68"/>
        <v>7587246.0226013549</v>
      </c>
      <c r="O30" s="41">
        <f t="shared" ca="1" si="69"/>
        <v>6069796.8180810837</v>
      </c>
      <c r="P30" s="403">
        <f t="shared" ca="1" si="9"/>
        <v>6069796.8180810837</v>
      </c>
      <c r="R30" s="123">
        <f t="shared" si="70"/>
        <v>52231</v>
      </c>
      <c r="S30" s="116">
        <f>+IF(R30&gt;=X$9,'Taxes and TIF'!S29+1,'Taxes and TIF'!S29)</f>
        <v>18</v>
      </c>
      <c r="T30" s="41">
        <f t="shared" si="71"/>
        <v>818973.10714285716</v>
      </c>
      <c r="U30" s="115">
        <f t="shared" si="72"/>
        <v>1.1261624192640001</v>
      </c>
      <c r="V30" s="41">
        <f t="shared" ca="1" si="73"/>
        <v>176856187.66650295</v>
      </c>
      <c r="W30" s="107">
        <f t="shared" si="74"/>
        <v>0.35</v>
      </c>
      <c r="X30" s="41">
        <f t="shared" ca="1" si="75"/>
        <v>61899665.683276027</v>
      </c>
      <c r="Y30" s="48">
        <f t="shared" si="76"/>
        <v>96.515600000000006</v>
      </c>
      <c r="Z30" s="41">
        <f t="shared" ca="1" si="77"/>
        <v>5946618.0849338816</v>
      </c>
      <c r="AA30" s="107">
        <f t="shared" si="78"/>
        <v>0.25</v>
      </c>
      <c r="AB30" s="41">
        <f t="shared" si="79"/>
        <v>27665.288286914998</v>
      </c>
      <c r="AC30" s="41">
        <f t="shared" ca="1" si="80"/>
        <v>5974283.3732207967</v>
      </c>
      <c r="AD30" s="41">
        <f t="shared" ca="1" si="81"/>
        <v>4459963.5637004115</v>
      </c>
      <c r="AE30" s="41">
        <f t="shared" ca="1" si="82"/>
        <v>3567970.8509603292</v>
      </c>
      <c r="AF30" s="403">
        <f t="shared" ca="1" si="16"/>
        <v>3567970.8509603292</v>
      </c>
      <c r="AG30" s="123">
        <f t="shared" si="83"/>
        <v>52962</v>
      </c>
      <c r="AH30" s="116">
        <f>+IF(AG30&gt;=AM$9,'Taxes and TIF'!AH29+1,'Taxes and TIF'!AH29)</f>
        <v>18</v>
      </c>
      <c r="AI30" s="41">
        <f t="shared" si="84"/>
        <v>9121587</v>
      </c>
      <c r="AJ30" s="115">
        <f t="shared" si="85"/>
        <v>1.1261624192640001</v>
      </c>
      <c r="AK30" s="41">
        <f t="shared" ca="1" si="86"/>
        <v>269720348.09029418</v>
      </c>
      <c r="AL30" s="107">
        <f t="shared" si="87"/>
        <v>0.35</v>
      </c>
      <c r="AM30" s="41">
        <f t="shared" ca="1" si="88"/>
        <v>94402121.831602961</v>
      </c>
      <c r="AN30" s="48">
        <f t="shared" si="89"/>
        <v>96.515600000000006</v>
      </c>
      <c r="AO30" s="41">
        <f t="shared" ca="1" si="90"/>
        <v>8803146.0250602402</v>
      </c>
      <c r="AP30" s="107">
        <f t="shared" si="91"/>
        <v>0.25</v>
      </c>
      <c r="AQ30" s="41">
        <f t="shared" si="92"/>
        <v>308131.40479001997</v>
      </c>
      <c r="AR30" s="41">
        <f t="shared" ca="1" si="93"/>
        <v>9111277.4298502598</v>
      </c>
      <c r="AS30" s="41">
        <f t="shared" ca="1" si="94"/>
        <v>6602359.5187951801</v>
      </c>
      <c r="AT30" s="41">
        <f t="shared" ca="1" si="95"/>
        <v>5281887.6150361439</v>
      </c>
      <c r="AU30" s="403">
        <f t="shared" ca="1" si="23"/>
        <v>5281887.6150361439</v>
      </c>
    </row>
    <row r="31" spans="1:47" ht="16" customHeight="1" x14ac:dyDescent="0.2">
      <c r="A31" s="109">
        <f t="shared" si="60"/>
        <v>2</v>
      </c>
      <c r="B31" s="123">
        <f t="shared" si="61"/>
        <v>51866</v>
      </c>
      <c r="C31" s="116">
        <f>+IF(B31&gt;=H$9,'Taxes and TIF'!C30+1,'Taxes and TIF'!C30)</f>
        <v>19</v>
      </c>
      <c r="D31" s="41">
        <f t="shared" si="25"/>
        <v>7770690.7434469089</v>
      </c>
      <c r="E31" s="115">
        <f t="shared" si="62"/>
        <v>1.1261624192640001</v>
      </c>
      <c r="F31" s="41">
        <f t="shared" ca="1" si="0"/>
        <v>307243463.76474798</v>
      </c>
      <c r="G31" s="107">
        <f t="shared" si="63"/>
        <v>0.35</v>
      </c>
      <c r="H31" s="41">
        <f t="shared" ca="1" si="1"/>
        <v>107535212.31766179</v>
      </c>
      <c r="I31" s="48">
        <f t="shared" si="64"/>
        <v>96.515600000000006</v>
      </c>
      <c r="J31" s="41">
        <f t="shared" ca="1" si="65"/>
        <v>10116328.03013514</v>
      </c>
      <c r="K31" s="107">
        <f t="shared" si="66"/>
        <v>0.25</v>
      </c>
      <c r="L31" s="41">
        <f t="shared" si="2"/>
        <v>262497.50783137861</v>
      </c>
      <c r="M31" s="41">
        <f t="shared" ca="1" si="67"/>
        <v>10378825.537966518</v>
      </c>
      <c r="N31" s="41">
        <f t="shared" ca="1" si="68"/>
        <v>7587246.0226013549</v>
      </c>
      <c r="O31" s="41">
        <f t="shared" ca="1" si="69"/>
        <v>6069796.8180810837</v>
      </c>
      <c r="P31" s="403">
        <f t="shared" ca="1" si="9"/>
        <v>6069796.8180810837</v>
      </c>
      <c r="R31" s="123">
        <f t="shared" si="70"/>
        <v>52596</v>
      </c>
      <c r="S31" s="116">
        <f>+IF(R31&gt;=X$9,'Taxes and TIF'!S30+1,'Taxes and TIF'!S30)</f>
        <v>19</v>
      </c>
      <c r="T31" s="41">
        <f t="shared" si="71"/>
        <v>818973.10714285716</v>
      </c>
      <c r="U31" s="115">
        <f t="shared" si="72"/>
        <v>1.1261624192640001</v>
      </c>
      <c r="V31" s="41">
        <f t="shared" ca="1" si="73"/>
        <v>176856187.66650295</v>
      </c>
      <c r="W31" s="107">
        <f t="shared" si="74"/>
        <v>0.35</v>
      </c>
      <c r="X31" s="41">
        <f t="shared" ca="1" si="75"/>
        <v>61899665.683276027</v>
      </c>
      <c r="Y31" s="48">
        <f t="shared" si="76"/>
        <v>96.515600000000006</v>
      </c>
      <c r="Z31" s="41">
        <f t="shared" ca="1" si="77"/>
        <v>5946618.0849338816</v>
      </c>
      <c r="AA31" s="107">
        <f t="shared" si="78"/>
        <v>0.25</v>
      </c>
      <c r="AB31" s="41">
        <f t="shared" si="79"/>
        <v>27665.288286914998</v>
      </c>
      <c r="AC31" s="41">
        <f t="shared" ca="1" si="80"/>
        <v>5974283.3732207967</v>
      </c>
      <c r="AD31" s="41">
        <f t="shared" ca="1" si="81"/>
        <v>4459963.5637004115</v>
      </c>
      <c r="AE31" s="41">
        <f t="shared" ca="1" si="82"/>
        <v>3567970.8509603292</v>
      </c>
      <c r="AF31" s="403">
        <f t="shared" ca="1" si="16"/>
        <v>3567970.8509603292</v>
      </c>
      <c r="AG31" s="123">
        <f t="shared" si="83"/>
        <v>53327</v>
      </c>
      <c r="AH31" s="116">
        <f>+IF(AG31&gt;=AM$9,'Taxes and TIF'!AH30+1,'Taxes and TIF'!AH30)</f>
        <v>19</v>
      </c>
      <c r="AI31" s="41">
        <f t="shared" si="84"/>
        <v>9121587</v>
      </c>
      <c r="AJ31" s="115">
        <f t="shared" si="85"/>
        <v>1.1261624192640001</v>
      </c>
      <c r="AK31" s="41">
        <f t="shared" ca="1" si="86"/>
        <v>269720348.09029418</v>
      </c>
      <c r="AL31" s="107">
        <f t="shared" si="87"/>
        <v>0.35</v>
      </c>
      <c r="AM31" s="41">
        <f t="shared" ca="1" si="88"/>
        <v>94402121.831602961</v>
      </c>
      <c r="AN31" s="48">
        <f t="shared" si="89"/>
        <v>96.515600000000006</v>
      </c>
      <c r="AO31" s="41">
        <f t="shared" ca="1" si="90"/>
        <v>8803146.0250602402</v>
      </c>
      <c r="AP31" s="107">
        <f t="shared" si="91"/>
        <v>0.25</v>
      </c>
      <c r="AQ31" s="41">
        <f t="shared" si="92"/>
        <v>308131.40479001997</v>
      </c>
      <c r="AR31" s="41">
        <f t="shared" ca="1" si="93"/>
        <v>9111277.4298502598</v>
      </c>
      <c r="AS31" s="41">
        <f t="shared" ca="1" si="94"/>
        <v>6602359.5187951801</v>
      </c>
      <c r="AT31" s="41">
        <f t="shared" ca="1" si="95"/>
        <v>5281887.6150361439</v>
      </c>
      <c r="AU31" s="403">
        <f t="shared" ca="1" si="23"/>
        <v>5281887.6150361439</v>
      </c>
    </row>
    <row r="32" spans="1:47" ht="16" customHeight="1" x14ac:dyDescent="0.2">
      <c r="A32" s="109">
        <f t="shared" si="60"/>
        <v>0</v>
      </c>
      <c r="B32" s="123">
        <f t="shared" si="61"/>
        <v>52231</v>
      </c>
      <c r="C32" s="116">
        <f>+IF(B32&gt;=H$9,'Taxes and TIF'!C31+1,'Taxes and TIF'!C31)</f>
        <v>20</v>
      </c>
      <c r="D32" s="41">
        <f t="shared" si="25"/>
        <v>7926104.5583158471</v>
      </c>
      <c r="E32" s="115">
        <f t="shared" si="62"/>
        <v>1.14868566764928</v>
      </c>
      <c r="F32" s="41">
        <f t="shared" ca="1" si="0"/>
        <v>313388333.04004294</v>
      </c>
      <c r="G32" s="107">
        <f t="shared" si="63"/>
        <v>0.35</v>
      </c>
      <c r="H32" s="41">
        <f t="shared" ca="1" si="1"/>
        <v>109685916.56401502</v>
      </c>
      <c r="I32" s="48">
        <f t="shared" si="64"/>
        <v>96.515600000000006</v>
      </c>
      <c r="J32" s="41">
        <f t="shared" ca="1" si="65"/>
        <v>10318654.590737842</v>
      </c>
      <c r="K32" s="107">
        <f t="shared" si="66"/>
        <v>0.25</v>
      </c>
      <c r="L32" s="41">
        <f t="shared" si="2"/>
        <v>267747.45798800612</v>
      </c>
      <c r="M32" s="41">
        <f t="shared" ca="1" si="67"/>
        <v>10586402.048725849</v>
      </c>
      <c r="N32" s="41">
        <f t="shared" ca="1" si="68"/>
        <v>7738990.9430533815</v>
      </c>
      <c r="O32" s="41">
        <f t="shared" ca="1" si="69"/>
        <v>6191192.7544427048</v>
      </c>
      <c r="P32" s="403">
        <f t="shared" ca="1" si="9"/>
        <v>6191192.7544427048</v>
      </c>
      <c r="R32" s="123">
        <f t="shared" si="70"/>
        <v>52962</v>
      </c>
      <c r="S32" s="116">
        <f>+IF(R32&gt;=X$9,'Taxes and TIF'!S31+1,'Taxes and TIF'!S31)</f>
        <v>20</v>
      </c>
      <c r="T32" s="41">
        <f t="shared" si="71"/>
        <v>818973.10714285716</v>
      </c>
      <c r="U32" s="115">
        <f t="shared" si="72"/>
        <v>1.14868566764928</v>
      </c>
      <c r="V32" s="41">
        <f t="shared" ca="1" si="73"/>
        <v>180393311.419833</v>
      </c>
      <c r="W32" s="107">
        <f t="shared" si="74"/>
        <v>0.35</v>
      </c>
      <c r="X32" s="41">
        <f t="shared" ca="1" si="75"/>
        <v>63137658.996941544</v>
      </c>
      <c r="Y32" s="48">
        <f t="shared" si="76"/>
        <v>96.515600000000006</v>
      </c>
      <c r="Z32" s="41">
        <f t="shared" ca="1" si="77"/>
        <v>6066103.7523982972</v>
      </c>
      <c r="AA32" s="107">
        <f t="shared" si="78"/>
        <v>0.25</v>
      </c>
      <c r="AB32" s="41">
        <f t="shared" si="79"/>
        <v>27665.288286914998</v>
      </c>
      <c r="AC32" s="41">
        <f t="shared" ca="1" si="80"/>
        <v>6093769.0406852122</v>
      </c>
      <c r="AD32" s="41">
        <f t="shared" ca="1" si="81"/>
        <v>4549577.8142987229</v>
      </c>
      <c r="AE32" s="41">
        <f t="shared" ca="1" si="82"/>
        <v>3639662.2514389781</v>
      </c>
      <c r="AF32" s="403">
        <f t="shared" ca="1" si="16"/>
        <v>3639662.2514389781</v>
      </c>
      <c r="AG32" s="123">
        <f t="shared" si="83"/>
        <v>53692</v>
      </c>
      <c r="AH32" s="116">
        <f>+IF(AG32&gt;=AM$9,'Taxes and TIF'!AH31+1,'Taxes and TIF'!AH31)</f>
        <v>20</v>
      </c>
      <c r="AI32" s="41">
        <f t="shared" si="84"/>
        <v>9121587</v>
      </c>
      <c r="AJ32" s="115">
        <f t="shared" si="85"/>
        <v>1.14868566764928</v>
      </c>
      <c r="AK32" s="41">
        <f t="shared" ca="1" si="86"/>
        <v>275114755.05210006</v>
      </c>
      <c r="AL32" s="107">
        <f t="shared" si="87"/>
        <v>0.35</v>
      </c>
      <c r="AM32" s="41">
        <f t="shared" ca="1" si="88"/>
        <v>96290164.268235013</v>
      </c>
      <c r="AN32" s="48">
        <f t="shared" si="89"/>
        <v>96.515600000000006</v>
      </c>
      <c r="AO32" s="41">
        <f t="shared" ca="1" si="90"/>
        <v>8985371.5736572444</v>
      </c>
      <c r="AP32" s="107">
        <f t="shared" si="91"/>
        <v>0.25</v>
      </c>
      <c r="AQ32" s="41">
        <f t="shared" si="92"/>
        <v>308131.40479001997</v>
      </c>
      <c r="AR32" s="41">
        <f t="shared" ca="1" si="93"/>
        <v>9293502.9784472641</v>
      </c>
      <c r="AS32" s="41">
        <f t="shared" ca="1" si="94"/>
        <v>6739028.6802429333</v>
      </c>
      <c r="AT32" s="41">
        <f t="shared" ca="1" si="95"/>
        <v>5391222.9441943467</v>
      </c>
      <c r="AU32" s="403">
        <f t="shared" ca="1" si="23"/>
        <v>5391222.9441943467</v>
      </c>
    </row>
    <row r="33" spans="1:47" ht="16" customHeight="1" x14ac:dyDescent="0.2">
      <c r="A33" s="109">
        <f t="shared" si="60"/>
        <v>1</v>
      </c>
      <c r="B33" s="123">
        <f t="shared" si="61"/>
        <v>52596</v>
      </c>
      <c r="C33" s="116">
        <f>+IF(B33&gt;=H$9,'Taxes and TIF'!C32+1,'Taxes and TIF'!C32)</f>
        <v>21</v>
      </c>
      <c r="D33" s="41">
        <f t="shared" si="25"/>
        <v>7926104.5583158471</v>
      </c>
      <c r="E33" s="115">
        <f t="shared" si="62"/>
        <v>1.14868566764928</v>
      </c>
      <c r="F33" s="41">
        <f t="shared" ca="1" si="0"/>
        <v>313388333.04004294</v>
      </c>
      <c r="G33" s="107">
        <f t="shared" si="63"/>
        <v>0.35</v>
      </c>
      <c r="H33" s="41">
        <f t="shared" ca="1" si="1"/>
        <v>109685916.56401502</v>
      </c>
      <c r="I33" s="48">
        <f t="shared" si="64"/>
        <v>96.515600000000006</v>
      </c>
      <c r="J33" s="41">
        <f t="shared" ca="1" si="65"/>
        <v>10318654.590737842</v>
      </c>
      <c r="K33" s="107">
        <f t="shared" si="66"/>
        <v>0.25</v>
      </c>
      <c r="L33" s="41">
        <f t="shared" si="2"/>
        <v>267747.45798800612</v>
      </c>
      <c r="M33" s="41">
        <f t="shared" ca="1" si="67"/>
        <v>10586402.048725849</v>
      </c>
      <c r="N33" s="41">
        <f t="shared" ca="1" si="68"/>
        <v>7738990.9430533815</v>
      </c>
      <c r="O33" s="41">
        <f t="shared" ca="1" si="69"/>
        <v>6191192.7544427048</v>
      </c>
      <c r="P33" s="403">
        <f t="shared" ca="1" si="9"/>
        <v>6191192.7544427048</v>
      </c>
      <c r="R33" s="123">
        <f t="shared" si="70"/>
        <v>53327</v>
      </c>
      <c r="S33" s="116">
        <f>+IF(R33&gt;=X$9,'Taxes and TIF'!S32+1,'Taxes and TIF'!S32)</f>
        <v>21</v>
      </c>
      <c r="T33" s="41">
        <f t="shared" si="71"/>
        <v>818973.10714285716</v>
      </c>
      <c r="U33" s="115">
        <f t="shared" si="72"/>
        <v>1.14868566764928</v>
      </c>
      <c r="V33" s="41">
        <f t="shared" ca="1" si="73"/>
        <v>180393311.419833</v>
      </c>
      <c r="W33" s="107">
        <f t="shared" si="74"/>
        <v>0.35</v>
      </c>
      <c r="X33" s="41">
        <f t="shared" ca="1" si="75"/>
        <v>63137658.996941544</v>
      </c>
      <c r="Y33" s="48">
        <f t="shared" si="76"/>
        <v>96.515600000000006</v>
      </c>
      <c r="Z33" s="41">
        <f t="shared" ca="1" si="77"/>
        <v>6066103.7523982972</v>
      </c>
      <c r="AA33" s="107">
        <f t="shared" si="78"/>
        <v>0.25</v>
      </c>
      <c r="AB33" s="41">
        <f t="shared" si="79"/>
        <v>27665.288286914998</v>
      </c>
      <c r="AC33" s="41">
        <f t="shared" ca="1" si="80"/>
        <v>6093769.0406852122</v>
      </c>
      <c r="AD33" s="41">
        <f t="shared" ca="1" si="81"/>
        <v>4549577.8142987229</v>
      </c>
      <c r="AE33" s="41">
        <f t="shared" ca="1" si="82"/>
        <v>3639662.2514389781</v>
      </c>
      <c r="AF33" s="403">
        <f t="shared" ca="1" si="16"/>
        <v>3639662.2514389781</v>
      </c>
      <c r="AG33" s="123">
        <f t="shared" si="83"/>
        <v>54057</v>
      </c>
      <c r="AH33" s="116">
        <f>+IF(AG33&gt;=AM$9,'Taxes and TIF'!AH32+1,'Taxes and TIF'!AH32)</f>
        <v>21</v>
      </c>
      <c r="AI33" s="41">
        <f t="shared" si="84"/>
        <v>9121587</v>
      </c>
      <c r="AJ33" s="115">
        <f t="shared" si="85"/>
        <v>1.14868566764928</v>
      </c>
      <c r="AK33" s="41">
        <f t="shared" ca="1" si="86"/>
        <v>275114755.05210006</v>
      </c>
      <c r="AL33" s="107">
        <f t="shared" si="87"/>
        <v>0.35</v>
      </c>
      <c r="AM33" s="41">
        <f t="shared" ca="1" si="88"/>
        <v>96290164.268235013</v>
      </c>
      <c r="AN33" s="48">
        <f t="shared" si="89"/>
        <v>96.515600000000006</v>
      </c>
      <c r="AO33" s="41">
        <f t="shared" ca="1" si="90"/>
        <v>8985371.5736572444</v>
      </c>
      <c r="AP33" s="107">
        <f t="shared" si="91"/>
        <v>0.25</v>
      </c>
      <c r="AQ33" s="41">
        <f t="shared" si="92"/>
        <v>308131.40479001997</v>
      </c>
      <c r="AR33" s="41">
        <f t="shared" ca="1" si="93"/>
        <v>9293502.9784472641</v>
      </c>
      <c r="AS33" s="41">
        <f t="shared" ca="1" si="94"/>
        <v>6739028.6802429333</v>
      </c>
      <c r="AT33" s="41">
        <f t="shared" ca="1" si="95"/>
        <v>5391222.9441943467</v>
      </c>
      <c r="AU33" s="403">
        <f t="shared" ca="1" si="23"/>
        <v>5391222.9441943467</v>
      </c>
    </row>
    <row r="34" spans="1:47" ht="16" customHeight="1" x14ac:dyDescent="0.2">
      <c r="A34" s="109">
        <f t="shared" si="60"/>
        <v>2</v>
      </c>
      <c r="B34" s="123">
        <f t="shared" si="61"/>
        <v>52962</v>
      </c>
      <c r="C34" s="116">
        <f>+IF(B34&gt;=H$9,'Taxes and TIF'!C33+1,'Taxes and TIF'!C33)</f>
        <v>22</v>
      </c>
      <c r="D34" s="41">
        <f t="shared" si="25"/>
        <v>7926104.5583158471</v>
      </c>
      <c r="E34" s="115">
        <f t="shared" si="62"/>
        <v>1.14868566764928</v>
      </c>
      <c r="F34" s="41">
        <f t="shared" ca="1" si="0"/>
        <v>313388333.04004294</v>
      </c>
      <c r="G34" s="107">
        <f t="shared" si="63"/>
        <v>0.35</v>
      </c>
      <c r="H34" s="41">
        <f t="shared" ca="1" si="1"/>
        <v>109685916.56401502</v>
      </c>
      <c r="I34" s="48">
        <f t="shared" si="64"/>
        <v>96.515600000000006</v>
      </c>
      <c r="J34" s="41">
        <f t="shared" ca="1" si="65"/>
        <v>10318654.590737842</v>
      </c>
      <c r="K34" s="107">
        <f t="shared" si="66"/>
        <v>0.25</v>
      </c>
      <c r="L34" s="41">
        <f t="shared" si="2"/>
        <v>267747.45798800612</v>
      </c>
      <c r="M34" s="41">
        <f t="shared" ca="1" si="67"/>
        <v>10586402.048725849</v>
      </c>
      <c r="N34" s="41">
        <f t="shared" ca="1" si="68"/>
        <v>7738990.9430533815</v>
      </c>
      <c r="O34" s="41">
        <f t="shared" ca="1" si="69"/>
        <v>6191192.7544427048</v>
      </c>
      <c r="P34" s="403">
        <f t="shared" ca="1" si="9"/>
        <v>6191192.7544427048</v>
      </c>
      <c r="R34" s="123">
        <f t="shared" si="70"/>
        <v>53692</v>
      </c>
      <c r="S34" s="116">
        <f>+IF(R34&gt;=X$9,'Taxes and TIF'!S33+1,'Taxes and TIF'!S33)</f>
        <v>22</v>
      </c>
      <c r="T34" s="41">
        <f t="shared" si="71"/>
        <v>818973.10714285716</v>
      </c>
      <c r="U34" s="115">
        <f t="shared" si="72"/>
        <v>1.14868566764928</v>
      </c>
      <c r="V34" s="41">
        <f t="shared" ca="1" si="73"/>
        <v>180393311.419833</v>
      </c>
      <c r="W34" s="107">
        <f t="shared" si="74"/>
        <v>0.35</v>
      </c>
      <c r="X34" s="41">
        <f t="shared" ca="1" si="75"/>
        <v>63137658.996941544</v>
      </c>
      <c r="Y34" s="48">
        <f t="shared" si="76"/>
        <v>96.515600000000006</v>
      </c>
      <c r="Z34" s="41">
        <f t="shared" ca="1" si="77"/>
        <v>6066103.7523982972</v>
      </c>
      <c r="AA34" s="107">
        <f t="shared" si="78"/>
        <v>0.25</v>
      </c>
      <c r="AB34" s="41">
        <f t="shared" si="79"/>
        <v>27665.288286914998</v>
      </c>
      <c r="AC34" s="41">
        <f t="shared" ca="1" si="80"/>
        <v>6093769.0406852122</v>
      </c>
      <c r="AD34" s="41">
        <f t="shared" ca="1" si="81"/>
        <v>4549577.8142987229</v>
      </c>
      <c r="AE34" s="41">
        <f t="shared" ca="1" si="82"/>
        <v>3639662.2514389781</v>
      </c>
      <c r="AF34" s="403">
        <f t="shared" ca="1" si="16"/>
        <v>3639662.2514389781</v>
      </c>
      <c r="AG34" s="123">
        <f t="shared" si="83"/>
        <v>54423</v>
      </c>
      <c r="AH34" s="116">
        <f>+IF(AG34&gt;=AM$9,'Taxes and TIF'!AH33+1,'Taxes and TIF'!AH33)</f>
        <v>22</v>
      </c>
      <c r="AI34" s="41">
        <f t="shared" si="84"/>
        <v>9121587</v>
      </c>
      <c r="AJ34" s="115">
        <f t="shared" si="85"/>
        <v>1.14868566764928</v>
      </c>
      <c r="AK34" s="41">
        <f t="shared" ca="1" si="86"/>
        <v>275114755.05210006</v>
      </c>
      <c r="AL34" s="107">
        <f t="shared" si="87"/>
        <v>0.35</v>
      </c>
      <c r="AM34" s="41">
        <f t="shared" ca="1" si="88"/>
        <v>96290164.268235013</v>
      </c>
      <c r="AN34" s="48">
        <f t="shared" si="89"/>
        <v>96.515600000000006</v>
      </c>
      <c r="AO34" s="41">
        <f t="shared" ca="1" si="90"/>
        <v>8985371.5736572444</v>
      </c>
      <c r="AP34" s="107">
        <f t="shared" si="91"/>
        <v>0.25</v>
      </c>
      <c r="AQ34" s="41">
        <f t="shared" si="92"/>
        <v>308131.40479001997</v>
      </c>
      <c r="AR34" s="41">
        <f t="shared" ca="1" si="93"/>
        <v>9293502.9784472641</v>
      </c>
      <c r="AS34" s="41">
        <f t="shared" ca="1" si="94"/>
        <v>6739028.6802429333</v>
      </c>
      <c r="AT34" s="41">
        <f t="shared" ca="1" si="95"/>
        <v>5391222.9441943467</v>
      </c>
      <c r="AU34" s="403">
        <f t="shared" ca="1" si="23"/>
        <v>5391222.9441943467</v>
      </c>
    </row>
    <row r="35" spans="1:47" ht="16" customHeight="1" x14ac:dyDescent="0.2">
      <c r="A35" s="109">
        <f t="shared" si="60"/>
        <v>0</v>
      </c>
      <c r="B35" s="123">
        <f t="shared" si="61"/>
        <v>53327</v>
      </c>
      <c r="C35" s="116">
        <f>+IF(B35&gt;=H$9,'Taxes and TIF'!C34+1,'Taxes and TIF'!C34)</f>
        <v>23</v>
      </c>
      <c r="D35" s="41">
        <f t="shared" si="25"/>
        <v>8084626.6494821645</v>
      </c>
      <c r="E35" s="115">
        <f t="shared" si="62"/>
        <v>1.1716593810022657</v>
      </c>
      <c r="F35" s="41">
        <f t="shared" ca="1" si="0"/>
        <v>319656099.70084381</v>
      </c>
      <c r="G35" s="107">
        <f t="shared" si="63"/>
        <v>0.35</v>
      </c>
      <c r="H35" s="41">
        <f t="shared" ca="1" si="1"/>
        <v>111879634.89529532</v>
      </c>
      <c r="I35" s="48">
        <f t="shared" si="64"/>
        <v>96.515600000000006</v>
      </c>
      <c r="J35" s="41">
        <f t="shared" ca="1" si="65"/>
        <v>10525027.682552598</v>
      </c>
      <c r="K35" s="107">
        <f t="shared" si="66"/>
        <v>0.25</v>
      </c>
      <c r="L35" s="41">
        <f t="shared" si="2"/>
        <v>273102.40714776627</v>
      </c>
      <c r="M35" s="41">
        <f t="shared" ca="1" si="67"/>
        <v>10798130.089700365</v>
      </c>
      <c r="N35" s="41">
        <f t="shared" ca="1" si="68"/>
        <v>7893770.7619144488</v>
      </c>
      <c r="O35" s="41">
        <f t="shared" ca="1" si="69"/>
        <v>6315016.6095315591</v>
      </c>
      <c r="P35" s="403">
        <f t="shared" ca="1" si="9"/>
        <v>6315016.6095315591</v>
      </c>
      <c r="R35" s="123">
        <f t="shared" si="70"/>
        <v>54057</v>
      </c>
      <c r="S35" s="116">
        <f>+IF(R35&gt;=X$9,'Taxes and TIF'!S34+1,'Taxes and TIF'!S34)</f>
        <v>23</v>
      </c>
      <c r="T35" s="41">
        <f t="shared" si="71"/>
        <v>818973.10714285716</v>
      </c>
      <c r="U35" s="115">
        <f t="shared" si="72"/>
        <v>1.1716593810022657</v>
      </c>
      <c r="V35" s="41">
        <f t="shared" ca="1" si="73"/>
        <v>184001177.64822969</v>
      </c>
      <c r="W35" s="107">
        <f t="shared" si="74"/>
        <v>0.35</v>
      </c>
      <c r="X35" s="41">
        <f t="shared" ca="1" si="75"/>
        <v>64400412.176880389</v>
      </c>
      <c r="Y35" s="48">
        <f t="shared" si="76"/>
        <v>96.515600000000006</v>
      </c>
      <c r="Z35" s="41">
        <f t="shared" ca="1" si="77"/>
        <v>6187979.1332120029</v>
      </c>
      <c r="AA35" s="107">
        <f t="shared" si="78"/>
        <v>0.25</v>
      </c>
      <c r="AB35" s="41">
        <f t="shared" si="79"/>
        <v>27665.288286914998</v>
      </c>
      <c r="AC35" s="41">
        <f t="shared" ca="1" si="80"/>
        <v>6215644.421498918</v>
      </c>
      <c r="AD35" s="41">
        <f t="shared" ca="1" si="81"/>
        <v>4640984.349909002</v>
      </c>
      <c r="AE35" s="41">
        <f t="shared" ca="1" si="82"/>
        <v>3712787.4799272018</v>
      </c>
      <c r="AF35" s="403">
        <f t="shared" ca="1" si="16"/>
        <v>3712787.4799272018</v>
      </c>
      <c r="AG35" s="123">
        <f t="shared" si="83"/>
        <v>54788</v>
      </c>
      <c r="AH35" s="116">
        <f>+IF(AG35&gt;=AM$9,'Taxes and TIF'!AH34+1,'Taxes and TIF'!AH34)</f>
        <v>23</v>
      </c>
      <c r="AI35" s="41">
        <f t="shared" si="84"/>
        <v>9121587</v>
      </c>
      <c r="AJ35" s="115">
        <f t="shared" si="85"/>
        <v>1.1716593810022657</v>
      </c>
      <c r="AK35" s="41">
        <f t="shared" ca="1" si="86"/>
        <v>280617050.15314209</v>
      </c>
      <c r="AL35" s="107">
        <f t="shared" si="87"/>
        <v>0.35</v>
      </c>
      <c r="AM35" s="41">
        <f t="shared" ca="1" si="88"/>
        <v>98215967.55359973</v>
      </c>
      <c r="AN35" s="48">
        <f t="shared" si="89"/>
        <v>96.515600000000006</v>
      </c>
      <c r="AO35" s="41">
        <f t="shared" ca="1" si="90"/>
        <v>9171241.6332261916</v>
      </c>
      <c r="AP35" s="107">
        <f t="shared" si="91"/>
        <v>0.25</v>
      </c>
      <c r="AQ35" s="41">
        <f t="shared" si="92"/>
        <v>308131.40479001997</v>
      </c>
      <c r="AR35" s="41">
        <f t="shared" ca="1" si="93"/>
        <v>9479373.0380162112</v>
      </c>
      <c r="AS35" s="41">
        <f t="shared" ca="1" si="94"/>
        <v>6878431.2249196433</v>
      </c>
      <c r="AT35" s="41">
        <f t="shared" ca="1" si="95"/>
        <v>5502744.979935715</v>
      </c>
      <c r="AU35" s="403">
        <f t="shared" ca="1" si="23"/>
        <v>5502744.979935715</v>
      </c>
    </row>
    <row r="36" spans="1:47" ht="16" customHeight="1" x14ac:dyDescent="0.2">
      <c r="A36" s="109">
        <f t="shared" si="60"/>
        <v>1</v>
      </c>
      <c r="B36" s="123">
        <f t="shared" si="61"/>
        <v>53692</v>
      </c>
      <c r="C36" s="116">
        <f>+IF(B36&gt;=H$9,'Taxes and TIF'!C35+1,'Taxes and TIF'!C35)</f>
        <v>24</v>
      </c>
      <c r="D36" s="41">
        <f t="shared" si="25"/>
        <v>8084626.6494821645</v>
      </c>
      <c r="E36" s="115">
        <f t="shared" si="62"/>
        <v>1.1716593810022657</v>
      </c>
      <c r="F36" s="41">
        <f t="shared" ca="1" si="0"/>
        <v>319656099.70084381</v>
      </c>
      <c r="G36" s="107">
        <f t="shared" si="63"/>
        <v>0.35</v>
      </c>
      <c r="H36" s="41">
        <f t="shared" ca="1" si="1"/>
        <v>111879634.89529532</v>
      </c>
      <c r="I36" s="48">
        <f t="shared" si="64"/>
        <v>96.515600000000006</v>
      </c>
      <c r="J36" s="41">
        <f t="shared" ca="1" si="65"/>
        <v>10525027.682552598</v>
      </c>
      <c r="K36" s="107">
        <f t="shared" si="66"/>
        <v>0.25</v>
      </c>
      <c r="L36" s="41">
        <f t="shared" si="2"/>
        <v>273102.40714776627</v>
      </c>
      <c r="M36" s="41">
        <f t="shared" ca="1" si="67"/>
        <v>10798130.089700365</v>
      </c>
      <c r="N36" s="41">
        <f t="shared" ca="1" si="68"/>
        <v>7893770.7619144488</v>
      </c>
      <c r="O36" s="41">
        <f t="shared" ca="1" si="69"/>
        <v>6315016.6095315591</v>
      </c>
      <c r="P36" s="403">
        <f t="shared" ca="1" si="9"/>
        <v>6315016.6095315591</v>
      </c>
      <c r="R36" s="123">
        <f t="shared" si="70"/>
        <v>54423</v>
      </c>
      <c r="S36" s="116">
        <f>+IF(R36&gt;=X$9,'Taxes and TIF'!S35+1,'Taxes and TIF'!S35)</f>
        <v>24</v>
      </c>
      <c r="T36" s="41">
        <f t="shared" si="71"/>
        <v>818973.10714285716</v>
      </c>
      <c r="U36" s="115">
        <f t="shared" si="72"/>
        <v>1.1716593810022657</v>
      </c>
      <c r="V36" s="41">
        <f t="shared" ca="1" si="73"/>
        <v>184001177.64822969</v>
      </c>
      <c r="W36" s="107">
        <f t="shared" si="74"/>
        <v>0.35</v>
      </c>
      <c r="X36" s="41">
        <f t="shared" ca="1" si="75"/>
        <v>64400412.176880389</v>
      </c>
      <c r="Y36" s="48">
        <f t="shared" si="76"/>
        <v>96.515600000000006</v>
      </c>
      <c r="Z36" s="41">
        <f t="shared" ca="1" si="77"/>
        <v>6187979.1332120029</v>
      </c>
      <c r="AA36" s="107">
        <f t="shared" si="78"/>
        <v>0.25</v>
      </c>
      <c r="AB36" s="41">
        <f t="shared" si="79"/>
        <v>27665.288286914998</v>
      </c>
      <c r="AC36" s="41">
        <f t="shared" ca="1" si="80"/>
        <v>6215644.421498918</v>
      </c>
      <c r="AD36" s="41">
        <f t="shared" ca="1" si="81"/>
        <v>4640984.349909002</v>
      </c>
      <c r="AE36" s="41">
        <f t="shared" ca="1" si="82"/>
        <v>3712787.4799272018</v>
      </c>
      <c r="AF36" s="403">
        <f t="shared" ca="1" si="16"/>
        <v>3712787.4799272018</v>
      </c>
      <c r="AG36" s="123">
        <f t="shared" si="83"/>
        <v>55153</v>
      </c>
      <c r="AH36" s="116">
        <f>+IF(AG36&gt;=AM$9,'Taxes and TIF'!AH35+1,'Taxes and TIF'!AH35)</f>
        <v>24</v>
      </c>
      <c r="AI36" s="41">
        <f t="shared" si="84"/>
        <v>9121587</v>
      </c>
      <c r="AJ36" s="115">
        <f t="shared" si="85"/>
        <v>1.1716593810022657</v>
      </c>
      <c r="AK36" s="41">
        <f t="shared" ca="1" si="86"/>
        <v>280617050.15314209</v>
      </c>
      <c r="AL36" s="107">
        <f t="shared" si="87"/>
        <v>0.35</v>
      </c>
      <c r="AM36" s="41">
        <f t="shared" ca="1" si="88"/>
        <v>98215967.55359973</v>
      </c>
      <c r="AN36" s="48">
        <f t="shared" si="89"/>
        <v>96.515600000000006</v>
      </c>
      <c r="AO36" s="41">
        <f t="shared" ca="1" si="90"/>
        <v>9171241.6332261916</v>
      </c>
      <c r="AP36" s="107">
        <f t="shared" si="91"/>
        <v>0.25</v>
      </c>
      <c r="AQ36" s="41">
        <f t="shared" si="92"/>
        <v>308131.40479001997</v>
      </c>
      <c r="AR36" s="41">
        <f t="shared" ca="1" si="93"/>
        <v>9479373.0380162112</v>
      </c>
      <c r="AS36" s="41">
        <f t="shared" ca="1" si="94"/>
        <v>6878431.2249196433</v>
      </c>
      <c r="AT36" s="41">
        <f t="shared" ca="1" si="95"/>
        <v>5502744.979935715</v>
      </c>
      <c r="AU36" s="403">
        <f t="shared" ca="1" si="23"/>
        <v>5502744.979935715</v>
      </c>
    </row>
    <row r="37" spans="1:47" ht="16" customHeight="1" x14ac:dyDescent="0.2">
      <c r="A37" s="109">
        <f t="shared" si="60"/>
        <v>2</v>
      </c>
      <c r="B37" s="123">
        <f t="shared" si="61"/>
        <v>54057</v>
      </c>
      <c r="C37" s="116">
        <f>+IF(B37&gt;=H$9,'Taxes and TIF'!C36+1,'Taxes and TIF'!C36)</f>
        <v>25</v>
      </c>
      <c r="D37" s="41">
        <f t="shared" si="25"/>
        <v>8084626.6494821645</v>
      </c>
      <c r="E37" s="115">
        <f t="shared" si="62"/>
        <v>1.1716593810022657</v>
      </c>
      <c r="F37" s="41">
        <f t="shared" ca="1" si="0"/>
        <v>319656099.70084381</v>
      </c>
      <c r="G37" s="107">
        <f t="shared" si="63"/>
        <v>0.35</v>
      </c>
      <c r="H37" s="41">
        <f t="shared" ca="1" si="1"/>
        <v>111879634.89529532</v>
      </c>
      <c r="I37" s="48">
        <f t="shared" si="64"/>
        <v>96.515600000000006</v>
      </c>
      <c r="J37" s="41">
        <f t="shared" ca="1" si="65"/>
        <v>10525027.682552598</v>
      </c>
      <c r="K37" s="107">
        <f t="shared" si="66"/>
        <v>0.25</v>
      </c>
      <c r="L37" s="41">
        <f t="shared" si="2"/>
        <v>273102.40714776627</v>
      </c>
      <c r="M37" s="41">
        <f t="shared" ca="1" si="67"/>
        <v>10798130.089700365</v>
      </c>
      <c r="N37" s="41">
        <f t="shared" ca="1" si="68"/>
        <v>7893770.7619144488</v>
      </c>
      <c r="O37" s="41">
        <f t="shared" ca="1" si="69"/>
        <v>6315016.6095315591</v>
      </c>
      <c r="P37" s="403">
        <f t="shared" ca="1" si="9"/>
        <v>6315016.6095315591</v>
      </c>
      <c r="R37" s="123">
        <f t="shared" si="70"/>
        <v>54788</v>
      </c>
      <c r="S37" s="116">
        <f>+IF(R37&gt;=X$9,'Taxes and TIF'!S36+1,'Taxes and TIF'!S36)</f>
        <v>25</v>
      </c>
      <c r="T37" s="41">
        <f t="shared" si="71"/>
        <v>818973.10714285716</v>
      </c>
      <c r="U37" s="115">
        <f t="shared" si="72"/>
        <v>1.1716593810022657</v>
      </c>
      <c r="V37" s="41">
        <f t="shared" ca="1" si="73"/>
        <v>184001177.64822969</v>
      </c>
      <c r="W37" s="107">
        <f t="shared" si="74"/>
        <v>0.35</v>
      </c>
      <c r="X37" s="41">
        <f t="shared" ca="1" si="75"/>
        <v>64400412.176880389</v>
      </c>
      <c r="Y37" s="48">
        <f t="shared" si="76"/>
        <v>96.515600000000006</v>
      </c>
      <c r="Z37" s="41">
        <f t="shared" ca="1" si="77"/>
        <v>6187979.1332120029</v>
      </c>
      <c r="AA37" s="107">
        <f t="shared" si="78"/>
        <v>0.25</v>
      </c>
      <c r="AB37" s="41">
        <f t="shared" si="79"/>
        <v>27665.288286914998</v>
      </c>
      <c r="AC37" s="41">
        <f t="shared" ca="1" si="80"/>
        <v>6215644.421498918</v>
      </c>
      <c r="AD37" s="41">
        <f t="shared" ca="1" si="81"/>
        <v>4640984.349909002</v>
      </c>
      <c r="AE37" s="41">
        <f t="shared" ca="1" si="82"/>
        <v>3712787.4799272018</v>
      </c>
      <c r="AF37" s="403">
        <f t="shared" ca="1" si="16"/>
        <v>3712787.4799272018</v>
      </c>
      <c r="AG37" s="123">
        <f t="shared" si="83"/>
        <v>55518</v>
      </c>
      <c r="AH37" s="116">
        <f>+IF(AG37&gt;=AM$9,'Taxes and TIF'!AH36+1,'Taxes and TIF'!AH36)</f>
        <v>25</v>
      </c>
      <c r="AI37" s="41">
        <f t="shared" si="84"/>
        <v>9121587</v>
      </c>
      <c r="AJ37" s="115">
        <f t="shared" si="85"/>
        <v>1.1716593810022657</v>
      </c>
      <c r="AK37" s="41">
        <f t="shared" ca="1" si="86"/>
        <v>280617050.15314209</v>
      </c>
      <c r="AL37" s="107">
        <f t="shared" si="87"/>
        <v>0.35</v>
      </c>
      <c r="AM37" s="41">
        <f t="shared" ca="1" si="88"/>
        <v>98215967.55359973</v>
      </c>
      <c r="AN37" s="48">
        <f t="shared" si="89"/>
        <v>96.515600000000006</v>
      </c>
      <c r="AO37" s="41">
        <f t="shared" ca="1" si="90"/>
        <v>9171241.6332261916</v>
      </c>
      <c r="AP37" s="107">
        <f t="shared" si="91"/>
        <v>0.25</v>
      </c>
      <c r="AQ37" s="41">
        <f t="shared" si="92"/>
        <v>308131.40479001997</v>
      </c>
      <c r="AR37" s="41">
        <f t="shared" ca="1" si="93"/>
        <v>9479373.0380162112</v>
      </c>
      <c r="AS37" s="41">
        <f t="shared" ca="1" si="94"/>
        <v>6878431.2249196433</v>
      </c>
      <c r="AT37" s="41">
        <f t="shared" ca="1" si="95"/>
        <v>5502744.979935715</v>
      </c>
      <c r="AU37" s="403">
        <f t="shared" ca="1" si="23"/>
        <v>5502744.979935715</v>
      </c>
    </row>
    <row r="38" spans="1:47" ht="16" customHeight="1" x14ac:dyDescent="0.2">
      <c r="A38" s="109">
        <f t="shared" si="60"/>
        <v>0</v>
      </c>
      <c r="B38" s="123">
        <f t="shared" si="61"/>
        <v>54423</v>
      </c>
      <c r="C38" s="116">
        <f>+IF(B38&gt;=H$9,'Taxes and TIF'!C37+1,'Taxes and TIF'!C37)</f>
        <v>26</v>
      </c>
      <c r="D38" s="41">
        <f t="shared" si="25"/>
        <v>8246319.182471808</v>
      </c>
      <c r="E38" s="115">
        <f t="shared" si="62"/>
        <v>1.1950925686223111</v>
      </c>
      <c r="F38" s="41">
        <f t="shared" ca="1" si="0"/>
        <v>326049221.6948607</v>
      </c>
      <c r="G38" s="107">
        <f t="shared" si="63"/>
        <v>0.35</v>
      </c>
      <c r="H38" s="41">
        <f t="shared" ca="1" si="1"/>
        <v>114117227.59320123</v>
      </c>
      <c r="I38" s="48">
        <f t="shared" si="64"/>
        <v>96.515600000000006</v>
      </c>
      <c r="J38" s="41">
        <f t="shared" ca="1" si="65"/>
        <v>10735528.236203652</v>
      </c>
      <c r="K38" s="107">
        <f t="shared" si="66"/>
        <v>0.25</v>
      </c>
      <c r="L38" s="41">
        <f t="shared" si="2"/>
        <v>278564.45529072161</v>
      </c>
      <c r="M38" s="41">
        <f t="shared" ca="1" si="67"/>
        <v>11014092.691494374</v>
      </c>
      <c r="N38" s="41">
        <f t="shared" ca="1" si="68"/>
        <v>8051646.1771527389</v>
      </c>
      <c r="O38" s="41">
        <f t="shared" ca="1" si="69"/>
        <v>6441316.9417221909</v>
      </c>
      <c r="P38" s="403">
        <f t="shared" ca="1" si="9"/>
        <v>6441316.9417221909</v>
      </c>
      <c r="R38" s="123">
        <f t="shared" si="70"/>
        <v>55153</v>
      </c>
      <c r="S38" s="116">
        <f>+IF(R38&gt;=X$9,'Taxes and TIF'!S37+1,'Taxes and TIF'!S37)</f>
        <v>26</v>
      </c>
      <c r="T38" s="41">
        <f t="shared" si="71"/>
        <v>818973.10714285716</v>
      </c>
      <c r="U38" s="115">
        <f t="shared" si="72"/>
        <v>1.1950925686223111</v>
      </c>
      <c r="V38" s="41">
        <f t="shared" ca="1" si="73"/>
        <v>187681201.20119429</v>
      </c>
      <c r="W38" s="107">
        <f t="shared" si="74"/>
        <v>0.35</v>
      </c>
      <c r="X38" s="41">
        <f t="shared" ca="1" si="75"/>
        <v>65688420.420417994</v>
      </c>
      <c r="Y38" s="48">
        <f t="shared" si="76"/>
        <v>96.515600000000006</v>
      </c>
      <c r="Z38" s="41">
        <f t="shared" ca="1" si="77"/>
        <v>6312292.0216419799</v>
      </c>
      <c r="AA38" s="107">
        <f t="shared" si="78"/>
        <v>0.25</v>
      </c>
      <c r="AB38" s="41">
        <f t="shared" si="79"/>
        <v>27665.288286914998</v>
      </c>
      <c r="AC38" s="41">
        <f t="shared" ca="1" si="80"/>
        <v>6339957.309928895</v>
      </c>
      <c r="AD38" s="41">
        <f t="shared" ca="1" si="81"/>
        <v>4734219.0162314847</v>
      </c>
      <c r="AE38" s="41">
        <f t="shared" ca="1" si="82"/>
        <v>3787375.2129851878</v>
      </c>
      <c r="AF38" s="403">
        <f t="shared" ca="1" si="16"/>
        <v>3787375.2129851878</v>
      </c>
      <c r="AG38" s="123">
        <f t="shared" si="83"/>
        <v>55884</v>
      </c>
      <c r="AH38" s="116">
        <f>+IF(AG38&gt;=AM$9,'Taxes and TIF'!AH37+1,'Taxes and TIF'!AH37)</f>
        <v>26</v>
      </c>
      <c r="AI38" s="41">
        <f t="shared" si="84"/>
        <v>9121587</v>
      </c>
      <c r="AJ38" s="115">
        <f t="shared" si="85"/>
        <v>1.1950925686223111</v>
      </c>
      <c r="AK38" s="41">
        <f t="shared" ca="1" si="86"/>
        <v>286229391.15620494</v>
      </c>
      <c r="AL38" s="107">
        <f t="shared" si="87"/>
        <v>0.35</v>
      </c>
      <c r="AM38" s="41">
        <f t="shared" ca="1" si="88"/>
        <v>100180286.90467173</v>
      </c>
      <c r="AN38" s="48">
        <f t="shared" si="89"/>
        <v>96.515600000000006</v>
      </c>
      <c r="AO38" s="41">
        <f t="shared" ca="1" si="90"/>
        <v>9360829.093986515</v>
      </c>
      <c r="AP38" s="107">
        <f t="shared" si="91"/>
        <v>0.25</v>
      </c>
      <c r="AQ38" s="41">
        <f t="shared" si="92"/>
        <v>308131.40479001997</v>
      </c>
      <c r="AR38" s="41">
        <f t="shared" ca="1" si="93"/>
        <v>9668960.4987765346</v>
      </c>
      <c r="AS38" s="41">
        <f t="shared" ca="1" si="94"/>
        <v>7020621.8204898862</v>
      </c>
      <c r="AT38" s="41">
        <f t="shared" ca="1" si="95"/>
        <v>5616497.4563919092</v>
      </c>
      <c r="AU38" s="403">
        <f t="shared" ca="1" si="23"/>
        <v>5616497.4563919092</v>
      </c>
    </row>
    <row r="39" spans="1:47" ht="16" customHeight="1" x14ac:dyDescent="0.2">
      <c r="A39" s="109">
        <f t="shared" si="60"/>
        <v>1</v>
      </c>
      <c r="B39" s="123">
        <f t="shared" si="61"/>
        <v>54788</v>
      </c>
      <c r="C39" s="116">
        <f>+IF(B39&gt;=H$9,'Taxes and TIF'!C38+1,'Taxes and TIF'!C38)</f>
        <v>27</v>
      </c>
      <c r="D39" s="41">
        <f t="shared" si="25"/>
        <v>8246319.182471808</v>
      </c>
      <c r="E39" s="115">
        <f t="shared" si="62"/>
        <v>1.1950925686223111</v>
      </c>
      <c r="F39" s="41">
        <f t="shared" ca="1" si="0"/>
        <v>326049221.6948607</v>
      </c>
      <c r="G39" s="107">
        <f t="shared" si="63"/>
        <v>0.35</v>
      </c>
      <c r="H39" s="41">
        <f t="shared" ca="1" si="1"/>
        <v>114117227.59320123</v>
      </c>
      <c r="I39" s="48">
        <f t="shared" si="64"/>
        <v>96.515600000000006</v>
      </c>
      <c r="J39" s="41">
        <f t="shared" ca="1" si="65"/>
        <v>10735528.236203652</v>
      </c>
      <c r="K39" s="107">
        <f t="shared" si="66"/>
        <v>0.25</v>
      </c>
      <c r="L39" s="41">
        <f t="shared" si="2"/>
        <v>278564.45529072161</v>
      </c>
      <c r="M39" s="41">
        <f t="shared" ca="1" si="67"/>
        <v>11014092.691494374</v>
      </c>
      <c r="N39" s="41">
        <f t="shared" ca="1" si="68"/>
        <v>8051646.1771527389</v>
      </c>
      <c r="O39" s="41">
        <f t="shared" ca="1" si="69"/>
        <v>6441316.9417221909</v>
      </c>
      <c r="P39" s="403">
        <f t="shared" ca="1" si="9"/>
        <v>6441316.9417221909</v>
      </c>
      <c r="R39" s="123">
        <f t="shared" si="70"/>
        <v>55518</v>
      </c>
      <c r="S39" s="116">
        <f>+IF(R39&gt;=X$9,'Taxes and TIF'!S38+1,'Taxes and TIF'!S38)</f>
        <v>27</v>
      </c>
      <c r="T39" s="41">
        <f t="shared" si="71"/>
        <v>818973.10714285716</v>
      </c>
      <c r="U39" s="115">
        <f t="shared" si="72"/>
        <v>1.1950925686223111</v>
      </c>
      <c r="V39" s="41">
        <f t="shared" ca="1" si="73"/>
        <v>187681201.20119429</v>
      </c>
      <c r="W39" s="107">
        <f t="shared" si="74"/>
        <v>0.35</v>
      </c>
      <c r="X39" s="41">
        <f t="shared" ca="1" si="75"/>
        <v>65688420.420417994</v>
      </c>
      <c r="Y39" s="48">
        <f t="shared" si="76"/>
        <v>96.515600000000006</v>
      </c>
      <c r="Z39" s="41">
        <f t="shared" ca="1" si="77"/>
        <v>6312292.0216419799</v>
      </c>
      <c r="AA39" s="107">
        <f t="shared" si="78"/>
        <v>0.25</v>
      </c>
      <c r="AB39" s="41">
        <f t="shared" si="79"/>
        <v>27665.288286914998</v>
      </c>
      <c r="AC39" s="41">
        <f t="shared" ca="1" si="80"/>
        <v>6339957.309928895</v>
      </c>
      <c r="AD39" s="41">
        <f t="shared" ca="1" si="81"/>
        <v>4734219.0162314847</v>
      </c>
      <c r="AE39" s="41">
        <f t="shared" ca="1" si="82"/>
        <v>3787375.2129851878</v>
      </c>
      <c r="AF39" s="403">
        <f t="shared" ca="1" si="16"/>
        <v>3787375.2129851878</v>
      </c>
      <c r="AG39" s="123">
        <f t="shared" si="83"/>
        <v>56249</v>
      </c>
      <c r="AH39" s="116">
        <f>+IF(AG39&gt;=AM$9,'Taxes and TIF'!AH38+1,'Taxes and TIF'!AH38)</f>
        <v>27</v>
      </c>
      <c r="AI39" s="41">
        <f t="shared" si="84"/>
        <v>9121587</v>
      </c>
      <c r="AJ39" s="115">
        <f t="shared" si="85"/>
        <v>1.1950925686223111</v>
      </c>
      <c r="AK39" s="41">
        <f t="shared" ca="1" si="86"/>
        <v>286229391.15620494</v>
      </c>
      <c r="AL39" s="107">
        <f t="shared" si="87"/>
        <v>0.35</v>
      </c>
      <c r="AM39" s="41">
        <f t="shared" ca="1" si="88"/>
        <v>100180286.90467173</v>
      </c>
      <c r="AN39" s="48">
        <f t="shared" si="89"/>
        <v>96.515600000000006</v>
      </c>
      <c r="AO39" s="41">
        <f t="shared" ca="1" si="90"/>
        <v>9360829.093986515</v>
      </c>
      <c r="AP39" s="107">
        <f t="shared" si="91"/>
        <v>0.25</v>
      </c>
      <c r="AQ39" s="41">
        <f t="shared" si="92"/>
        <v>308131.40479001997</v>
      </c>
      <c r="AR39" s="41">
        <f t="shared" ca="1" si="93"/>
        <v>9668960.4987765346</v>
      </c>
      <c r="AS39" s="41">
        <f t="shared" ca="1" si="94"/>
        <v>7020621.8204898862</v>
      </c>
      <c r="AT39" s="41">
        <f t="shared" ca="1" si="95"/>
        <v>5616497.4563919092</v>
      </c>
      <c r="AU39" s="403">
        <f t="shared" ca="1" si="23"/>
        <v>5616497.4563919092</v>
      </c>
    </row>
    <row r="40" spans="1:47" ht="16" customHeight="1" x14ac:dyDescent="0.2">
      <c r="A40" s="109">
        <f t="shared" si="60"/>
        <v>2</v>
      </c>
      <c r="B40" s="123">
        <f t="shared" si="61"/>
        <v>55153</v>
      </c>
      <c r="C40" s="116">
        <f>+IF(B40&gt;=H$9,'Taxes and TIF'!C39+1,'Taxes and TIF'!C39)</f>
        <v>28</v>
      </c>
      <c r="D40" s="41">
        <f t="shared" si="25"/>
        <v>8246319.182471808</v>
      </c>
      <c r="E40" s="115">
        <f t="shared" si="62"/>
        <v>1.1950925686223111</v>
      </c>
      <c r="F40" s="41">
        <f t="shared" ca="1" si="0"/>
        <v>326049221.6948607</v>
      </c>
      <c r="G40" s="107">
        <f t="shared" si="63"/>
        <v>0.35</v>
      </c>
      <c r="H40" s="41">
        <f t="shared" ca="1" si="1"/>
        <v>114117227.59320123</v>
      </c>
      <c r="I40" s="48">
        <f t="shared" si="64"/>
        <v>96.515600000000006</v>
      </c>
      <c r="J40" s="41">
        <f t="shared" ca="1" si="65"/>
        <v>10735528.236203652</v>
      </c>
      <c r="K40" s="107">
        <f t="shared" si="66"/>
        <v>0.25</v>
      </c>
      <c r="L40" s="41">
        <f t="shared" si="2"/>
        <v>278564.45529072161</v>
      </c>
      <c r="M40" s="41">
        <f t="shared" ca="1" si="67"/>
        <v>11014092.691494374</v>
      </c>
      <c r="N40" s="41">
        <f t="shared" ca="1" si="68"/>
        <v>8051646.1771527389</v>
      </c>
      <c r="O40" s="41">
        <f t="shared" ca="1" si="69"/>
        <v>6441316.9417221909</v>
      </c>
      <c r="P40" s="403">
        <f t="shared" ca="1" si="9"/>
        <v>6441316.9417221909</v>
      </c>
      <c r="R40" s="123">
        <f t="shared" si="70"/>
        <v>55884</v>
      </c>
      <c r="S40" s="116">
        <f>+IF(R40&gt;=X$9,'Taxes and TIF'!S39+1,'Taxes and TIF'!S39)</f>
        <v>28</v>
      </c>
      <c r="T40" s="41">
        <f t="shared" si="71"/>
        <v>818973.10714285716</v>
      </c>
      <c r="U40" s="115">
        <f t="shared" si="72"/>
        <v>1.1950925686223111</v>
      </c>
      <c r="V40" s="41">
        <f t="shared" ca="1" si="73"/>
        <v>187681201.20119429</v>
      </c>
      <c r="W40" s="107">
        <f t="shared" si="74"/>
        <v>0.35</v>
      </c>
      <c r="X40" s="41">
        <f t="shared" ca="1" si="75"/>
        <v>65688420.420417994</v>
      </c>
      <c r="Y40" s="48">
        <f t="shared" si="76"/>
        <v>96.515600000000006</v>
      </c>
      <c r="Z40" s="41">
        <f t="shared" ca="1" si="77"/>
        <v>6312292.0216419799</v>
      </c>
      <c r="AA40" s="107">
        <f t="shared" si="78"/>
        <v>0.25</v>
      </c>
      <c r="AB40" s="41">
        <f t="shared" si="79"/>
        <v>27665.288286914998</v>
      </c>
      <c r="AC40" s="41">
        <f t="shared" ca="1" si="80"/>
        <v>6339957.309928895</v>
      </c>
      <c r="AD40" s="41">
        <f t="shared" ca="1" si="81"/>
        <v>4734219.0162314847</v>
      </c>
      <c r="AE40" s="41">
        <f t="shared" ca="1" si="82"/>
        <v>3787375.2129851878</v>
      </c>
      <c r="AF40" s="403">
        <f t="shared" ca="1" si="16"/>
        <v>3787375.2129851878</v>
      </c>
      <c r="AG40" s="123">
        <f t="shared" si="83"/>
        <v>56614</v>
      </c>
      <c r="AH40" s="116">
        <f>+IF(AG40&gt;=AM$9,'Taxes and TIF'!AH39+1,'Taxes and TIF'!AH39)</f>
        <v>28</v>
      </c>
      <c r="AI40" s="41">
        <f t="shared" si="84"/>
        <v>9121587</v>
      </c>
      <c r="AJ40" s="115">
        <f t="shared" si="85"/>
        <v>1.1950925686223111</v>
      </c>
      <c r="AK40" s="41">
        <f t="shared" ca="1" si="86"/>
        <v>286229391.15620494</v>
      </c>
      <c r="AL40" s="107">
        <f t="shared" si="87"/>
        <v>0.35</v>
      </c>
      <c r="AM40" s="41">
        <f t="shared" ca="1" si="88"/>
        <v>100180286.90467173</v>
      </c>
      <c r="AN40" s="48">
        <f t="shared" si="89"/>
        <v>96.515600000000006</v>
      </c>
      <c r="AO40" s="41">
        <f t="shared" ca="1" si="90"/>
        <v>9360829.093986515</v>
      </c>
      <c r="AP40" s="107">
        <f t="shared" si="91"/>
        <v>0.25</v>
      </c>
      <c r="AQ40" s="41">
        <f t="shared" si="92"/>
        <v>308131.40479001997</v>
      </c>
      <c r="AR40" s="41">
        <f t="shared" ca="1" si="93"/>
        <v>9668960.4987765346</v>
      </c>
      <c r="AS40" s="41">
        <f t="shared" ca="1" si="94"/>
        <v>7020621.8204898862</v>
      </c>
      <c r="AT40" s="41">
        <f t="shared" ca="1" si="95"/>
        <v>5616497.4563919092</v>
      </c>
      <c r="AU40" s="403">
        <f t="shared" ca="1" si="23"/>
        <v>5616497.4563919092</v>
      </c>
    </row>
    <row r="41" spans="1:47" ht="16" customHeight="1" x14ac:dyDescent="0.2">
      <c r="A41" s="109">
        <f t="shared" si="60"/>
        <v>0</v>
      </c>
      <c r="B41" s="123">
        <f t="shared" si="61"/>
        <v>55518</v>
      </c>
      <c r="C41" s="116">
        <f>+IF(B41&gt;=H$9,'Taxes and TIF'!C40+1,'Taxes and TIF'!C40)</f>
        <v>29</v>
      </c>
      <c r="D41" s="41">
        <f t="shared" si="25"/>
        <v>8411245.5661212448</v>
      </c>
      <c r="E41" s="115">
        <f t="shared" si="62"/>
        <v>1.2189944199947573</v>
      </c>
      <c r="F41" s="41">
        <f t="shared" ca="1" si="0"/>
        <v>332570206.12875789</v>
      </c>
      <c r="G41" s="107">
        <f t="shared" si="63"/>
        <v>0.35</v>
      </c>
      <c r="H41" s="41">
        <f t="shared" ca="1" si="1"/>
        <v>116399572.14506526</v>
      </c>
      <c r="I41" s="48">
        <f t="shared" si="64"/>
        <v>96.515600000000006</v>
      </c>
      <c r="J41" s="41">
        <f t="shared" ca="1" si="65"/>
        <v>10950238.800927725</v>
      </c>
      <c r="K41" s="107">
        <f t="shared" si="66"/>
        <v>0.25</v>
      </c>
      <c r="L41" s="41">
        <f t="shared" si="2"/>
        <v>284135.74439653603</v>
      </c>
      <c r="M41" s="41">
        <f t="shared" ca="1" si="67"/>
        <v>11234374.54532426</v>
      </c>
      <c r="N41" s="41">
        <f t="shared" ca="1" si="68"/>
        <v>8212679.1006957935</v>
      </c>
      <c r="O41" s="41">
        <f t="shared" ca="1" si="69"/>
        <v>6570143.280556635</v>
      </c>
      <c r="P41" s="403">
        <f t="shared" ca="1" si="9"/>
        <v>6570143.280556635</v>
      </c>
      <c r="R41" s="123">
        <f t="shared" si="70"/>
        <v>56249</v>
      </c>
      <c r="S41" s="116">
        <f>+IF(R41&gt;=X$9,'Taxes and TIF'!S40+1,'Taxes and TIF'!S40)</f>
        <v>29</v>
      </c>
      <c r="T41" s="41">
        <f t="shared" si="71"/>
        <v>818973.10714285716</v>
      </c>
      <c r="U41" s="115">
        <f t="shared" si="72"/>
        <v>1.2189944199947573</v>
      </c>
      <c r="V41" s="41">
        <f t="shared" ca="1" si="73"/>
        <v>191434825.22521818</v>
      </c>
      <c r="W41" s="107">
        <f t="shared" si="74"/>
        <v>0.35</v>
      </c>
      <c r="X41" s="41">
        <f t="shared" ca="1" si="75"/>
        <v>67002188.82882636</v>
      </c>
      <c r="Y41" s="48">
        <f t="shared" si="76"/>
        <v>96.515600000000006</v>
      </c>
      <c r="Z41" s="41">
        <f t="shared" ca="1" si="77"/>
        <v>6439091.167840559</v>
      </c>
      <c r="AA41" s="107">
        <f t="shared" si="78"/>
        <v>0.25</v>
      </c>
      <c r="AB41" s="41">
        <f t="shared" si="79"/>
        <v>27665.288286914998</v>
      </c>
      <c r="AC41" s="41">
        <f t="shared" ca="1" si="80"/>
        <v>6466756.4561274741</v>
      </c>
      <c r="AD41" s="41">
        <f t="shared" ca="1" si="81"/>
        <v>4829318.3758804193</v>
      </c>
      <c r="AE41" s="41">
        <f t="shared" ca="1" si="82"/>
        <v>3863454.7007043352</v>
      </c>
      <c r="AF41" s="403">
        <f t="shared" ca="1" si="16"/>
        <v>3863454.7007043352</v>
      </c>
      <c r="AG41" s="123">
        <f t="shared" si="83"/>
        <v>56979</v>
      </c>
      <c r="AH41" s="116">
        <f>+IF(AG41&gt;=AM$9,'Taxes and TIF'!AH40+1,'Taxes and TIF'!AH40)</f>
        <v>29</v>
      </c>
      <c r="AI41" s="41">
        <f t="shared" si="84"/>
        <v>9121587</v>
      </c>
      <c r="AJ41" s="115">
        <f t="shared" si="85"/>
        <v>1.2189944199947573</v>
      </c>
      <c r="AK41" s="41">
        <f t="shared" ca="1" si="86"/>
        <v>291953978.97932905</v>
      </c>
      <c r="AL41" s="107">
        <f t="shared" si="87"/>
        <v>0.35</v>
      </c>
      <c r="AM41" s="41">
        <f t="shared" ca="1" si="88"/>
        <v>102183892.64276516</v>
      </c>
      <c r="AN41" s="48">
        <f t="shared" si="89"/>
        <v>96.515600000000006</v>
      </c>
      <c r="AO41" s="41">
        <f t="shared" ca="1" si="90"/>
        <v>9554208.3039620463</v>
      </c>
      <c r="AP41" s="107">
        <f t="shared" si="91"/>
        <v>0.25</v>
      </c>
      <c r="AQ41" s="41">
        <f t="shared" si="92"/>
        <v>308131.40479001997</v>
      </c>
      <c r="AR41" s="41">
        <f t="shared" ca="1" si="93"/>
        <v>9862339.7087520659</v>
      </c>
      <c r="AS41" s="41">
        <f t="shared" ca="1" si="94"/>
        <v>7165656.2279715352</v>
      </c>
      <c r="AT41" s="41">
        <f t="shared" ca="1" si="95"/>
        <v>5732524.9823772283</v>
      </c>
      <c r="AU41" s="403">
        <f t="shared" ca="1" si="23"/>
        <v>5732524.9823772283</v>
      </c>
    </row>
    <row r="42" spans="1:47" ht="16" customHeight="1" x14ac:dyDescent="0.2">
      <c r="A42" s="109">
        <f t="shared" si="60"/>
        <v>1</v>
      </c>
      <c r="B42" s="123">
        <f t="shared" si="61"/>
        <v>55884</v>
      </c>
      <c r="C42" s="116">
        <f>+IF(B42&gt;=H$9,'Taxes and TIF'!C41+1,'Taxes and TIF'!C41)</f>
        <v>30</v>
      </c>
      <c r="D42" s="41">
        <f t="shared" si="25"/>
        <v>8411245.5661212448</v>
      </c>
      <c r="E42" s="115">
        <f t="shared" si="62"/>
        <v>1.2189944199947573</v>
      </c>
      <c r="F42" s="41">
        <f t="shared" ca="1" si="0"/>
        <v>332570206.12875789</v>
      </c>
      <c r="G42" s="107">
        <f t="shared" si="63"/>
        <v>0.35</v>
      </c>
      <c r="H42" s="41">
        <f t="shared" ca="1" si="1"/>
        <v>116399572.14506526</v>
      </c>
      <c r="I42" s="48">
        <f t="shared" si="64"/>
        <v>96.515600000000006</v>
      </c>
      <c r="J42" s="41">
        <f t="shared" ca="1" si="65"/>
        <v>10950238.800927725</v>
      </c>
      <c r="K42" s="107">
        <f t="shared" si="66"/>
        <v>0.25</v>
      </c>
      <c r="L42" s="41">
        <f t="shared" si="2"/>
        <v>284135.74439653603</v>
      </c>
      <c r="M42" s="41">
        <f t="shared" ca="1" si="67"/>
        <v>11234374.54532426</v>
      </c>
      <c r="N42" s="41">
        <f t="shared" ca="1" si="68"/>
        <v>8212679.1006957935</v>
      </c>
      <c r="O42" s="41">
        <f t="shared" ca="1" si="69"/>
        <v>6570143.280556635</v>
      </c>
      <c r="P42" s="403">
        <f t="shared" ca="1" si="9"/>
        <v>6570143.280556635</v>
      </c>
      <c r="R42" s="123">
        <f t="shared" si="70"/>
        <v>56614</v>
      </c>
      <c r="S42" s="116">
        <f>+IF(R42&gt;=X$9,'Taxes and TIF'!S41+1,'Taxes and TIF'!S41)</f>
        <v>30</v>
      </c>
      <c r="T42" s="41">
        <f t="shared" si="71"/>
        <v>818973.10714285716</v>
      </c>
      <c r="U42" s="115">
        <f t="shared" si="72"/>
        <v>1.2189944199947573</v>
      </c>
      <c r="V42" s="41">
        <f t="shared" ca="1" si="73"/>
        <v>191434825.22521818</v>
      </c>
      <c r="W42" s="107">
        <f t="shared" si="74"/>
        <v>0.35</v>
      </c>
      <c r="X42" s="41">
        <f t="shared" ca="1" si="75"/>
        <v>67002188.82882636</v>
      </c>
      <c r="Y42" s="48">
        <f t="shared" si="76"/>
        <v>96.515600000000006</v>
      </c>
      <c r="Z42" s="41">
        <f t="shared" ca="1" si="77"/>
        <v>6439091.167840559</v>
      </c>
      <c r="AA42" s="107">
        <f t="shared" si="78"/>
        <v>0.25</v>
      </c>
      <c r="AB42" s="41">
        <f t="shared" si="79"/>
        <v>27665.288286914998</v>
      </c>
      <c r="AC42" s="41">
        <f t="shared" ca="1" si="80"/>
        <v>6466756.4561274741</v>
      </c>
      <c r="AD42" s="41">
        <f t="shared" ca="1" si="81"/>
        <v>4829318.3758804193</v>
      </c>
      <c r="AE42" s="41">
        <f t="shared" ca="1" si="82"/>
        <v>3863454.7007043352</v>
      </c>
      <c r="AF42" s="403">
        <f t="shared" ca="1" si="16"/>
        <v>3863454.7007043352</v>
      </c>
      <c r="AG42" s="123">
        <f t="shared" si="83"/>
        <v>57345</v>
      </c>
      <c r="AH42" s="116">
        <f>+IF(AG42&gt;=AM$9,'Taxes and TIF'!AH41+1,'Taxes and TIF'!AH41)</f>
        <v>30</v>
      </c>
      <c r="AI42" s="41">
        <f t="shared" si="84"/>
        <v>9121587</v>
      </c>
      <c r="AJ42" s="115">
        <f t="shared" si="85"/>
        <v>1.2189944199947573</v>
      </c>
      <c r="AK42" s="41">
        <f t="shared" ca="1" si="86"/>
        <v>291953978.97932905</v>
      </c>
      <c r="AL42" s="107">
        <f t="shared" si="87"/>
        <v>0.35</v>
      </c>
      <c r="AM42" s="41">
        <f t="shared" ca="1" si="88"/>
        <v>102183892.64276516</v>
      </c>
      <c r="AN42" s="48">
        <f t="shared" si="89"/>
        <v>96.515600000000006</v>
      </c>
      <c r="AO42" s="41">
        <f t="shared" ca="1" si="90"/>
        <v>9554208.3039620463</v>
      </c>
      <c r="AP42" s="107">
        <f t="shared" si="91"/>
        <v>0.25</v>
      </c>
      <c r="AQ42" s="41">
        <f t="shared" si="92"/>
        <v>308131.40479001997</v>
      </c>
      <c r="AR42" s="41">
        <f t="shared" ca="1" si="93"/>
        <v>9862339.7087520659</v>
      </c>
      <c r="AS42" s="41">
        <f t="shared" ca="1" si="94"/>
        <v>7165656.2279715352</v>
      </c>
      <c r="AT42" s="41">
        <f t="shared" ca="1" si="95"/>
        <v>5732524.9823772283</v>
      </c>
      <c r="AU42" s="403">
        <f t="shared" ca="1" si="23"/>
        <v>5732524.9823772283</v>
      </c>
    </row>
    <row r="43" spans="1:47" ht="16" customHeight="1" x14ac:dyDescent="0.2">
      <c r="A43" s="109">
        <f t="shared" si="60"/>
        <v>2</v>
      </c>
      <c r="B43" s="123">
        <f t="shared" si="61"/>
        <v>56249</v>
      </c>
      <c r="C43" s="116">
        <f>+IF(B43&gt;=H$9,'Taxes and TIF'!C42+1,'Taxes and TIF'!C42)</f>
        <v>31</v>
      </c>
      <c r="D43" s="41">
        <f t="shared" si="25"/>
        <v>8411245.5661212448</v>
      </c>
      <c r="E43" s="115">
        <f t="shared" si="62"/>
        <v>1.2189944199947573</v>
      </c>
      <c r="F43" s="41">
        <f t="shared" ca="1" si="0"/>
        <v>332570206.12875789</v>
      </c>
      <c r="G43" s="107">
        <f t="shared" si="63"/>
        <v>0.35</v>
      </c>
      <c r="H43" s="41">
        <f t="shared" ca="1" si="1"/>
        <v>116399572.14506526</v>
      </c>
      <c r="I43" s="48">
        <f t="shared" si="64"/>
        <v>96.515600000000006</v>
      </c>
      <c r="J43" s="41">
        <f t="shared" ca="1" si="65"/>
        <v>10950238.800927725</v>
      </c>
      <c r="K43" s="107">
        <f t="shared" si="66"/>
        <v>0.25</v>
      </c>
      <c r="L43" s="41">
        <f t="shared" si="2"/>
        <v>284135.74439653603</v>
      </c>
      <c r="M43" s="41">
        <f t="shared" ca="1" si="67"/>
        <v>11234374.54532426</v>
      </c>
      <c r="N43" s="41">
        <f t="shared" ca="1" si="68"/>
        <v>8212679.1006957935</v>
      </c>
      <c r="O43" s="41">
        <f t="shared" ca="1" si="69"/>
        <v>6570143.280556635</v>
      </c>
      <c r="P43" s="403">
        <f t="shared" ca="1" si="9"/>
        <v>6570143.280556635</v>
      </c>
      <c r="R43" s="123">
        <f t="shared" si="70"/>
        <v>56979</v>
      </c>
      <c r="S43" s="116">
        <f>+IF(R43&gt;=X$9,'Taxes and TIF'!S42+1,'Taxes and TIF'!S42)</f>
        <v>31</v>
      </c>
      <c r="T43" s="41">
        <f t="shared" si="71"/>
        <v>818973.10714285716</v>
      </c>
      <c r="U43" s="115">
        <f t="shared" si="72"/>
        <v>1.2189944199947573</v>
      </c>
      <c r="V43" s="41">
        <f t="shared" ca="1" si="73"/>
        <v>191434825.22521818</v>
      </c>
      <c r="W43" s="107">
        <f t="shared" si="74"/>
        <v>0.35</v>
      </c>
      <c r="X43" s="41">
        <f t="shared" ca="1" si="75"/>
        <v>67002188.82882636</v>
      </c>
      <c r="Y43" s="48">
        <f t="shared" si="76"/>
        <v>96.515600000000006</v>
      </c>
      <c r="Z43" s="41">
        <f t="shared" ca="1" si="77"/>
        <v>6439091.167840559</v>
      </c>
      <c r="AA43" s="107">
        <f t="shared" si="78"/>
        <v>0.25</v>
      </c>
      <c r="AB43" s="41">
        <f t="shared" si="79"/>
        <v>27665.288286914998</v>
      </c>
      <c r="AC43" s="41">
        <f t="shared" ca="1" si="80"/>
        <v>6466756.4561274741</v>
      </c>
      <c r="AD43" s="41">
        <f t="shared" ca="1" si="81"/>
        <v>4829318.3758804193</v>
      </c>
      <c r="AE43" s="41">
        <f t="shared" ca="1" si="82"/>
        <v>3863454.7007043352</v>
      </c>
      <c r="AF43" s="403">
        <f t="shared" ca="1" si="16"/>
        <v>3863454.7007043352</v>
      </c>
      <c r="AG43" s="123">
        <f t="shared" si="83"/>
        <v>57710</v>
      </c>
      <c r="AH43" s="116">
        <f>+IF(AG43&gt;=AM$9,'Taxes and TIF'!AH42+1,'Taxes and TIF'!AH42)</f>
        <v>31</v>
      </c>
      <c r="AI43" s="41">
        <f t="shared" si="84"/>
        <v>9121587</v>
      </c>
      <c r="AJ43" s="115">
        <f t="shared" si="85"/>
        <v>1.2189944199947573</v>
      </c>
      <c r="AK43" s="41">
        <f t="shared" ca="1" si="86"/>
        <v>291953978.97932905</v>
      </c>
      <c r="AL43" s="107">
        <f t="shared" si="87"/>
        <v>0.35</v>
      </c>
      <c r="AM43" s="41">
        <f t="shared" ca="1" si="88"/>
        <v>102183892.64276516</v>
      </c>
      <c r="AN43" s="48">
        <f t="shared" si="89"/>
        <v>96.515600000000006</v>
      </c>
      <c r="AO43" s="41">
        <f t="shared" ca="1" si="90"/>
        <v>9554208.3039620463</v>
      </c>
      <c r="AP43" s="107">
        <f t="shared" si="91"/>
        <v>0.25</v>
      </c>
      <c r="AQ43" s="41">
        <f t="shared" si="92"/>
        <v>308131.40479001997</v>
      </c>
      <c r="AR43" s="41">
        <f t="shared" ca="1" si="93"/>
        <v>9862339.7087520659</v>
      </c>
      <c r="AS43" s="41">
        <f t="shared" ca="1" si="94"/>
        <v>7165656.2279715352</v>
      </c>
      <c r="AT43" s="41">
        <f t="shared" ca="1" si="95"/>
        <v>5732524.9823772283</v>
      </c>
      <c r="AU43" s="403">
        <f t="shared" ca="1" si="23"/>
        <v>5732524.9823772283</v>
      </c>
    </row>
    <row r="44" spans="1:47" ht="16" customHeight="1" x14ac:dyDescent="0.2">
      <c r="A44" s="109">
        <f t="shared" si="60"/>
        <v>0</v>
      </c>
      <c r="B44" s="123">
        <f t="shared" si="61"/>
        <v>56614</v>
      </c>
      <c r="C44" s="116">
        <f>+IF(B44&gt;=H$9,'Taxes and TIF'!C43+1,'Taxes and TIF'!C43)</f>
        <v>32</v>
      </c>
      <c r="D44" s="41">
        <f t="shared" si="25"/>
        <v>8579470.477443669</v>
      </c>
      <c r="E44" s="115">
        <f t="shared" si="62"/>
        <v>1.2433743083946525</v>
      </c>
      <c r="F44" s="41">
        <f t="shared" ca="1" si="0"/>
        <v>339221610.25133306</v>
      </c>
      <c r="G44" s="107">
        <f t="shared" si="63"/>
        <v>0.35</v>
      </c>
      <c r="H44" s="41">
        <f t="shared" ca="1" si="1"/>
        <v>118727563.58796656</v>
      </c>
      <c r="I44" s="48">
        <f t="shared" si="64"/>
        <v>96.515600000000006</v>
      </c>
      <c r="J44" s="41">
        <f t="shared" ca="1" si="65"/>
        <v>11169243.576946277</v>
      </c>
      <c r="K44" s="107">
        <f t="shared" si="66"/>
        <v>0.25</v>
      </c>
      <c r="L44" s="41">
        <f t="shared" si="2"/>
        <v>289818.45928446675</v>
      </c>
      <c r="M44" s="41">
        <f t="shared" ca="1" si="67"/>
        <v>11459062.036230745</v>
      </c>
      <c r="N44" s="41">
        <f t="shared" ca="1" si="68"/>
        <v>8376932.6827097079</v>
      </c>
      <c r="O44" s="41">
        <f t="shared" ca="1" si="69"/>
        <v>6701546.1461677663</v>
      </c>
      <c r="P44" s="403">
        <f t="shared" ca="1" si="9"/>
        <v>6701546.1461677663</v>
      </c>
      <c r="R44" s="123">
        <f t="shared" si="70"/>
        <v>57345</v>
      </c>
      <c r="S44" s="116">
        <f>+IF(R44&gt;=X$9,'Taxes and TIF'!S43+1,'Taxes and TIF'!S43)</f>
        <v>32</v>
      </c>
      <c r="T44" s="41">
        <f t="shared" si="71"/>
        <v>818973.10714285716</v>
      </c>
      <c r="U44" s="115">
        <f t="shared" si="72"/>
        <v>1.2433743083946525</v>
      </c>
      <c r="V44" s="41">
        <f t="shared" ca="1" si="73"/>
        <v>195263521.72972253</v>
      </c>
      <c r="W44" s="107">
        <f t="shared" si="74"/>
        <v>0.35</v>
      </c>
      <c r="X44" s="41">
        <f t="shared" ca="1" si="75"/>
        <v>68342232.605402887</v>
      </c>
      <c r="Y44" s="48">
        <f t="shared" si="76"/>
        <v>96.515600000000006</v>
      </c>
      <c r="Z44" s="41">
        <f t="shared" ca="1" si="77"/>
        <v>6568426.2969631078</v>
      </c>
      <c r="AA44" s="107">
        <f t="shared" si="78"/>
        <v>0.25</v>
      </c>
      <c r="AB44" s="41">
        <f t="shared" si="79"/>
        <v>27665.288286914998</v>
      </c>
      <c r="AC44" s="41">
        <f t="shared" ca="1" si="80"/>
        <v>6596091.5852500228</v>
      </c>
      <c r="AD44" s="41">
        <f t="shared" ca="1" si="81"/>
        <v>4926319.7227223311</v>
      </c>
      <c r="AE44" s="41">
        <f t="shared" ca="1" si="82"/>
        <v>3941055.7781778648</v>
      </c>
      <c r="AF44" s="403">
        <f t="shared" ca="1" si="16"/>
        <v>3941055.7781778648</v>
      </c>
      <c r="AG44" s="123">
        <f t="shared" si="83"/>
        <v>58075</v>
      </c>
      <c r="AH44" s="116">
        <f>+IF(AG44&gt;=AM$9,'Taxes and TIF'!AH43+1,'Taxes and TIF'!AH43)</f>
        <v>32</v>
      </c>
      <c r="AI44" s="41">
        <f t="shared" si="84"/>
        <v>9121587</v>
      </c>
      <c r="AJ44" s="115">
        <f t="shared" si="85"/>
        <v>1.2433743083946525</v>
      </c>
      <c r="AK44" s="41">
        <f t="shared" ca="1" si="86"/>
        <v>297793058.55891562</v>
      </c>
      <c r="AL44" s="107">
        <f t="shared" si="87"/>
        <v>0.35</v>
      </c>
      <c r="AM44" s="41">
        <f t="shared" ca="1" si="88"/>
        <v>104227570.49562046</v>
      </c>
      <c r="AN44" s="48">
        <f t="shared" si="89"/>
        <v>96.515600000000006</v>
      </c>
      <c r="AO44" s="41">
        <f t="shared" ca="1" si="90"/>
        <v>9751455.0981370881</v>
      </c>
      <c r="AP44" s="107">
        <f t="shared" si="91"/>
        <v>0.25</v>
      </c>
      <c r="AQ44" s="41">
        <f t="shared" si="92"/>
        <v>308131.40479001997</v>
      </c>
      <c r="AR44" s="41">
        <f t="shared" ca="1" si="93"/>
        <v>10059586.502927108</v>
      </c>
      <c r="AS44" s="41">
        <f t="shared" ca="1" si="94"/>
        <v>7313591.3236028161</v>
      </c>
      <c r="AT44" s="41">
        <f t="shared" ca="1" si="95"/>
        <v>5850873.0588822532</v>
      </c>
      <c r="AU44" s="403">
        <f t="shared" ca="1" si="23"/>
        <v>5850873.0588822532</v>
      </c>
    </row>
    <row r="45" spans="1:47" ht="16" customHeight="1" x14ac:dyDescent="0.2">
      <c r="A45" s="109">
        <f t="shared" si="60"/>
        <v>1</v>
      </c>
      <c r="B45" s="123">
        <f t="shared" si="61"/>
        <v>56979</v>
      </c>
      <c r="C45" s="116">
        <f>+IF(B45&gt;=H$9,'Taxes and TIF'!C44+1,'Taxes and TIF'!C44)</f>
        <v>33</v>
      </c>
      <c r="D45" s="41">
        <f t="shared" si="25"/>
        <v>8579470.477443669</v>
      </c>
      <c r="E45" s="115">
        <f t="shared" si="62"/>
        <v>1.2433743083946525</v>
      </c>
      <c r="F45" s="41">
        <f t="shared" ca="1" si="0"/>
        <v>339221610.25133306</v>
      </c>
      <c r="G45" s="107">
        <f t="shared" si="63"/>
        <v>0.35</v>
      </c>
      <c r="H45" s="41">
        <f t="shared" ca="1" si="1"/>
        <v>118727563.58796656</v>
      </c>
      <c r="I45" s="48">
        <f t="shared" si="64"/>
        <v>96.515600000000006</v>
      </c>
      <c r="J45" s="41">
        <f t="shared" ca="1" si="65"/>
        <v>11169243.576946277</v>
      </c>
      <c r="K45" s="107">
        <f t="shared" si="66"/>
        <v>0.25</v>
      </c>
      <c r="L45" s="41">
        <f t="shared" si="2"/>
        <v>289818.45928446675</v>
      </c>
      <c r="M45" s="41">
        <f t="shared" ca="1" si="67"/>
        <v>11459062.036230745</v>
      </c>
      <c r="N45" s="41">
        <f t="shared" ca="1" si="68"/>
        <v>8376932.6827097079</v>
      </c>
      <c r="O45" s="41">
        <f t="shared" ca="1" si="69"/>
        <v>6701546.1461677663</v>
      </c>
      <c r="P45" s="403">
        <f t="shared" ca="1" si="9"/>
        <v>6701546.1461677663</v>
      </c>
      <c r="R45" s="123">
        <f t="shared" si="70"/>
        <v>57710</v>
      </c>
      <c r="S45" s="116">
        <f>+IF(R45&gt;=X$9,'Taxes and TIF'!S44+1,'Taxes and TIF'!S44)</f>
        <v>33</v>
      </c>
      <c r="T45" s="41">
        <f t="shared" si="71"/>
        <v>818973.10714285716</v>
      </c>
      <c r="U45" s="115">
        <f t="shared" si="72"/>
        <v>1.2433743083946525</v>
      </c>
      <c r="V45" s="41">
        <f t="shared" ca="1" si="73"/>
        <v>195263521.72972253</v>
      </c>
      <c r="W45" s="107">
        <f t="shared" si="74"/>
        <v>0.35</v>
      </c>
      <c r="X45" s="41">
        <f t="shared" ca="1" si="75"/>
        <v>68342232.605402887</v>
      </c>
      <c r="Y45" s="48">
        <f t="shared" si="76"/>
        <v>96.515600000000006</v>
      </c>
      <c r="Z45" s="41">
        <f t="shared" ca="1" si="77"/>
        <v>6568426.2969631078</v>
      </c>
      <c r="AA45" s="107">
        <f t="shared" si="78"/>
        <v>0.25</v>
      </c>
      <c r="AB45" s="41">
        <f t="shared" si="79"/>
        <v>27665.288286914998</v>
      </c>
      <c r="AC45" s="41">
        <f t="shared" ca="1" si="80"/>
        <v>6596091.5852500228</v>
      </c>
      <c r="AD45" s="41">
        <f t="shared" ca="1" si="81"/>
        <v>4926319.7227223311</v>
      </c>
      <c r="AE45" s="41">
        <f t="shared" ca="1" si="82"/>
        <v>3941055.7781778648</v>
      </c>
      <c r="AF45" s="403">
        <f t="shared" ca="1" si="16"/>
        <v>3941055.7781778648</v>
      </c>
      <c r="AG45" s="123">
        <f t="shared" si="83"/>
        <v>58440</v>
      </c>
      <c r="AH45" s="116">
        <f>+IF(AG45&gt;=AM$9,'Taxes and TIF'!AH44+1,'Taxes and TIF'!AH44)</f>
        <v>33</v>
      </c>
      <c r="AI45" s="41">
        <f t="shared" si="84"/>
        <v>9121587</v>
      </c>
      <c r="AJ45" s="115">
        <f t="shared" si="85"/>
        <v>1.2433743083946525</v>
      </c>
      <c r="AK45" s="41">
        <f t="shared" ca="1" si="86"/>
        <v>297793058.55891562</v>
      </c>
      <c r="AL45" s="107">
        <f t="shared" si="87"/>
        <v>0.35</v>
      </c>
      <c r="AM45" s="41">
        <f t="shared" ca="1" si="88"/>
        <v>104227570.49562046</v>
      </c>
      <c r="AN45" s="48">
        <f t="shared" si="89"/>
        <v>96.515600000000006</v>
      </c>
      <c r="AO45" s="41">
        <f t="shared" ca="1" si="90"/>
        <v>9751455.0981370881</v>
      </c>
      <c r="AP45" s="107">
        <f t="shared" si="91"/>
        <v>0.25</v>
      </c>
      <c r="AQ45" s="41">
        <f t="shared" si="92"/>
        <v>308131.40479001997</v>
      </c>
      <c r="AR45" s="41">
        <f t="shared" ca="1" si="93"/>
        <v>10059586.502927108</v>
      </c>
      <c r="AS45" s="41">
        <f t="shared" ca="1" si="94"/>
        <v>7313591.3236028161</v>
      </c>
      <c r="AT45" s="41">
        <f t="shared" ca="1" si="95"/>
        <v>5850873.0588822532</v>
      </c>
      <c r="AU45" s="403">
        <f t="shared" ca="1" si="23"/>
        <v>5850873.0588822532</v>
      </c>
    </row>
    <row r="46" spans="1:47" ht="16" customHeight="1" x14ac:dyDescent="0.2">
      <c r="B46" s="119" t="s">
        <v>200</v>
      </c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20">
        <f ca="1">+MIN(P11:P45)</f>
        <v>5389805.8701408105</v>
      </c>
      <c r="P46" s="164"/>
      <c r="R46" s="119" t="s">
        <v>200</v>
      </c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20">
        <f ca="1">+MIN(AF11:AF45)</f>
        <v>3166396.4257223648</v>
      </c>
      <c r="AG46" s="119" t="s">
        <v>200</v>
      </c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20">
        <f ca="1">+MIN(AU11:AU45)</f>
        <v>4669453.3248455813</v>
      </c>
    </row>
    <row r="47" spans="1:47" ht="16" customHeight="1" x14ac:dyDescent="0.2">
      <c r="B47" s="121" t="s">
        <v>198</v>
      </c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2">
        <f ca="1">+PV($D$6,$D$5,-O$46)</f>
        <v>74189767.741794825</v>
      </c>
      <c r="P47" s="164"/>
      <c r="R47" s="121" t="s">
        <v>198</v>
      </c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2">
        <f ca="1">+PV($D$6,$D$5,-AE$46)</f>
        <v>43584912.158747993</v>
      </c>
      <c r="AG47" s="121" t="s">
        <v>198</v>
      </c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2">
        <f ca="1">+PV($D$6,$D$5,-AT$46)</f>
        <v>64274236.586260356</v>
      </c>
    </row>
    <row r="48" spans="1:47" ht="16" customHeight="1" x14ac:dyDescent="0.2">
      <c r="O48" s="127" t="str">
        <f>+B8</f>
        <v>I</v>
      </c>
      <c r="P48" s="127"/>
      <c r="AE48" s="127" t="str">
        <f>+R8</f>
        <v>II</v>
      </c>
      <c r="AT48" s="127" t="str">
        <f>+AG8</f>
        <v>III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Official Summary</vt:lpstr>
      <vt:lpstr>Summary II</vt:lpstr>
      <vt:lpstr>Assumptions and Sensis</vt:lpstr>
      <vt:lpstr>Parcel Breakdown</vt:lpstr>
      <vt:lpstr>S&amp;U</vt:lpstr>
      <vt:lpstr>Budget</vt:lpstr>
      <vt:lpstr>Infra</vt:lpstr>
      <vt:lpstr>Acquisition</vt:lpstr>
      <vt:lpstr>Taxes and TIF</vt:lpstr>
      <vt:lpstr>Loan Sizing</vt:lpstr>
      <vt:lpstr>Market Comps</vt:lpstr>
      <vt:lpstr>Phase I Pro Forma</vt:lpstr>
      <vt:lpstr>Phase I Pro Forma Output</vt:lpstr>
      <vt:lpstr>Phase II Pro Forma</vt:lpstr>
      <vt:lpstr>Phase II Pro Forma Output</vt:lpstr>
      <vt:lpstr>Phase III Pro Forma</vt:lpstr>
      <vt:lpstr>Phase III Pro Forma Output</vt:lpstr>
      <vt:lpstr>Cash Flow Roll-up</vt:lpstr>
      <vt:lpstr>Public Benefits</vt:lpstr>
      <vt:lpstr>Smart City HoldCo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Annie Finkenbinder-Best</dc:creator>
  <cp:lastModifiedBy>Microsoft Office User</cp:lastModifiedBy>
  <cp:lastPrinted>2019-01-26T21:11:46Z</cp:lastPrinted>
  <dcterms:created xsi:type="dcterms:W3CDTF">2007-12-12T14:49:40Z</dcterms:created>
  <dcterms:modified xsi:type="dcterms:W3CDTF">2019-03-31T14:15:23Z</dcterms:modified>
</cp:coreProperties>
</file>